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SKAN\Downloads\"/>
    </mc:Choice>
  </mc:AlternateContent>
  <xr:revisionPtr revIDLastSave="0" documentId="13_ncr:1_{63B9CBF5-4BF9-419F-86F4-8B2891E4E09E}" xr6:coauthVersionLast="47" xr6:coauthVersionMax="47" xr10:uidLastSave="{00000000-0000-0000-0000-000000000000}"/>
  <bookViews>
    <workbookView xWindow="-110" yWindow="-110" windowWidth="19420" windowHeight="10300" firstSheet="10" activeTab="10" xr2:uid="{00000000-000D-0000-FFFF-FFFF00000000}"/>
  </bookViews>
  <sheets>
    <sheet name="Financials&gt;" sheetId="7" r:id="rId1"/>
    <sheet name="HistoricalFS" sheetId="8" r:id="rId2"/>
    <sheet name="Common Size Statement" sheetId="17" r:id="rId3"/>
    <sheet name="Ratio Analysis" sheetId="11" r:id="rId4"/>
    <sheet name="Forecasting" sheetId="12" r:id="rId5"/>
    <sheet name="Beta" sheetId="14" r:id="rId6"/>
    <sheet name="WACC" sheetId="13" r:id="rId7"/>
    <sheet name="Market Return" sheetId="16" r:id="rId8"/>
    <sheet name="Comps Beta" sheetId="15" r:id="rId9"/>
    <sheet name="Intrinsic- Growth" sheetId="20" r:id="rId10"/>
    <sheet name="DCF" sheetId="19" r:id="rId11"/>
    <sheet name="Relative Valuation" sheetId="22" r:id="rId12"/>
    <sheet name="Sheet2" sheetId="26" r:id="rId13"/>
    <sheet name="RawFS" sheetId="9" r:id="rId14"/>
    <sheet name="Data Room&gt;" sheetId="18" r:id="rId15"/>
    <sheet name="Data Sheet" sheetId="6" r:id="rId16"/>
    <sheet name="Sheet1" sheetId="23" r:id="rId17"/>
    <sheet name="Cashflow Data" sheetId="10" r:id="rId18"/>
  </sheets>
  <definedNames>
    <definedName name="_xlnm._FilterDatabase" localSheetId="5" hidden="1">Beta!$B$4:$D$64</definedName>
    <definedName name="_xlnm._FilterDatabase" localSheetId="8" hidden="1">'Comps Beta'!$B$270:$C$270</definedName>
    <definedName name="_xlnm._FilterDatabase" localSheetId="12" hidden="1">Sheet2!$B$2:$C$4306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6" i="12" l="1"/>
  <c r="W15" i="12"/>
  <c r="W14" i="12"/>
  <c r="V16" i="12"/>
  <c r="V15" i="12"/>
  <c r="V14" i="12"/>
  <c r="W13" i="12"/>
  <c r="W12" i="12"/>
  <c r="W11" i="12"/>
  <c r="W10" i="12"/>
  <c r="W9" i="12"/>
  <c r="W8" i="12"/>
  <c r="W7" i="12"/>
  <c r="W6" i="12"/>
  <c r="W5" i="12"/>
  <c r="V4" i="12" a="1"/>
  <c r="V4" i="12" s="1"/>
  <c r="U6" i="12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5" i="12"/>
  <c r="T6" i="12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5" i="12"/>
  <c r="T2" i="12"/>
  <c r="D34" i="19"/>
  <c r="P32" i="22"/>
  <c r="Q26" i="22"/>
  <c r="Q28" i="22"/>
  <c r="Q30" i="22"/>
  <c r="P30" i="22"/>
  <c r="O30" i="22"/>
  <c r="P28" i="22"/>
  <c r="O28" i="22"/>
  <c r="O27" i="22"/>
  <c r="O26" i="22"/>
  <c r="P26" i="22"/>
  <c r="Q17" i="22"/>
  <c r="Q18" i="22"/>
  <c r="Q19" i="22"/>
  <c r="Q20" i="22"/>
  <c r="Q21" i="22"/>
  <c r="Q22" i="22"/>
  <c r="O17" i="22"/>
  <c r="O18" i="22"/>
  <c r="O19" i="22"/>
  <c r="O20" i="22"/>
  <c r="O21" i="22"/>
  <c r="O22" i="22"/>
  <c r="P22" i="22"/>
  <c r="P21" i="22"/>
  <c r="P20" i="22"/>
  <c r="P19" i="22"/>
  <c r="P18" i="22"/>
  <c r="P17" i="22"/>
  <c r="Q14" i="22"/>
  <c r="Q13" i="22"/>
  <c r="Q12" i="22"/>
  <c r="Q11" i="22"/>
  <c r="Q10" i="22"/>
  <c r="Q9" i="22"/>
  <c r="Q8" i="22"/>
  <c r="Q7" i="22"/>
  <c r="Q6" i="22"/>
  <c r="P14" i="22"/>
  <c r="P13" i="22"/>
  <c r="P12" i="22"/>
  <c r="P11" i="22"/>
  <c r="P10" i="22"/>
  <c r="P9" i="22"/>
  <c r="P8" i="22"/>
  <c r="P7" i="22"/>
  <c r="P6" i="22"/>
  <c r="O14" i="22"/>
  <c r="O13" i="22"/>
  <c r="O12" i="22"/>
  <c r="O11" i="22"/>
  <c r="O10" i="22"/>
  <c r="O9" i="22"/>
  <c r="O8" i="22"/>
  <c r="O7" i="22"/>
  <c r="O6" i="22"/>
  <c r="L14" i="22"/>
  <c r="L13" i="22"/>
  <c r="L12" i="22"/>
  <c r="L11" i="22"/>
  <c r="L10" i="22"/>
  <c r="L9" i="22"/>
  <c r="L8" i="22"/>
  <c r="L7" i="22"/>
  <c r="M14" i="22"/>
  <c r="M13" i="22"/>
  <c r="M12" i="22"/>
  <c r="M11" i="22"/>
  <c r="M10" i="22"/>
  <c r="M9" i="22"/>
  <c r="M8" i="22"/>
  <c r="M7" i="22"/>
  <c r="K14" i="22"/>
  <c r="K13" i="22"/>
  <c r="K12" i="22"/>
  <c r="K11" i="22"/>
  <c r="K10" i="22"/>
  <c r="K9" i="22"/>
  <c r="K8" i="22"/>
  <c r="K7" i="22"/>
  <c r="G12" i="22"/>
  <c r="G11" i="22"/>
  <c r="G10" i="22"/>
  <c r="G9" i="22"/>
  <c r="G8" i="22"/>
  <c r="G12" i="23"/>
  <c r="G11" i="23"/>
  <c r="G14" i="22" s="1"/>
  <c r="G10" i="23"/>
  <c r="G13" i="22" s="1"/>
  <c r="G9" i="23"/>
  <c r="G8" i="23"/>
  <c r="G7" i="23"/>
  <c r="G6" i="23"/>
  <c r="G5" i="23"/>
  <c r="G4" i="23"/>
  <c r="G3" i="23"/>
  <c r="G7" i="22" s="1"/>
  <c r="E14" i="22"/>
  <c r="E13" i="22"/>
  <c r="E12" i="22"/>
  <c r="E11" i="22"/>
  <c r="E10" i="22"/>
  <c r="E9" i="22"/>
  <c r="E8" i="22"/>
  <c r="E7" i="22"/>
  <c r="F7" i="22" s="1"/>
  <c r="D14" i="22"/>
  <c r="D13" i="22"/>
  <c r="D12" i="22"/>
  <c r="D11" i="22"/>
  <c r="D10" i="22"/>
  <c r="D9" i="22"/>
  <c r="D8" i="22"/>
  <c r="D7" i="22"/>
  <c r="B15" i="22"/>
  <c r="B14" i="22"/>
  <c r="B13" i="22"/>
  <c r="B12" i="22"/>
  <c r="B11" i="22"/>
  <c r="B10" i="22"/>
  <c r="B9" i="22"/>
  <c r="B8" i="22"/>
  <c r="B7" i="22"/>
  <c r="E30" i="23"/>
  <c r="J30" i="23" s="1"/>
  <c r="E29" i="23"/>
  <c r="J29" i="23" s="1"/>
  <c r="E28" i="23"/>
  <c r="J28" i="23" s="1"/>
  <c r="E27" i="23"/>
  <c r="J27" i="23" s="1"/>
  <c r="E26" i="23"/>
  <c r="J26" i="23" s="1"/>
  <c r="E25" i="23"/>
  <c r="J25" i="23" s="1"/>
  <c r="E24" i="23"/>
  <c r="J24" i="23" s="1"/>
  <c r="E23" i="23"/>
  <c r="J23" i="23" s="1"/>
  <c r="E22" i="23"/>
  <c r="J22" i="23" s="1"/>
  <c r="E21" i="23"/>
  <c r="J21" i="23" s="1"/>
  <c r="E20" i="23"/>
  <c r="J20" i="23" s="1"/>
  <c r="E19" i="23"/>
  <c r="J19" i="23" s="1"/>
  <c r="E18" i="23"/>
  <c r="J18" i="23" s="1"/>
  <c r="E17" i="23"/>
  <c r="J17" i="23" s="1"/>
  <c r="E16" i="23"/>
  <c r="J16" i="23" s="1"/>
  <c r="E12" i="23"/>
  <c r="J12" i="23" s="1"/>
  <c r="E11" i="23"/>
  <c r="J11" i="23" s="1"/>
  <c r="E10" i="23"/>
  <c r="J10" i="23" s="1"/>
  <c r="E9" i="23"/>
  <c r="J9" i="23" s="1"/>
  <c r="E8" i="23"/>
  <c r="J8" i="23" s="1"/>
  <c r="E7" i="23"/>
  <c r="J7" i="23" s="1"/>
  <c r="E6" i="23"/>
  <c r="J6" i="23" s="1"/>
  <c r="E5" i="23"/>
  <c r="J5" i="23" s="1"/>
  <c r="E4" i="23"/>
  <c r="J4" i="23" s="1"/>
  <c r="E3" i="23"/>
  <c r="J3" i="23" s="1"/>
  <c r="D36" i="19"/>
  <c r="D33" i="19"/>
  <c r="D23" i="19"/>
  <c r="J11" i="19"/>
  <c r="K11" i="19" s="1"/>
  <c r="H17" i="19"/>
  <c r="D22" i="19" s="1"/>
  <c r="L62" i="20"/>
  <c r="L61" i="20"/>
  <c r="H9" i="19"/>
  <c r="I9" i="19" s="1"/>
  <c r="H6" i="19"/>
  <c r="H8" i="19" s="1"/>
  <c r="H4" i="19"/>
  <c r="I4" i="19" s="1"/>
  <c r="J4" i="19" s="1"/>
  <c r="K4" i="19" s="1"/>
  <c r="L59" i="20"/>
  <c r="K59" i="20"/>
  <c r="J59" i="20"/>
  <c r="I59" i="20"/>
  <c r="L57" i="20"/>
  <c r="K57" i="20"/>
  <c r="J57" i="20"/>
  <c r="I57" i="20"/>
  <c r="L56" i="20"/>
  <c r="K56" i="20"/>
  <c r="J56" i="20"/>
  <c r="I56" i="20"/>
  <c r="L54" i="20"/>
  <c r="K54" i="20"/>
  <c r="J54" i="20"/>
  <c r="I54" i="20"/>
  <c r="H54" i="20"/>
  <c r="L44" i="20"/>
  <c r="L46" i="20" s="1"/>
  <c r="K44" i="20"/>
  <c r="K46" i="20" s="1"/>
  <c r="L41" i="20"/>
  <c r="K41" i="20"/>
  <c r="J41" i="20"/>
  <c r="I41" i="20"/>
  <c r="H41" i="20"/>
  <c r="L39" i="20"/>
  <c r="K39" i="20"/>
  <c r="J39" i="20"/>
  <c r="I39" i="20"/>
  <c r="H39" i="20"/>
  <c r="L35" i="20"/>
  <c r="K35" i="20"/>
  <c r="J35" i="20"/>
  <c r="J44" i="20" s="1"/>
  <c r="J46" i="20" s="1"/>
  <c r="I35" i="20"/>
  <c r="I44" i="20" s="1"/>
  <c r="I46" i="20" s="1"/>
  <c r="H35" i="20"/>
  <c r="H44" i="20" s="1"/>
  <c r="H46" i="20" s="1"/>
  <c r="L31" i="20"/>
  <c r="K31" i="20"/>
  <c r="J31" i="20"/>
  <c r="I31" i="20"/>
  <c r="H31" i="20"/>
  <c r="L29" i="20"/>
  <c r="K29" i="20"/>
  <c r="J29" i="20"/>
  <c r="I29" i="20"/>
  <c r="H29" i="20"/>
  <c r="L28" i="20"/>
  <c r="K28" i="20"/>
  <c r="J28" i="20"/>
  <c r="I28" i="20"/>
  <c r="H28" i="20"/>
  <c r="L27" i="20"/>
  <c r="K27" i="20"/>
  <c r="J27" i="20"/>
  <c r="I27" i="20"/>
  <c r="H27" i="20"/>
  <c r="L26" i="20"/>
  <c r="K26" i="20"/>
  <c r="J26" i="20"/>
  <c r="I26" i="20"/>
  <c r="H26" i="20"/>
  <c r="L25" i="20"/>
  <c r="K25" i="20"/>
  <c r="J25" i="20"/>
  <c r="I25" i="20"/>
  <c r="H25" i="20"/>
  <c r="L24" i="20"/>
  <c r="K24" i="20"/>
  <c r="J24" i="20"/>
  <c r="I24" i="20"/>
  <c r="H24" i="20"/>
  <c r="L23" i="20"/>
  <c r="K23" i="20"/>
  <c r="J23" i="20"/>
  <c r="I23" i="20"/>
  <c r="H23" i="20"/>
  <c r="L22" i="20"/>
  <c r="K22" i="20"/>
  <c r="J22" i="20"/>
  <c r="I22" i="20"/>
  <c r="H22" i="20"/>
  <c r="B29" i="20"/>
  <c r="B28" i="20"/>
  <c r="B27" i="20"/>
  <c r="B26" i="20"/>
  <c r="B25" i="20"/>
  <c r="B22" i="20"/>
  <c r="B24" i="20"/>
  <c r="B23" i="20"/>
  <c r="L16" i="20"/>
  <c r="K16" i="20"/>
  <c r="J16" i="20"/>
  <c r="I16" i="20"/>
  <c r="L15" i="20"/>
  <c r="K15" i="20"/>
  <c r="J15" i="20"/>
  <c r="I15" i="20"/>
  <c r="L14" i="20"/>
  <c r="K14" i="20"/>
  <c r="J14" i="20"/>
  <c r="I14" i="20"/>
  <c r="H16" i="20"/>
  <c r="H15" i="20"/>
  <c r="H14" i="20"/>
  <c r="B16" i="20"/>
  <c r="B15" i="20"/>
  <c r="B14" i="20"/>
  <c r="L10" i="20"/>
  <c r="K10" i="20"/>
  <c r="J10" i="20"/>
  <c r="I10" i="20"/>
  <c r="L9" i="20"/>
  <c r="K9" i="20"/>
  <c r="J9" i="20"/>
  <c r="I9" i="20"/>
  <c r="L8" i="20"/>
  <c r="K8" i="20"/>
  <c r="J8" i="20"/>
  <c r="I8" i="20"/>
  <c r="L7" i="20"/>
  <c r="K7" i="20"/>
  <c r="J7" i="20"/>
  <c r="I7" i="20"/>
  <c r="H10" i="20"/>
  <c r="H9" i="20"/>
  <c r="H8" i="20"/>
  <c r="H7" i="20"/>
  <c r="L4" i="20"/>
  <c r="K4" i="20"/>
  <c r="J4" i="20"/>
  <c r="I4" i="20"/>
  <c r="H4" i="20"/>
  <c r="L29" i="9"/>
  <c r="K29" i="9"/>
  <c r="J29" i="9"/>
  <c r="I29" i="9"/>
  <c r="H29" i="9"/>
  <c r="G29" i="9"/>
  <c r="F29" i="9"/>
  <c r="E29" i="9"/>
  <c r="D29" i="9"/>
  <c r="C29" i="9"/>
  <c r="L35" i="17"/>
  <c r="K35" i="17"/>
  <c r="J35" i="17"/>
  <c r="I35" i="17"/>
  <c r="H35" i="17"/>
  <c r="G35" i="17"/>
  <c r="F35" i="17"/>
  <c r="E35" i="17"/>
  <c r="D35" i="17"/>
  <c r="C35" i="17"/>
  <c r="K74" i="6"/>
  <c r="J74" i="6"/>
  <c r="I74" i="6"/>
  <c r="H74" i="6"/>
  <c r="G74" i="6"/>
  <c r="F74" i="6"/>
  <c r="E74" i="6"/>
  <c r="D74" i="6"/>
  <c r="C74" i="6"/>
  <c r="B74" i="6"/>
  <c r="L38" i="17"/>
  <c r="K38" i="17"/>
  <c r="J38" i="17"/>
  <c r="I38" i="17"/>
  <c r="H38" i="17"/>
  <c r="G38" i="17"/>
  <c r="F38" i="17"/>
  <c r="E38" i="17"/>
  <c r="D38" i="17"/>
  <c r="L37" i="17"/>
  <c r="K37" i="17"/>
  <c r="J37" i="17"/>
  <c r="I37" i="17"/>
  <c r="H37" i="17"/>
  <c r="G37" i="17"/>
  <c r="F37" i="17"/>
  <c r="E37" i="17"/>
  <c r="D37" i="17"/>
  <c r="L36" i="17"/>
  <c r="K36" i="17"/>
  <c r="J36" i="17"/>
  <c r="I36" i="17"/>
  <c r="H36" i="17"/>
  <c r="G36" i="17"/>
  <c r="F36" i="17"/>
  <c r="E36" i="17"/>
  <c r="D36" i="17"/>
  <c r="L34" i="17"/>
  <c r="K34" i="17"/>
  <c r="J34" i="17"/>
  <c r="I34" i="17"/>
  <c r="H34" i="17"/>
  <c r="G34" i="17"/>
  <c r="F34" i="17"/>
  <c r="E34" i="17"/>
  <c r="D34" i="17"/>
  <c r="L33" i="17"/>
  <c r="K33" i="17"/>
  <c r="J33" i="17"/>
  <c r="I33" i="17"/>
  <c r="H33" i="17"/>
  <c r="G33" i="17"/>
  <c r="F33" i="17"/>
  <c r="E33" i="17"/>
  <c r="D33" i="17"/>
  <c r="L32" i="17"/>
  <c r="K32" i="17"/>
  <c r="J32" i="17"/>
  <c r="I32" i="17"/>
  <c r="H32" i="17"/>
  <c r="G32" i="17"/>
  <c r="F32" i="17"/>
  <c r="E32" i="17"/>
  <c r="D32" i="17"/>
  <c r="L31" i="17"/>
  <c r="K31" i="17"/>
  <c r="J31" i="17"/>
  <c r="I31" i="17"/>
  <c r="H31" i="17"/>
  <c r="G31" i="17"/>
  <c r="F31" i="17"/>
  <c r="E31" i="17"/>
  <c r="D31" i="17"/>
  <c r="C36" i="17"/>
  <c r="C37" i="17"/>
  <c r="C38" i="17"/>
  <c r="C34" i="17"/>
  <c r="C33" i="17"/>
  <c r="C32" i="17"/>
  <c r="C31" i="17"/>
  <c r="K75" i="6"/>
  <c r="J75" i="6"/>
  <c r="I75" i="6"/>
  <c r="H75" i="6"/>
  <c r="G75" i="6"/>
  <c r="F75" i="6"/>
  <c r="E75" i="6"/>
  <c r="D75" i="6"/>
  <c r="C75" i="6"/>
  <c r="B75" i="6"/>
  <c r="L29" i="17"/>
  <c r="K29" i="17"/>
  <c r="J29" i="17"/>
  <c r="I29" i="17"/>
  <c r="H29" i="17"/>
  <c r="G29" i="17"/>
  <c r="F29" i="17"/>
  <c r="E29" i="17"/>
  <c r="D29" i="17"/>
  <c r="C29" i="17"/>
  <c r="L28" i="17"/>
  <c r="K28" i="17"/>
  <c r="J28" i="17"/>
  <c r="I28" i="17"/>
  <c r="H28" i="17"/>
  <c r="G28" i="17"/>
  <c r="F28" i="17"/>
  <c r="E28" i="17"/>
  <c r="D28" i="17"/>
  <c r="C28" i="17"/>
  <c r="L27" i="17"/>
  <c r="K27" i="17"/>
  <c r="J27" i="17"/>
  <c r="I27" i="17"/>
  <c r="H27" i="17"/>
  <c r="G27" i="17"/>
  <c r="F27" i="17"/>
  <c r="E27" i="17"/>
  <c r="D27" i="17"/>
  <c r="C27" i="17"/>
  <c r="L26" i="17"/>
  <c r="K26" i="17"/>
  <c r="J26" i="17"/>
  <c r="I26" i="17"/>
  <c r="H26" i="17"/>
  <c r="G26" i="17"/>
  <c r="F26" i="17"/>
  <c r="E26" i="17"/>
  <c r="D26" i="17"/>
  <c r="C26" i="17"/>
  <c r="L25" i="17"/>
  <c r="K25" i="17"/>
  <c r="J25" i="17"/>
  <c r="I25" i="17"/>
  <c r="H25" i="17"/>
  <c r="G25" i="17"/>
  <c r="F25" i="17"/>
  <c r="E25" i="17"/>
  <c r="D25" i="17"/>
  <c r="C25" i="17"/>
  <c r="B38" i="17"/>
  <c r="B37" i="17"/>
  <c r="B36" i="17"/>
  <c r="B34" i="17"/>
  <c r="B33" i="17"/>
  <c r="B32" i="17"/>
  <c r="B29" i="17"/>
  <c r="B28" i="17"/>
  <c r="B27" i="17"/>
  <c r="B26" i="17"/>
  <c r="L23" i="17"/>
  <c r="K23" i="17"/>
  <c r="J23" i="17"/>
  <c r="I23" i="17"/>
  <c r="H23" i="17"/>
  <c r="G23" i="17"/>
  <c r="F23" i="17"/>
  <c r="E23" i="17"/>
  <c r="D23" i="17"/>
  <c r="C23" i="17"/>
  <c r="B22" i="17"/>
  <c r="L20" i="17"/>
  <c r="K20" i="17"/>
  <c r="J20" i="17"/>
  <c r="I20" i="17"/>
  <c r="H20" i="17"/>
  <c r="G20" i="17"/>
  <c r="F20" i="17"/>
  <c r="E20" i="17"/>
  <c r="D20" i="17"/>
  <c r="C20" i="17"/>
  <c r="L19" i="17"/>
  <c r="K19" i="17"/>
  <c r="J19" i="17"/>
  <c r="I19" i="17"/>
  <c r="H19" i="17"/>
  <c r="G19" i="17"/>
  <c r="F19" i="17"/>
  <c r="E19" i="17"/>
  <c r="D19" i="17"/>
  <c r="C19" i="17"/>
  <c r="L18" i="17"/>
  <c r="K18" i="17"/>
  <c r="J18" i="17"/>
  <c r="I18" i="17"/>
  <c r="H18" i="17"/>
  <c r="G18" i="17"/>
  <c r="F18" i="17"/>
  <c r="E18" i="17"/>
  <c r="D18" i="17"/>
  <c r="C18" i="17"/>
  <c r="L17" i="17"/>
  <c r="K17" i="17"/>
  <c r="J17" i="17"/>
  <c r="I17" i="17"/>
  <c r="H17" i="17"/>
  <c r="G17" i="17"/>
  <c r="F17" i="17"/>
  <c r="E17" i="17"/>
  <c r="D17" i="17"/>
  <c r="C17" i="17"/>
  <c r="L16" i="17"/>
  <c r="K16" i="17"/>
  <c r="J16" i="17"/>
  <c r="I16" i="17"/>
  <c r="H16" i="17"/>
  <c r="G16" i="17"/>
  <c r="F16" i="17"/>
  <c r="E16" i="17"/>
  <c r="D16" i="17"/>
  <c r="C16" i="17"/>
  <c r="L15" i="17"/>
  <c r="K15" i="17"/>
  <c r="J15" i="17"/>
  <c r="I15" i="17"/>
  <c r="H15" i="17"/>
  <c r="G15" i="17"/>
  <c r="F15" i="17"/>
  <c r="E15" i="17"/>
  <c r="D15" i="17"/>
  <c r="C15" i="17"/>
  <c r="L14" i="17"/>
  <c r="K14" i="17"/>
  <c r="J14" i="17"/>
  <c r="I14" i="17"/>
  <c r="H14" i="17"/>
  <c r="G14" i="17"/>
  <c r="F14" i="17"/>
  <c r="E14" i="17"/>
  <c r="D14" i="17"/>
  <c r="C14" i="17"/>
  <c r="L13" i="17"/>
  <c r="K13" i="17"/>
  <c r="J13" i="17"/>
  <c r="I13" i="17"/>
  <c r="H13" i="17"/>
  <c r="G13" i="17"/>
  <c r="F13" i="17"/>
  <c r="E13" i="17"/>
  <c r="D13" i="17"/>
  <c r="C13" i="17"/>
  <c r="L12" i="17"/>
  <c r="K12" i="17"/>
  <c r="J12" i="17"/>
  <c r="I12" i="17"/>
  <c r="H12" i="17"/>
  <c r="G12" i="17"/>
  <c r="F12" i="17"/>
  <c r="E12" i="17"/>
  <c r="D12" i="17"/>
  <c r="C12" i="17"/>
  <c r="L11" i="17"/>
  <c r="K11" i="17"/>
  <c r="J11" i="17"/>
  <c r="I11" i="17"/>
  <c r="H11" i="17"/>
  <c r="G11" i="17"/>
  <c r="F11" i="17"/>
  <c r="E11" i="17"/>
  <c r="D11" i="17"/>
  <c r="C11" i="17"/>
  <c r="L10" i="17"/>
  <c r="K10" i="17"/>
  <c r="J10" i="17"/>
  <c r="I10" i="17"/>
  <c r="H10" i="17"/>
  <c r="G10" i="17"/>
  <c r="F10" i="17"/>
  <c r="E10" i="17"/>
  <c r="D10" i="17"/>
  <c r="C10" i="17"/>
  <c r="L9" i="17"/>
  <c r="K9" i="17"/>
  <c r="J9" i="17"/>
  <c r="I9" i="17"/>
  <c r="H9" i="17"/>
  <c r="G9" i="17"/>
  <c r="F9" i="17"/>
  <c r="E9" i="17"/>
  <c r="D9" i="17"/>
  <c r="C9" i="17"/>
  <c r="L8" i="17"/>
  <c r="K8" i="17"/>
  <c r="J8" i="17"/>
  <c r="I8" i="17"/>
  <c r="H8" i="17"/>
  <c r="G8" i="17"/>
  <c r="F8" i="17"/>
  <c r="E8" i="17"/>
  <c r="D8" i="17"/>
  <c r="C8" i="17"/>
  <c r="L7" i="17"/>
  <c r="K7" i="17"/>
  <c r="J7" i="17"/>
  <c r="I7" i="17"/>
  <c r="H7" i="17"/>
  <c r="G7" i="17"/>
  <c r="F7" i="17"/>
  <c r="E7" i="17"/>
  <c r="D7" i="17"/>
  <c r="C7" i="17"/>
  <c r="L6" i="17"/>
  <c r="K6" i="17"/>
  <c r="J6" i="17"/>
  <c r="I6" i="17"/>
  <c r="H6" i="17"/>
  <c r="G6" i="17"/>
  <c r="F6" i="17"/>
  <c r="E6" i="17"/>
  <c r="D6" i="17"/>
  <c r="C6" i="17"/>
  <c r="L5" i="17"/>
  <c r="K5" i="17"/>
  <c r="J5" i="17"/>
  <c r="I5" i="17"/>
  <c r="H5" i="17"/>
  <c r="G5" i="17"/>
  <c r="F5" i="17"/>
  <c r="E5" i="17"/>
  <c r="D5" i="17"/>
  <c r="C5" i="17"/>
  <c r="B18" i="17"/>
  <c r="B19" i="17"/>
  <c r="B20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2" i="17"/>
  <c r="L3" i="17"/>
  <c r="K3" i="17"/>
  <c r="J3" i="17"/>
  <c r="I3" i="17"/>
  <c r="H3" i="17"/>
  <c r="G3" i="17"/>
  <c r="F3" i="17"/>
  <c r="E3" i="17"/>
  <c r="D3" i="17"/>
  <c r="C3" i="17"/>
  <c r="K32" i="6"/>
  <c r="J32" i="6"/>
  <c r="I32" i="6"/>
  <c r="H32" i="6"/>
  <c r="G32" i="6"/>
  <c r="F32" i="6"/>
  <c r="E32" i="6"/>
  <c r="D32" i="6"/>
  <c r="C32" i="6"/>
  <c r="B32" i="6"/>
  <c r="K33" i="6"/>
  <c r="J33" i="6"/>
  <c r="I33" i="6"/>
  <c r="H33" i="6"/>
  <c r="G33" i="6"/>
  <c r="F33" i="6"/>
  <c r="E33" i="6"/>
  <c r="D33" i="6"/>
  <c r="C33" i="6"/>
  <c r="B33" i="6"/>
  <c r="K47" i="13"/>
  <c r="K45" i="13"/>
  <c r="K44" i="13"/>
  <c r="K42" i="13"/>
  <c r="K41" i="13"/>
  <c r="K27" i="13"/>
  <c r="F5" i="16"/>
  <c r="F3" i="16"/>
  <c r="E27" i="13"/>
  <c r="K28" i="13"/>
  <c r="K29" i="13" s="1"/>
  <c r="K37" i="13"/>
  <c r="C36" i="13"/>
  <c r="C35" i="13"/>
  <c r="C37" i="13" s="1"/>
  <c r="D37" i="13" s="1"/>
  <c r="K35" i="13"/>
  <c r="E36" i="13"/>
  <c r="E35" i="13"/>
  <c r="E39" i="13" s="1"/>
  <c r="H19" i="13"/>
  <c r="K34" i="13"/>
  <c r="J19" i="13"/>
  <c r="I19" i="13"/>
  <c r="G19" i="13"/>
  <c r="J18" i="13"/>
  <c r="I18" i="13"/>
  <c r="H18" i="13"/>
  <c r="G18" i="13"/>
  <c r="F19" i="13"/>
  <c r="F18" i="13"/>
  <c r="J12" i="13"/>
  <c r="J16" i="13"/>
  <c r="J15" i="13"/>
  <c r="J14" i="13"/>
  <c r="J13" i="13"/>
  <c r="I16" i="13"/>
  <c r="I15" i="13"/>
  <c r="I14" i="13"/>
  <c r="I13" i="13"/>
  <c r="I12" i="13"/>
  <c r="H16" i="13"/>
  <c r="H15" i="13"/>
  <c r="H14" i="13"/>
  <c r="H13" i="13"/>
  <c r="H12" i="13"/>
  <c r="C8" i="15"/>
  <c r="C7" i="15"/>
  <c r="C6" i="15"/>
  <c r="C5" i="15"/>
  <c r="C4" i="15"/>
  <c r="K271" i="15"/>
  <c r="K277" i="15" s="1"/>
  <c r="K207" i="15"/>
  <c r="K213" i="15" s="1"/>
  <c r="K143" i="15"/>
  <c r="K149" i="15" s="1"/>
  <c r="K79" i="15"/>
  <c r="K85" i="15"/>
  <c r="K14" i="15"/>
  <c r="K20" i="15" s="1"/>
  <c r="K12" i="14"/>
  <c r="F14" i="22" l="1"/>
  <c r="H14" i="22"/>
  <c r="F11" i="22"/>
  <c r="H7" i="22"/>
  <c r="F8" i="22"/>
  <c r="H8" i="22" s="1"/>
  <c r="H11" i="22"/>
  <c r="F9" i="22"/>
  <c r="H9" i="22" s="1"/>
  <c r="F10" i="22"/>
  <c r="H10" i="22" s="1"/>
  <c r="F12" i="22"/>
  <c r="H12" i="22" s="1"/>
  <c r="F13" i="22"/>
  <c r="H13" i="22" s="1"/>
  <c r="I12" i="19"/>
  <c r="J12" i="19"/>
  <c r="L11" i="19"/>
  <c r="L12" i="19" s="1"/>
  <c r="K12" i="19"/>
  <c r="H10" i="19"/>
  <c r="I6" i="19"/>
  <c r="I8" i="19" s="1"/>
  <c r="I10" i="19" s="1"/>
  <c r="J9" i="19"/>
  <c r="K9" i="19"/>
  <c r="L9" i="19"/>
  <c r="L4" i="19"/>
  <c r="H11" i="20"/>
  <c r="K11" i="20"/>
  <c r="L11" i="20"/>
  <c r="K17" i="20"/>
  <c r="J17" i="20"/>
  <c r="L17" i="20"/>
  <c r="I11" i="20"/>
  <c r="J11" i="20"/>
  <c r="I30" i="20"/>
  <c r="I32" i="20" s="1"/>
  <c r="J30" i="20"/>
  <c r="J32" i="20" s="1"/>
  <c r="K30" i="20"/>
  <c r="K32" i="20" s="1"/>
  <c r="L30" i="20"/>
  <c r="L32" i="20" s="1"/>
  <c r="I17" i="20"/>
  <c r="I19" i="20" s="1"/>
  <c r="H30" i="20"/>
  <c r="H32" i="20" s="1"/>
  <c r="H17" i="20"/>
  <c r="D36" i="13"/>
  <c r="D35" i="13"/>
  <c r="D39" i="13" s="1"/>
  <c r="I13" i="19" l="1"/>
  <c r="J6" i="19"/>
  <c r="K6" i="19" s="1"/>
  <c r="I34" i="20"/>
  <c r="I37" i="20" s="1"/>
  <c r="H19" i="20"/>
  <c r="I42" i="20" s="1"/>
  <c r="I48" i="20" s="1"/>
  <c r="I49" i="20" s="1"/>
  <c r="H34" i="20"/>
  <c r="H37" i="20" s="1"/>
  <c r="K19" i="20"/>
  <c r="L19" i="20"/>
  <c r="J19" i="20"/>
  <c r="D330" i="15"/>
  <c r="D329" i="15"/>
  <c r="D328" i="15"/>
  <c r="D327" i="15"/>
  <c r="D326" i="15"/>
  <c r="D325" i="15"/>
  <c r="D324" i="15"/>
  <c r="D323" i="15"/>
  <c r="D322" i="15"/>
  <c r="D321" i="15"/>
  <c r="D320" i="15"/>
  <c r="D319" i="15"/>
  <c r="D318" i="15"/>
  <c r="D317" i="15"/>
  <c r="D316" i="15"/>
  <c r="D315" i="15"/>
  <c r="D314" i="15"/>
  <c r="D313" i="15"/>
  <c r="D312" i="15"/>
  <c r="D311" i="15"/>
  <c r="D310" i="15"/>
  <c r="D309" i="15"/>
  <c r="D308" i="15"/>
  <c r="D307" i="15"/>
  <c r="D306" i="15"/>
  <c r="D305" i="15"/>
  <c r="D304" i="15"/>
  <c r="D303" i="15"/>
  <c r="D302" i="15"/>
  <c r="D301" i="15"/>
  <c r="D300" i="15"/>
  <c r="D299" i="15"/>
  <c r="D298" i="15"/>
  <c r="D297" i="15"/>
  <c r="D296" i="15"/>
  <c r="D295" i="15"/>
  <c r="D294" i="15"/>
  <c r="D293" i="15"/>
  <c r="D292" i="15"/>
  <c r="D291" i="15"/>
  <c r="D290" i="15"/>
  <c r="D289" i="15"/>
  <c r="D288" i="15"/>
  <c r="D287" i="15"/>
  <c r="D286" i="15"/>
  <c r="D285" i="15"/>
  <c r="D284" i="15"/>
  <c r="D283" i="15"/>
  <c r="D282" i="15"/>
  <c r="D281" i="15"/>
  <c r="D280" i="15"/>
  <c r="D279" i="15"/>
  <c r="D278" i="15"/>
  <c r="D277" i="15"/>
  <c r="D276" i="15"/>
  <c r="D275" i="15"/>
  <c r="D274" i="15"/>
  <c r="D273" i="15"/>
  <c r="D272" i="15"/>
  <c r="D266" i="15"/>
  <c r="D265" i="15"/>
  <c r="D264" i="15"/>
  <c r="D263" i="15"/>
  <c r="D262" i="15"/>
  <c r="D261" i="15"/>
  <c r="D260" i="15"/>
  <c r="D259" i="15"/>
  <c r="D258" i="15"/>
  <c r="D257" i="15"/>
  <c r="D256" i="15"/>
  <c r="D255" i="15"/>
  <c r="D254" i="15"/>
  <c r="D253" i="15"/>
  <c r="D252" i="15"/>
  <c r="D251" i="15"/>
  <c r="D250" i="15"/>
  <c r="D249" i="15"/>
  <c r="D248" i="15"/>
  <c r="D247" i="15"/>
  <c r="D246" i="15"/>
  <c r="D245" i="15"/>
  <c r="D244" i="15"/>
  <c r="D243" i="15"/>
  <c r="D242" i="15"/>
  <c r="D241" i="15"/>
  <c r="D240" i="15"/>
  <c r="D239" i="15"/>
  <c r="D238" i="15"/>
  <c r="D237" i="15"/>
  <c r="D236" i="15"/>
  <c r="D235" i="15"/>
  <c r="D234" i="15"/>
  <c r="D233" i="15"/>
  <c r="D232" i="15"/>
  <c r="D231" i="15"/>
  <c r="D230" i="15"/>
  <c r="D229" i="15"/>
  <c r="D228" i="15"/>
  <c r="D227" i="15"/>
  <c r="D226" i="15"/>
  <c r="D225" i="15"/>
  <c r="D224" i="15"/>
  <c r="D223" i="15"/>
  <c r="D222" i="15"/>
  <c r="D221" i="15"/>
  <c r="D220" i="15"/>
  <c r="D219" i="15"/>
  <c r="D218" i="15"/>
  <c r="D217" i="15"/>
  <c r="D216" i="15"/>
  <c r="D215" i="15"/>
  <c r="D214" i="15"/>
  <c r="D213" i="15"/>
  <c r="D212" i="15"/>
  <c r="D211" i="15"/>
  <c r="D210" i="15"/>
  <c r="D209" i="15"/>
  <c r="D208" i="15"/>
  <c r="D202" i="15"/>
  <c r="D201" i="15"/>
  <c r="D200" i="15"/>
  <c r="D199" i="15"/>
  <c r="D198" i="15"/>
  <c r="D197" i="15"/>
  <c r="D196" i="15"/>
  <c r="D195" i="15"/>
  <c r="D194" i="15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G330" i="15"/>
  <c r="G329" i="15"/>
  <c r="G328" i="15"/>
  <c r="G327" i="15"/>
  <c r="G326" i="15"/>
  <c r="G325" i="15"/>
  <c r="G324" i="15"/>
  <c r="G323" i="15"/>
  <c r="G322" i="15"/>
  <c r="G321" i="15"/>
  <c r="G320" i="15"/>
  <c r="G319" i="15"/>
  <c r="G318" i="15"/>
  <c r="G317" i="15"/>
  <c r="G316" i="15"/>
  <c r="G315" i="15"/>
  <c r="G314" i="15"/>
  <c r="G313" i="15"/>
  <c r="G312" i="15"/>
  <c r="G311" i="15"/>
  <c r="G310" i="15"/>
  <c r="G309" i="15"/>
  <c r="G308" i="15"/>
  <c r="G307" i="15"/>
  <c r="G306" i="15"/>
  <c r="G305" i="15"/>
  <c r="G304" i="15"/>
  <c r="G303" i="15"/>
  <c r="G302" i="15"/>
  <c r="G301" i="15"/>
  <c r="G300" i="15"/>
  <c r="G299" i="15"/>
  <c r="G298" i="15"/>
  <c r="G297" i="15"/>
  <c r="G296" i="15"/>
  <c r="G295" i="15"/>
  <c r="G294" i="15"/>
  <c r="G293" i="15"/>
  <c r="G292" i="15"/>
  <c r="G291" i="15"/>
  <c r="G290" i="15"/>
  <c r="G289" i="15"/>
  <c r="G288" i="15"/>
  <c r="G287" i="15"/>
  <c r="G286" i="15"/>
  <c r="G285" i="15"/>
  <c r="G284" i="15"/>
  <c r="G283" i="15"/>
  <c r="G282" i="15"/>
  <c r="G281" i="15"/>
  <c r="G280" i="15"/>
  <c r="G279" i="15"/>
  <c r="G278" i="15"/>
  <c r="G277" i="15"/>
  <c r="G276" i="15"/>
  <c r="G275" i="15"/>
  <c r="G274" i="15"/>
  <c r="G273" i="15"/>
  <c r="G272" i="15"/>
  <c r="G266" i="15"/>
  <c r="G265" i="15"/>
  <c r="G264" i="15"/>
  <c r="G263" i="15"/>
  <c r="G262" i="15"/>
  <c r="G261" i="15"/>
  <c r="G260" i="15"/>
  <c r="G259" i="15"/>
  <c r="G258" i="15"/>
  <c r="G257" i="15"/>
  <c r="G256" i="15"/>
  <c r="G255" i="15"/>
  <c r="G254" i="15"/>
  <c r="G253" i="15"/>
  <c r="G252" i="15"/>
  <c r="G251" i="15"/>
  <c r="G250" i="15"/>
  <c r="G249" i="15"/>
  <c r="G248" i="15"/>
  <c r="G247" i="15"/>
  <c r="G246" i="15"/>
  <c r="G245" i="15"/>
  <c r="G244" i="15"/>
  <c r="G243" i="15"/>
  <c r="G242" i="15"/>
  <c r="G241" i="15"/>
  <c r="G240" i="15"/>
  <c r="G239" i="15"/>
  <c r="G238" i="15"/>
  <c r="G237" i="15"/>
  <c r="G236" i="15"/>
  <c r="G235" i="15"/>
  <c r="G234" i="15"/>
  <c r="G233" i="15"/>
  <c r="G232" i="15"/>
  <c r="G231" i="15"/>
  <c r="G230" i="15"/>
  <c r="G229" i="15"/>
  <c r="G228" i="15"/>
  <c r="G227" i="15"/>
  <c r="G226" i="15"/>
  <c r="G225" i="15"/>
  <c r="G224" i="15"/>
  <c r="G223" i="15"/>
  <c r="G222" i="15"/>
  <c r="G221" i="15"/>
  <c r="G220" i="15"/>
  <c r="G219" i="15"/>
  <c r="G218" i="15"/>
  <c r="G217" i="15"/>
  <c r="G216" i="15"/>
  <c r="G215" i="15"/>
  <c r="G214" i="15"/>
  <c r="G213" i="15"/>
  <c r="G212" i="15"/>
  <c r="G211" i="15"/>
  <c r="G210" i="15"/>
  <c r="G209" i="15"/>
  <c r="G208" i="15"/>
  <c r="G202" i="15"/>
  <c r="G201" i="15"/>
  <c r="G200" i="15"/>
  <c r="G199" i="15"/>
  <c r="G198" i="15"/>
  <c r="G197" i="15"/>
  <c r="G196" i="15"/>
  <c r="G195" i="15"/>
  <c r="G194" i="15"/>
  <c r="G193" i="15"/>
  <c r="G192" i="15"/>
  <c r="G191" i="15"/>
  <c r="G190" i="15"/>
  <c r="G189" i="15"/>
  <c r="G188" i="15"/>
  <c r="G187" i="15"/>
  <c r="G186" i="15"/>
  <c r="G185" i="15"/>
  <c r="G184" i="15"/>
  <c r="G183" i="15"/>
  <c r="G182" i="15"/>
  <c r="G181" i="15"/>
  <c r="G180" i="15"/>
  <c r="G179" i="15"/>
  <c r="G178" i="15"/>
  <c r="G177" i="15"/>
  <c r="G176" i="15"/>
  <c r="G175" i="15"/>
  <c r="G174" i="15"/>
  <c r="G173" i="15"/>
  <c r="G172" i="15"/>
  <c r="G171" i="15"/>
  <c r="G170" i="15"/>
  <c r="G169" i="15"/>
  <c r="G168" i="15"/>
  <c r="G167" i="15"/>
  <c r="G166" i="15"/>
  <c r="G165" i="15"/>
  <c r="G164" i="15"/>
  <c r="G163" i="15"/>
  <c r="G162" i="15"/>
  <c r="G161" i="15"/>
  <c r="G160" i="15"/>
  <c r="G159" i="15"/>
  <c r="G158" i="15"/>
  <c r="G157" i="15"/>
  <c r="G156" i="15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D138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K5" i="14"/>
  <c r="N7" i="14"/>
  <c r="J8" i="19" l="1"/>
  <c r="J10" i="19" s="1"/>
  <c r="J13" i="19" s="1"/>
  <c r="L6" i="19"/>
  <c r="L8" i="19" s="1"/>
  <c r="L10" i="19" s="1"/>
  <c r="K8" i="19"/>
  <c r="K10" i="19" s="1"/>
  <c r="K13" i="19" s="1"/>
  <c r="J34" i="20"/>
  <c r="J37" i="20" s="1"/>
  <c r="J42" i="20"/>
  <c r="J48" i="20" s="1"/>
  <c r="J49" i="20" s="1"/>
  <c r="L51" i="20" s="1"/>
  <c r="L34" i="20"/>
  <c r="L37" i="20" s="1"/>
  <c r="L42" i="20"/>
  <c r="L48" i="20" s="1"/>
  <c r="L49" i="20" s="1"/>
  <c r="K34" i="20"/>
  <c r="K37" i="20" s="1"/>
  <c r="K42" i="20"/>
  <c r="K48" i="20" s="1"/>
  <c r="K49" i="20" s="1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E28" i="13"/>
  <c r="C9" i="8"/>
  <c r="O6" i="12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5" i="12"/>
  <c r="N6" i="12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5" i="12"/>
  <c r="N2" i="12"/>
  <c r="H2" i="12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H5" i="12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B2" i="12"/>
  <c r="D4" i="12" a="1"/>
  <c r="D4" i="12" s="1"/>
  <c r="C4" i="12"/>
  <c r="C5" i="12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D21" i="19" l="1"/>
  <c r="D25" i="19" s="1"/>
  <c r="L13" i="19"/>
  <c r="D29" i="19" s="1"/>
  <c r="L52" i="20"/>
  <c r="N6" i="14"/>
  <c r="N5" i="14"/>
  <c r="D7" i="12"/>
  <c r="D13" i="12"/>
  <c r="D12" i="12"/>
  <c r="E12" i="12" s="1"/>
  <c r="D11" i="12"/>
  <c r="D10" i="12"/>
  <c r="D9" i="12"/>
  <c r="D8" i="12"/>
  <c r="D6" i="12"/>
  <c r="D5" i="12"/>
  <c r="E5" i="12" s="1"/>
  <c r="E11" i="12"/>
  <c r="B5" i="12"/>
  <c r="B6" i="12" s="1"/>
  <c r="B7" i="12" s="1"/>
  <c r="B8" i="12" s="1"/>
  <c r="B9" i="12" s="1"/>
  <c r="B10" i="12" s="1"/>
  <c r="B11" i="12" s="1"/>
  <c r="B12" i="12" s="1"/>
  <c r="B13" i="12" s="1"/>
  <c r="B14" i="12" s="1"/>
  <c r="O41" i="11"/>
  <c r="O40" i="11"/>
  <c r="O39" i="11"/>
  <c r="O37" i="11"/>
  <c r="O36" i="11"/>
  <c r="O35" i="11"/>
  <c r="O34" i="11"/>
  <c r="O31" i="11"/>
  <c r="O30" i="11"/>
  <c r="O29" i="11"/>
  <c r="O28" i="11"/>
  <c r="O27" i="11"/>
  <c r="O18" i="11"/>
  <c r="O17" i="11"/>
  <c r="O9" i="11"/>
  <c r="O5" i="11"/>
  <c r="N41" i="11"/>
  <c r="N40" i="11"/>
  <c r="N39" i="11"/>
  <c r="N37" i="11"/>
  <c r="N36" i="11"/>
  <c r="N35" i="11"/>
  <c r="N34" i="11"/>
  <c r="N31" i="11"/>
  <c r="N30" i="11"/>
  <c r="N29" i="11"/>
  <c r="N28" i="11"/>
  <c r="N27" i="11"/>
  <c r="N18" i="11"/>
  <c r="N17" i="11"/>
  <c r="N9" i="11"/>
  <c r="N5" i="11"/>
  <c r="L41" i="11"/>
  <c r="K41" i="11"/>
  <c r="J41" i="11"/>
  <c r="I41" i="11"/>
  <c r="H41" i="11"/>
  <c r="G41" i="11"/>
  <c r="F41" i="11"/>
  <c r="E41" i="11"/>
  <c r="D41" i="11"/>
  <c r="L40" i="11"/>
  <c r="K40" i="11"/>
  <c r="J40" i="11"/>
  <c r="I40" i="11"/>
  <c r="H40" i="11"/>
  <c r="G40" i="11"/>
  <c r="F40" i="11"/>
  <c r="E40" i="11"/>
  <c r="D40" i="11"/>
  <c r="L39" i="11"/>
  <c r="K39" i="11"/>
  <c r="J39" i="11"/>
  <c r="I39" i="11"/>
  <c r="H39" i="11"/>
  <c r="G39" i="11"/>
  <c r="F39" i="11"/>
  <c r="E39" i="11"/>
  <c r="D39" i="11"/>
  <c r="C41" i="11"/>
  <c r="C40" i="11"/>
  <c r="C39" i="11"/>
  <c r="L37" i="11"/>
  <c r="K37" i="11"/>
  <c r="J37" i="11"/>
  <c r="L36" i="11"/>
  <c r="K36" i="11"/>
  <c r="J36" i="11"/>
  <c r="I36" i="11"/>
  <c r="H36" i="11"/>
  <c r="G36" i="11"/>
  <c r="F36" i="11"/>
  <c r="E36" i="11"/>
  <c r="D36" i="11"/>
  <c r="L35" i="11"/>
  <c r="K35" i="11"/>
  <c r="J35" i="11"/>
  <c r="I35" i="11"/>
  <c r="I37" i="11" s="1"/>
  <c r="H35" i="11"/>
  <c r="H37" i="11" s="1"/>
  <c r="G35" i="11"/>
  <c r="G37" i="11" s="1"/>
  <c r="F35" i="11"/>
  <c r="F37" i="11" s="1"/>
  <c r="E35" i="11"/>
  <c r="E37" i="11" s="1"/>
  <c r="D35" i="11"/>
  <c r="D37" i="11" s="1"/>
  <c r="L34" i="11"/>
  <c r="K34" i="11"/>
  <c r="J34" i="11"/>
  <c r="I34" i="11"/>
  <c r="H34" i="11"/>
  <c r="G34" i="11"/>
  <c r="F34" i="11"/>
  <c r="E34" i="11"/>
  <c r="D34" i="11"/>
  <c r="C37" i="11"/>
  <c r="C36" i="11"/>
  <c r="C35" i="11"/>
  <c r="C34" i="11"/>
  <c r="L31" i="11"/>
  <c r="K31" i="11"/>
  <c r="J31" i="11"/>
  <c r="I31" i="11"/>
  <c r="H31" i="11"/>
  <c r="G31" i="11"/>
  <c r="F31" i="11"/>
  <c r="E31" i="11"/>
  <c r="D31" i="11"/>
  <c r="L30" i="11"/>
  <c r="K30" i="11"/>
  <c r="J30" i="11"/>
  <c r="I30" i="11"/>
  <c r="H30" i="11"/>
  <c r="G30" i="11"/>
  <c r="F30" i="11"/>
  <c r="E30" i="11"/>
  <c r="D30" i="11"/>
  <c r="L29" i="11"/>
  <c r="K29" i="11"/>
  <c r="J29" i="11"/>
  <c r="I29" i="11"/>
  <c r="H29" i="11"/>
  <c r="G29" i="11"/>
  <c r="F29" i="11"/>
  <c r="E29" i="11"/>
  <c r="D29" i="11"/>
  <c r="C31" i="11"/>
  <c r="C30" i="11"/>
  <c r="C29" i="11"/>
  <c r="C28" i="11"/>
  <c r="C27" i="11"/>
  <c r="L28" i="11"/>
  <c r="K28" i="11"/>
  <c r="J28" i="11"/>
  <c r="I28" i="11"/>
  <c r="H28" i="11"/>
  <c r="G28" i="11"/>
  <c r="F28" i="11"/>
  <c r="E28" i="11"/>
  <c r="D28" i="11"/>
  <c r="L27" i="11"/>
  <c r="K27" i="11"/>
  <c r="J27" i="11"/>
  <c r="I27" i="11"/>
  <c r="H27" i="11"/>
  <c r="G27" i="11"/>
  <c r="F27" i="11"/>
  <c r="E27" i="11"/>
  <c r="D27" i="11"/>
  <c r="L25" i="11"/>
  <c r="K25" i="11"/>
  <c r="J25" i="11"/>
  <c r="I25" i="11"/>
  <c r="H25" i="11"/>
  <c r="G25" i="11"/>
  <c r="F25" i="11"/>
  <c r="E25" i="11"/>
  <c r="D25" i="11"/>
  <c r="L9" i="11"/>
  <c r="K9" i="11"/>
  <c r="J9" i="11"/>
  <c r="I9" i="11"/>
  <c r="H9" i="11"/>
  <c r="G9" i="11"/>
  <c r="F9" i="11"/>
  <c r="E9" i="11"/>
  <c r="L8" i="11"/>
  <c r="K8" i="11"/>
  <c r="J8" i="11"/>
  <c r="I8" i="11"/>
  <c r="H8" i="11"/>
  <c r="G8" i="11"/>
  <c r="F8" i="11"/>
  <c r="E8" i="11"/>
  <c r="L7" i="11"/>
  <c r="K7" i="11"/>
  <c r="J7" i="11"/>
  <c r="I7" i="11"/>
  <c r="H7" i="11"/>
  <c r="G7" i="11"/>
  <c r="F7" i="11"/>
  <c r="E7" i="11"/>
  <c r="L6" i="11"/>
  <c r="K6" i="11"/>
  <c r="J6" i="11"/>
  <c r="I6" i="11"/>
  <c r="H6" i="11"/>
  <c r="G6" i="11"/>
  <c r="F6" i="11"/>
  <c r="E6" i="11"/>
  <c r="L5" i="11"/>
  <c r="K5" i="11"/>
  <c r="J5" i="11"/>
  <c r="I5" i="11"/>
  <c r="H5" i="11"/>
  <c r="G5" i="11"/>
  <c r="F5" i="11"/>
  <c r="E5" i="11"/>
  <c r="L24" i="11"/>
  <c r="K24" i="11"/>
  <c r="J24" i="11"/>
  <c r="I24" i="11"/>
  <c r="H24" i="11"/>
  <c r="G24" i="11"/>
  <c r="F24" i="11"/>
  <c r="E24" i="11"/>
  <c r="D24" i="11"/>
  <c r="L23" i="11"/>
  <c r="K23" i="11"/>
  <c r="J23" i="11"/>
  <c r="I23" i="11"/>
  <c r="H23" i="11"/>
  <c r="G23" i="11"/>
  <c r="F23" i="11"/>
  <c r="E23" i="11"/>
  <c r="D23" i="11"/>
  <c r="L22" i="11"/>
  <c r="K22" i="11"/>
  <c r="J22" i="11"/>
  <c r="I22" i="11"/>
  <c r="H22" i="11"/>
  <c r="G22" i="11"/>
  <c r="F22" i="11"/>
  <c r="E22" i="11"/>
  <c r="D22" i="11"/>
  <c r="L21" i="11"/>
  <c r="K21" i="11"/>
  <c r="J21" i="11"/>
  <c r="I21" i="11"/>
  <c r="H21" i="11"/>
  <c r="G21" i="11"/>
  <c r="F21" i="11"/>
  <c r="E21" i="11"/>
  <c r="D21" i="11"/>
  <c r="L19" i="11"/>
  <c r="K19" i="11"/>
  <c r="J19" i="11"/>
  <c r="I19" i="11"/>
  <c r="H19" i="11"/>
  <c r="G19" i="11"/>
  <c r="F19" i="11"/>
  <c r="E19" i="11"/>
  <c r="D19" i="11"/>
  <c r="L18" i="11"/>
  <c r="K18" i="11"/>
  <c r="J18" i="11"/>
  <c r="I18" i="11"/>
  <c r="H18" i="11"/>
  <c r="G18" i="11"/>
  <c r="F18" i="11"/>
  <c r="E18" i="11"/>
  <c r="D18" i="11"/>
  <c r="L17" i="11"/>
  <c r="K17" i="11"/>
  <c r="J17" i="11"/>
  <c r="I17" i="11"/>
  <c r="H17" i="11"/>
  <c r="G17" i="11"/>
  <c r="F17" i="11"/>
  <c r="E17" i="11"/>
  <c r="D17" i="11"/>
  <c r="C18" i="11"/>
  <c r="C17" i="11"/>
  <c r="L15" i="11"/>
  <c r="K15" i="11"/>
  <c r="J15" i="11"/>
  <c r="I15" i="11"/>
  <c r="H15" i="11"/>
  <c r="G15" i="11"/>
  <c r="F15" i="11"/>
  <c r="E15" i="11"/>
  <c r="D15" i="11"/>
  <c r="L14" i="11"/>
  <c r="K14" i="11"/>
  <c r="J14" i="11"/>
  <c r="I14" i="11"/>
  <c r="H14" i="11"/>
  <c r="G14" i="11"/>
  <c r="F14" i="11"/>
  <c r="E14" i="11"/>
  <c r="D14" i="11"/>
  <c r="L13" i="11"/>
  <c r="K13" i="11"/>
  <c r="J13" i="11"/>
  <c r="I13" i="11"/>
  <c r="H13" i="11"/>
  <c r="G13" i="11"/>
  <c r="F13" i="11"/>
  <c r="E13" i="11"/>
  <c r="D13" i="11"/>
  <c r="L12" i="11"/>
  <c r="K12" i="11"/>
  <c r="J12" i="11"/>
  <c r="I12" i="11"/>
  <c r="H12" i="11"/>
  <c r="G12" i="11"/>
  <c r="F12" i="11"/>
  <c r="E12" i="11"/>
  <c r="D12" i="11"/>
  <c r="L11" i="11"/>
  <c r="K11" i="11"/>
  <c r="J11" i="11"/>
  <c r="I11" i="11"/>
  <c r="H11" i="11"/>
  <c r="G11" i="11"/>
  <c r="F11" i="11"/>
  <c r="E11" i="11"/>
  <c r="D11" i="11"/>
  <c r="D9" i="11"/>
  <c r="D5" i="11"/>
  <c r="D30" i="19" l="1"/>
  <c r="D31" i="19" s="1"/>
  <c r="E7" i="12"/>
  <c r="E8" i="12"/>
  <c r="E13" i="12"/>
  <c r="D19" i="12"/>
  <c r="E10" i="12"/>
  <c r="E9" i="12"/>
  <c r="E6" i="12"/>
  <c r="B15" i="12"/>
  <c r="D14" i="12"/>
  <c r="E14" i="12" s="1"/>
  <c r="B2" i="11"/>
  <c r="L3" i="11"/>
  <c r="K3" i="11"/>
  <c r="J3" i="11"/>
  <c r="I3" i="11"/>
  <c r="H3" i="11"/>
  <c r="G3" i="11"/>
  <c r="F3" i="11"/>
  <c r="E3" i="11"/>
  <c r="D3" i="11"/>
  <c r="C3" i="11"/>
  <c r="M77" i="8"/>
  <c r="L77" i="8"/>
  <c r="L99" i="8" s="1"/>
  <c r="K77" i="8"/>
  <c r="K99" i="8" s="1"/>
  <c r="J77" i="8"/>
  <c r="I77" i="8"/>
  <c r="H77" i="8"/>
  <c r="H99" i="8" s="1"/>
  <c r="G77" i="8"/>
  <c r="G99" i="8" s="1"/>
  <c r="F77" i="8"/>
  <c r="F99" i="8" s="1"/>
  <c r="E77" i="8"/>
  <c r="E99" i="8" s="1"/>
  <c r="D77" i="8"/>
  <c r="D99" i="8" s="1"/>
  <c r="C77" i="8"/>
  <c r="C99" i="8" s="1"/>
  <c r="M99" i="8"/>
  <c r="J99" i="8"/>
  <c r="I99" i="8"/>
  <c r="M97" i="8"/>
  <c r="L97" i="8"/>
  <c r="K97" i="8"/>
  <c r="J97" i="8"/>
  <c r="I97" i="8"/>
  <c r="H97" i="8"/>
  <c r="G97" i="8"/>
  <c r="F97" i="8"/>
  <c r="E97" i="8"/>
  <c r="D97" i="8"/>
  <c r="C97" i="8"/>
  <c r="M96" i="8"/>
  <c r="L96" i="8"/>
  <c r="K96" i="8"/>
  <c r="J96" i="8"/>
  <c r="I96" i="8"/>
  <c r="H96" i="8"/>
  <c r="G96" i="8"/>
  <c r="F96" i="8"/>
  <c r="E96" i="8"/>
  <c r="D96" i="8"/>
  <c r="C96" i="8"/>
  <c r="M95" i="8"/>
  <c r="L95" i="8"/>
  <c r="K95" i="8"/>
  <c r="J95" i="8"/>
  <c r="I95" i="8"/>
  <c r="H95" i="8"/>
  <c r="G95" i="8"/>
  <c r="F95" i="8"/>
  <c r="E95" i="8"/>
  <c r="D95" i="8"/>
  <c r="C95" i="8"/>
  <c r="M94" i="8"/>
  <c r="L94" i="8"/>
  <c r="K94" i="8"/>
  <c r="J94" i="8"/>
  <c r="I94" i="8"/>
  <c r="H94" i="8"/>
  <c r="G94" i="8"/>
  <c r="F94" i="8"/>
  <c r="E94" i="8"/>
  <c r="D94" i="8"/>
  <c r="C94" i="8"/>
  <c r="M93" i="8"/>
  <c r="L93" i="8"/>
  <c r="K93" i="8"/>
  <c r="J93" i="8"/>
  <c r="I93" i="8"/>
  <c r="H93" i="8"/>
  <c r="G93" i="8"/>
  <c r="F93" i="8"/>
  <c r="E93" i="8"/>
  <c r="D93" i="8"/>
  <c r="C93" i="8"/>
  <c r="M92" i="8"/>
  <c r="L92" i="8"/>
  <c r="K92" i="8"/>
  <c r="J92" i="8"/>
  <c r="I92" i="8"/>
  <c r="H92" i="8"/>
  <c r="G92" i="8"/>
  <c r="F92" i="8"/>
  <c r="E92" i="8"/>
  <c r="D92" i="8"/>
  <c r="C92" i="8"/>
  <c r="M91" i="8"/>
  <c r="L91" i="8"/>
  <c r="K91" i="8"/>
  <c r="J91" i="8"/>
  <c r="I91" i="8"/>
  <c r="H91" i="8"/>
  <c r="G91" i="8"/>
  <c r="F91" i="8"/>
  <c r="E91" i="8"/>
  <c r="D91" i="8"/>
  <c r="C91" i="8"/>
  <c r="M90" i="8"/>
  <c r="L90" i="8"/>
  <c r="K90" i="8"/>
  <c r="J90" i="8"/>
  <c r="I90" i="8"/>
  <c r="H90" i="8"/>
  <c r="G90" i="8"/>
  <c r="F90" i="8"/>
  <c r="E90" i="8"/>
  <c r="D90" i="8"/>
  <c r="C90" i="8"/>
  <c r="M87" i="8"/>
  <c r="L87" i="8"/>
  <c r="K87" i="8"/>
  <c r="J87" i="8"/>
  <c r="I87" i="8"/>
  <c r="H87" i="8"/>
  <c r="G87" i="8"/>
  <c r="F87" i="8"/>
  <c r="E87" i="8"/>
  <c r="D87" i="8"/>
  <c r="C87" i="8"/>
  <c r="M86" i="8"/>
  <c r="L86" i="8"/>
  <c r="K86" i="8"/>
  <c r="J86" i="8"/>
  <c r="I86" i="8"/>
  <c r="H86" i="8"/>
  <c r="G86" i="8"/>
  <c r="F86" i="8"/>
  <c r="E86" i="8"/>
  <c r="D86" i="8"/>
  <c r="C86" i="8"/>
  <c r="M85" i="8"/>
  <c r="L85" i="8"/>
  <c r="K85" i="8"/>
  <c r="J85" i="8"/>
  <c r="I85" i="8"/>
  <c r="H85" i="8"/>
  <c r="G85" i="8"/>
  <c r="F85" i="8"/>
  <c r="E85" i="8"/>
  <c r="D85" i="8"/>
  <c r="C85" i="8"/>
  <c r="M84" i="8"/>
  <c r="L84" i="8"/>
  <c r="K84" i="8"/>
  <c r="J84" i="8"/>
  <c r="I84" i="8"/>
  <c r="H84" i="8"/>
  <c r="G84" i="8"/>
  <c r="F84" i="8"/>
  <c r="E84" i="8"/>
  <c r="D84" i="8"/>
  <c r="C84" i="8"/>
  <c r="M83" i="8"/>
  <c r="L83" i="8"/>
  <c r="K83" i="8"/>
  <c r="J83" i="8"/>
  <c r="I83" i="8"/>
  <c r="H83" i="8"/>
  <c r="G83" i="8"/>
  <c r="F83" i="8"/>
  <c r="E83" i="8"/>
  <c r="D83" i="8"/>
  <c r="C83" i="8"/>
  <c r="M82" i="8"/>
  <c r="L82" i="8"/>
  <c r="K82" i="8"/>
  <c r="J82" i="8"/>
  <c r="I82" i="8"/>
  <c r="H82" i="8"/>
  <c r="G82" i="8"/>
  <c r="F82" i="8"/>
  <c r="E82" i="8"/>
  <c r="D82" i="8"/>
  <c r="C82" i="8"/>
  <c r="M81" i="8"/>
  <c r="L81" i="8"/>
  <c r="K81" i="8"/>
  <c r="J81" i="8"/>
  <c r="I81" i="8"/>
  <c r="H81" i="8"/>
  <c r="G81" i="8"/>
  <c r="F81" i="8"/>
  <c r="E81" i="8"/>
  <c r="D81" i="8"/>
  <c r="C81" i="8"/>
  <c r="M80" i="8"/>
  <c r="L80" i="8"/>
  <c r="K80" i="8"/>
  <c r="J80" i="8"/>
  <c r="I80" i="8"/>
  <c r="H80" i="8"/>
  <c r="G80" i="8"/>
  <c r="F80" i="8"/>
  <c r="E80" i="8"/>
  <c r="D80" i="8"/>
  <c r="C80" i="8"/>
  <c r="M76" i="8"/>
  <c r="L76" i="8"/>
  <c r="K76" i="8"/>
  <c r="J76" i="8"/>
  <c r="I76" i="8"/>
  <c r="H76" i="8"/>
  <c r="G76" i="8"/>
  <c r="F76" i="8"/>
  <c r="E76" i="8"/>
  <c r="D76" i="8"/>
  <c r="C76" i="8"/>
  <c r="M75" i="8"/>
  <c r="L75" i="8"/>
  <c r="K75" i="8"/>
  <c r="J75" i="8"/>
  <c r="I75" i="8"/>
  <c r="H75" i="8"/>
  <c r="G75" i="8"/>
  <c r="F75" i="8"/>
  <c r="E75" i="8"/>
  <c r="D75" i="8"/>
  <c r="C75" i="8"/>
  <c r="M74" i="8"/>
  <c r="L74" i="8"/>
  <c r="K74" i="8"/>
  <c r="J74" i="8"/>
  <c r="I74" i="8"/>
  <c r="H74" i="8"/>
  <c r="G74" i="8"/>
  <c r="F74" i="8"/>
  <c r="E74" i="8"/>
  <c r="D74" i="8"/>
  <c r="C74" i="8"/>
  <c r="M73" i="8"/>
  <c r="L73" i="8"/>
  <c r="K73" i="8"/>
  <c r="J73" i="8"/>
  <c r="I73" i="8"/>
  <c r="H73" i="8"/>
  <c r="G73" i="8"/>
  <c r="F73" i="8"/>
  <c r="E73" i="8"/>
  <c r="D73" i="8"/>
  <c r="C73" i="8"/>
  <c r="M72" i="8"/>
  <c r="L72" i="8"/>
  <c r="K72" i="8"/>
  <c r="J72" i="8"/>
  <c r="I72" i="8"/>
  <c r="H72" i="8"/>
  <c r="G72" i="8"/>
  <c r="F72" i="8"/>
  <c r="E72" i="8"/>
  <c r="D72" i="8"/>
  <c r="C72" i="8"/>
  <c r="M71" i="8"/>
  <c r="L71" i="8"/>
  <c r="K71" i="8"/>
  <c r="J71" i="8"/>
  <c r="I71" i="8"/>
  <c r="H71" i="8"/>
  <c r="G71" i="8"/>
  <c r="F71" i="8"/>
  <c r="E71" i="8"/>
  <c r="D71" i="8"/>
  <c r="C71" i="8"/>
  <c r="M70" i="8"/>
  <c r="L70" i="8"/>
  <c r="K70" i="8"/>
  <c r="J70" i="8"/>
  <c r="I70" i="8"/>
  <c r="H70" i="8"/>
  <c r="G70" i="8"/>
  <c r="F70" i="8"/>
  <c r="E70" i="8"/>
  <c r="D70" i="8"/>
  <c r="C70" i="8"/>
  <c r="M56" i="8"/>
  <c r="L56" i="8"/>
  <c r="K56" i="8"/>
  <c r="J56" i="8"/>
  <c r="I56" i="8"/>
  <c r="H56" i="8"/>
  <c r="H57" i="8" s="1"/>
  <c r="H64" i="8" s="1"/>
  <c r="H66" i="8" s="1"/>
  <c r="G56" i="8"/>
  <c r="G57" i="8" s="1"/>
  <c r="G64" i="8" s="1"/>
  <c r="G66" i="8" s="1"/>
  <c r="F56" i="8"/>
  <c r="F57" i="8" s="1"/>
  <c r="F64" i="8" s="1"/>
  <c r="F66" i="8" s="1"/>
  <c r="E56" i="8"/>
  <c r="E57" i="8" s="1"/>
  <c r="E64" i="8" s="1"/>
  <c r="E66" i="8" s="1"/>
  <c r="D56" i="8"/>
  <c r="D57" i="8" s="1"/>
  <c r="D64" i="8" s="1"/>
  <c r="D66" i="8" s="1"/>
  <c r="C56" i="8"/>
  <c r="C51" i="8"/>
  <c r="M57" i="8"/>
  <c r="M64" i="8" s="1"/>
  <c r="M66" i="8" s="1"/>
  <c r="L57" i="8"/>
  <c r="L64" i="8" s="1"/>
  <c r="L66" i="8" s="1"/>
  <c r="K57" i="8"/>
  <c r="J57" i="8"/>
  <c r="J64" i="8" s="1"/>
  <c r="J66" i="8" s="1"/>
  <c r="I57" i="8"/>
  <c r="I64" i="8" s="1"/>
  <c r="I66" i="8" s="1"/>
  <c r="C57" i="8"/>
  <c r="C64" i="8" s="1"/>
  <c r="C66" i="8" s="1"/>
  <c r="K64" i="8"/>
  <c r="K66" i="8" s="1"/>
  <c r="D59" i="8"/>
  <c r="D62" i="8" s="1"/>
  <c r="E59" i="8"/>
  <c r="F59" i="8"/>
  <c r="G59" i="8"/>
  <c r="H59" i="8"/>
  <c r="I59" i="8"/>
  <c r="J59" i="8"/>
  <c r="K59" i="8"/>
  <c r="K62" i="8" s="1"/>
  <c r="L59" i="8"/>
  <c r="L62" i="8" s="1"/>
  <c r="M59" i="8"/>
  <c r="M62" i="8" s="1"/>
  <c r="D60" i="8"/>
  <c r="E60" i="8"/>
  <c r="E62" i="8" s="1"/>
  <c r="F60" i="8"/>
  <c r="F62" i="8" s="1"/>
  <c r="G60" i="8"/>
  <c r="H60" i="8"/>
  <c r="I60" i="8"/>
  <c r="J60" i="8"/>
  <c r="K60" i="8"/>
  <c r="L60" i="8"/>
  <c r="M60" i="8"/>
  <c r="D61" i="8"/>
  <c r="E61" i="8"/>
  <c r="F61" i="8"/>
  <c r="G61" i="8"/>
  <c r="G62" i="8" s="1"/>
  <c r="H61" i="8"/>
  <c r="H62" i="8" s="1"/>
  <c r="I61" i="8"/>
  <c r="J61" i="8"/>
  <c r="K61" i="8"/>
  <c r="L61" i="8"/>
  <c r="M61" i="8"/>
  <c r="I62" i="8"/>
  <c r="J62" i="8"/>
  <c r="C62" i="8"/>
  <c r="C60" i="8"/>
  <c r="C61" i="8"/>
  <c r="C59" i="8"/>
  <c r="D53" i="8"/>
  <c r="E53" i="8"/>
  <c r="F53" i="8"/>
  <c r="G53" i="8"/>
  <c r="H53" i="8"/>
  <c r="I53" i="8"/>
  <c r="J53" i="8"/>
  <c r="K53" i="8"/>
  <c r="L53" i="8"/>
  <c r="M53" i="8"/>
  <c r="D54" i="8"/>
  <c r="E54" i="8"/>
  <c r="F54" i="8"/>
  <c r="G54" i="8"/>
  <c r="H54" i="8"/>
  <c r="I54" i="8"/>
  <c r="J54" i="8"/>
  <c r="K54" i="8"/>
  <c r="L54" i="8"/>
  <c r="M54" i="8"/>
  <c r="D55" i="8"/>
  <c r="E55" i="8"/>
  <c r="F55" i="8"/>
  <c r="G55" i="8"/>
  <c r="H55" i="8"/>
  <c r="I55" i="8"/>
  <c r="J55" i="8"/>
  <c r="K55" i="8"/>
  <c r="L55" i="8"/>
  <c r="M55" i="8"/>
  <c r="C55" i="8"/>
  <c r="C54" i="8"/>
  <c r="C53" i="8"/>
  <c r="D47" i="8"/>
  <c r="E47" i="8"/>
  <c r="F47" i="8"/>
  <c r="G47" i="8"/>
  <c r="H47" i="8"/>
  <c r="I47" i="8"/>
  <c r="J47" i="8"/>
  <c r="K47" i="8"/>
  <c r="L47" i="8"/>
  <c r="M47" i="8"/>
  <c r="D48" i="8"/>
  <c r="E48" i="8"/>
  <c r="F48" i="8"/>
  <c r="G48" i="8"/>
  <c r="H48" i="8"/>
  <c r="I48" i="8"/>
  <c r="J48" i="8"/>
  <c r="K48" i="8"/>
  <c r="L48" i="8"/>
  <c r="M48" i="8"/>
  <c r="D49" i="8"/>
  <c r="E49" i="8"/>
  <c r="F49" i="8"/>
  <c r="G49" i="8"/>
  <c r="H49" i="8"/>
  <c r="I49" i="8"/>
  <c r="J49" i="8"/>
  <c r="K49" i="8"/>
  <c r="L49" i="8"/>
  <c r="M49" i="8"/>
  <c r="D50" i="8"/>
  <c r="E50" i="8"/>
  <c r="F50" i="8"/>
  <c r="G50" i="8"/>
  <c r="H50" i="8"/>
  <c r="I50" i="8"/>
  <c r="J50" i="8"/>
  <c r="K50" i="8"/>
  <c r="L50" i="8"/>
  <c r="M50" i="8"/>
  <c r="D51" i="8"/>
  <c r="E51" i="8"/>
  <c r="F51" i="8"/>
  <c r="G51" i="8"/>
  <c r="H51" i="8"/>
  <c r="I51" i="8"/>
  <c r="J51" i="8"/>
  <c r="K51" i="8"/>
  <c r="L51" i="8"/>
  <c r="M51" i="8"/>
  <c r="C48" i="8"/>
  <c r="C49" i="8"/>
  <c r="C50" i="8"/>
  <c r="C47" i="8"/>
  <c r="L36" i="8"/>
  <c r="L41" i="8" s="1"/>
  <c r="K36" i="8"/>
  <c r="K41" i="8" s="1"/>
  <c r="J36" i="8"/>
  <c r="J41" i="8" s="1"/>
  <c r="I36" i="8"/>
  <c r="I41" i="8" s="1"/>
  <c r="H36" i="8"/>
  <c r="H41" i="8" s="1"/>
  <c r="G36" i="8"/>
  <c r="G41" i="8" s="1"/>
  <c r="F36" i="8"/>
  <c r="F41" i="8" s="1"/>
  <c r="E36" i="8"/>
  <c r="E41" i="8" s="1"/>
  <c r="D36" i="8"/>
  <c r="D41" i="8" s="1"/>
  <c r="C36" i="8"/>
  <c r="C41" i="8" s="1"/>
  <c r="M30" i="8"/>
  <c r="L30" i="8"/>
  <c r="K30" i="8"/>
  <c r="J30" i="8"/>
  <c r="I30" i="8"/>
  <c r="H30" i="8"/>
  <c r="G30" i="8"/>
  <c r="F30" i="8"/>
  <c r="E30" i="8"/>
  <c r="D30" i="8"/>
  <c r="C30" i="8"/>
  <c r="M24" i="8"/>
  <c r="L24" i="8"/>
  <c r="K24" i="8"/>
  <c r="J24" i="8"/>
  <c r="I24" i="8"/>
  <c r="H24" i="8"/>
  <c r="G24" i="8"/>
  <c r="F24" i="8"/>
  <c r="E24" i="8"/>
  <c r="D24" i="8"/>
  <c r="C24" i="8"/>
  <c r="M21" i="8"/>
  <c r="L21" i="8"/>
  <c r="K21" i="8"/>
  <c r="J21" i="8"/>
  <c r="I21" i="8"/>
  <c r="H21" i="8"/>
  <c r="G21" i="8"/>
  <c r="F21" i="8"/>
  <c r="E21" i="8"/>
  <c r="D21" i="8"/>
  <c r="C21" i="8"/>
  <c r="L15" i="8"/>
  <c r="K15" i="8"/>
  <c r="J15" i="8"/>
  <c r="I15" i="8"/>
  <c r="H15" i="8"/>
  <c r="G15" i="8"/>
  <c r="F15" i="8"/>
  <c r="E15" i="8"/>
  <c r="D15" i="8"/>
  <c r="C15" i="8"/>
  <c r="M9" i="8"/>
  <c r="D9" i="8"/>
  <c r="E9" i="8"/>
  <c r="F9" i="8"/>
  <c r="G9" i="8"/>
  <c r="H9" i="8"/>
  <c r="I9" i="8"/>
  <c r="J9" i="8"/>
  <c r="K9" i="8"/>
  <c r="L9" i="8"/>
  <c r="M6" i="8"/>
  <c r="D6" i="8"/>
  <c r="E6" i="8"/>
  <c r="F6" i="8"/>
  <c r="G6" i="8"/>
  <c r="H6" i="8"/>
  <c r="I6" i="8"/>
  <c r="J6" i="8"/>
  <c r="J7" i="8" s="1"/>
  <c r="K6" i="8"/>
  <c r="L6" i="8"/>
  <c r="C6" i="8"/>
  <c r="L3" i="8"/>
  <c r="K3" i="8"/>
  <c r="J3" i="8"/>
  <c r="I3" i="8"/>
  <c r="H3" i="8"/>
  <c r="G3" i="8"/>
  <c r="F3" i="8"/>
  <c r="E3" i="8"/>
  <c r="D3" i="8"/>
  <c r="C3" i="8"/>
  <c r="B2" i="8"/>
  <c r="B6" i="6"/>
  <c r="E1" i="6"/>
  <c r="D35" i="19" l="1"/>
  <c r="D38" i="19" s="1"/>
  <c r="D42" i="19" s="1"/>
  <c r="F20" i="19"/>
  <c r="B16" i="12"/>
  <c r="D16" i="12" s="1"/>
  <c r="D15" i="12"/>
  <c r="E15" i="12" s="1"/>
  <c r="G25" i="8"/>
  <c r="C12" i="8"/>
  <c r="C13" i="8" s="1"/>
  <c r="C11" i="11" s="1"/>
  <c r="L12" i="8"/>
  <c r="L13" i="8" s="1"/>
  <c r="M36" i="8"/>
  <c r="M41" i="8" s="1"/>
  <c r="D7" i="8"/>
  <c r="L16" i="8"/>
  <c r="M7" i="8"/>
  <c r="C16" i="8"/>
  <c r="D16" i="8"/>
  <c r="H12" i="8"/>
  <c r="H18" i="8" s="1"/>
  <c r="G12" i="8"/>
  <c r="G18" i="8" s="1"/>
  <c r="L25" i="8"/>
  <c r="F12" i="8"/>
  <c r="F18" i="8" s="1"/>
  <c r="L22" i="8"/>
  <c r="J10" i="8"/>
  <c r="I10" i="8"/>
  <c r="G22" i="8"/>
  <c r="K16" i="8"/>
  <c r="C22" i="8"/>
  <c r="M12" i="8"/>
  <c r="M13" i="8" s="1"/>
  <c r="M22" i="8"/>
  <c r="L7" i="8"/>
  <c r="M10" i="8"/>
  <c r="C25" i="8"/>
  <c r="H25" i="8"/>
  <c r="E25" i="8"/>
  <c r="H10" i="8"/>
  <c r="F25" i="8"/>
  <c r="G10" i="8"/>
  <c r="E16" i="8"/>
  <c r="F10" i="8"/>
  <c r="M16" i="8"/>
  <c r="E10" i="8"/>
  <c r="I7" i="8"/>
  <c r="D10" i="8"/>
  <c r="E22" i="8"/>
  <c r="H7" i="8"/>
  <c r="C10" i="8"/>
  <c r="F22" i="8"/>
  <c r="K25" i="8"/>
  <c r="E7" i="8"/>
  <c r="D22" i="8"/>
  <c r="J12" i="8"/>
  <c r="J13" i="8" s="1"/>
  <c r="L10" i="8"/>
  <c r="M25" i="8"/>
  <c r="I12" i="8"/>
  <c r="I13" i="8" s="1"/>
  <c r="H13" i="8"/>
  <c r="K7" i="8"/>
  <c r="K12" i="8"/>
  <c r="J25" i="8"/>
  <c r="K22" i="8"/>
  <c r="D25" i="8"/>
  <c r="K10" i="8"/>
  <c r="I25" i="8"/>
  <c r="H22" i="8"/>
  <c r="G7" i="8"/>
  <c r="I22" i="8"/>
  <c r="F7" i="8"/>
  <c r="D12" i="8"/>
  <c r="F16" i="8"/>
  <c r="J22" i="8"/>
  <c r="E12" i="8"/>
  <c r="G16" i="8"/>
  <c r="H16" i="8"/>
  <c r="I16" i="8"/>
  <c r="J16" i="8"/>
  <c r="D41" i="19" l="1"/>
  <c r="O11" i="11"/>
  <c r="N11" i="11"/>
  <c r="E16" i="12"/>
  <c r="G13" i="8"/>
  <c r="L18" i="8"/>
  <c r="C18" i="8"/>
  <c r="G19" i="8"/>
  <c r="G27" i="8"/>
  <c r="H19" i="8"/>
  <c r="H27" i="8"/>
  <c r="F19" i="8"/>
  <c r="F27" i="8"/>
  <c r="L19" i="8"/>
  <c r="L27" i="8"/>
  <c r="F13" i="8"/>
  <c r="M18" i="8"/>
  <c r="I18" i="8"/>
  <c r="J18" i="8"/>
  <c r="E18" i="8"/>
  <c r="E13" i="8"/>
  <c r="D18" i="8"/>
  <c r="D13" i="8"/>
  <c r="K13" i="8"/>
  <c r="K18" i="8"/>
  <c r="C19" i="8" l="1"/>
  <c r="C12" i="11" s="1"/>
  <c r="J4" i="12" a="1"/>
  <c r="D6" i="11"/>
  <c r="C13" i="11"/>
  <c r="C21" i="11"/>
  <c r="C25" i="11"/>
  <c r="C27" i="8"/>
  <c r="C28" i="8"/>
  <c r="C14" i="11" s="1"/>
  <c r="C31" i="8"/>
  <c r="H33" i="8"/>
  <c r="H28" i="8"/>
  <c r="H31" i="8"/>
  <c r="L28" i="8"/>
  <c r="L31" i="8"/>
  <c r="L33" i="8"/>
  <c r="F28" i="8"/>
  <c r="F31" i="8"/>
  <c r="F33" i="8"/>
  <c r="G31" i="8"/>
  <c r="G33" i="8"/>
  <c r="G28" i="8"/>
  <c r="K19" i="8"/>
  <c r="K27" i="8"/>
  <c r="D19" i="8"/>
  <c r="D27" i="8"/>
  <c r="E19" i="8"/>
  <c r="E27" i="8"/>
  <c r="J19" i="8"/>
  <c r="J27" i="8"/>
  <c r="I19" i="8"/>
  <c r="I27" i="8"/>
  <c r="M19" i="8"/>
  <c r="M27" i="8"/>
  <c r="O13" i="11" l="1"/>
  <c r="N13" i="11"/>
  <c r="C19" i="11"/>
  <c r="N6" i="11"/>
  <c r="O6" i="11"/>
  <c r="O14" i="11"/>
  <c r="N14" i="11"/>
  <c r="C33" i="8"/>
  <c r="D7" i="11"/>
  <c r="N25" i="11"/>
  <c r="O25" i="11"/>
  <c r="O21" i="11"/>
  <c r="N21" i="11"/>
  <c r="J5" i="12"/>
  <c r="K5" i="12" s="1"/>
  <c r="J12" i="12"/>
  <c r="K12" i="12" s="1"/>
  <c r="J9" i="12"/>
  <c r="K9" i="12" s="1"/>
  <c r="J4" i="12"/>
  <c r="J13" i="12"/>
  <c r="J11" i="12"/>
  <c r="J10" i="12"/>
  <c r="J8" i="12"/>
  <c r="J7" i="12"/>
  <c r="J6" i="12"/>
  <c r="N12" i="11"/>
  <c r="O12" i="11"/>
  <c r="F34" i="8"/>
  <c r="F38" i="8"/>
  <c r="J28" i="8"/>
  <c r="J31" i="8"/>
  <c r="J33" i="8"/>
  <c r="E28" i="8"/>
  <c r="E31" i="8"/>
  <c r="E33" i="8"/>
  <c r="L38" i="8"/>
  <c r="L34" i="8"/>
  <c r="D28" i="8"/>
  <c r="D31" i="8"/>
  <c r="D33" i="8"/>
  <c r="K28" i="8"/>
  <c r="K31" i="8"/>
  <c r="K33" i="8"/>
  <c r="H34" i="8"/>
  <c r="H38" i="8"/>
  <c r="M28" i="8"/>
  <c r="M31" i="8"/>
  <c r="M33" i="8"/>
  <c r="C34" i="8"/>
  <c r="C15" i="11" s="1"/>
  <c r="C38" i="8"/>
  <c r="P4" i="12" s="1" a="1"/>
  <c r="G34" i="8"/>
  <c r="G38" i="8"/>
  <c r="I33" i="8"/>
  <c r="I28" i="8"/>
  <c r="I31" i="8"/>
  <c r="P4" i="12" l="1"/>
  <c r="P13" i="12"/>
  <c r="P12" i="12"/>
  <c r="P11" i="12"/>
  <c r="P9" i="12"/>
  <c r="P8" i="12"/>
  <c r="P7" i="12"/>
  <c r="P6" i="12"/>
  <c r="P5" i="12"/>
  <c r="Q5" i="12" s="1"/>
  <c r="P10" i="12"/>
  <c r="Q10" i="12" s="1"/>
  <c r="O15" i="11"/>
  <c r="N15" i="11"/>
  <c r="K6" i="12"/>
  <c r="K7" i="12"/>
  <c r="K8" i="12"/>
  <c r="N7" i="11"/>
  <c r="O7" i="11"/>
  <c r="K10" i="12"/>
  <c r="C23" i="11"/>
  <c r="D8" i="11"/>
  <c r="K11" i="12"/>
  <c r="K13" i="12"/>
  <c r="J15" i="12"/>
  <c r="K15" i="12" s="1"/>
  <c r="J16" i="12"/>
  <c r="K16" i="12" s="1"/>
  <c r="J14" i="12"/>
  <c r="K14" i="12" s="1"/>
  <c r="O19" i="11"/>
  <c r="N19" i="11"/>
  <c r="C42" i="8"/>
  <c r="C44" i="8"/>
  <c r="C22" i="11" s="1"/>
  <c r="L44" i="8"/>
  <c r="L42" i="8"/>
  <c r="H39" i="8"/>
  <c r="H42" i="8"/>
  <c r="H44" i="8" s="1"/>
  <c r="F42" i="8"/>
  <c r="F44" i="8" s="1"/>
  <c r="G39" i="8"/>
  <c r="G42" i="8"/>
  <c r="G44" i="8" s="1"/>
  <c r="M34" i="8"/>
  <c r="M38" i="8"/>
  <c r="J34" i="8"/>
  <c r="J38" i="8"/>
  <c r="K38" i="8"/>
  <c r="K34" i="8"/>
  <c r="E34" i="8"/>
  <c r="E38" i="8"/>
  <c r="I34" i="8"/>
  <c r="I38" i="8"/>
  <c r="D34" i="8"/>
  <c r="D38" i="8"/>
  <c r="O8" i="11" l="1"/>
  <c r="N8" i="11"/>
  <c r="Q6" i="12"/>
  <c r="N23" i="11"/>
  <c r="O23" i="11"/>
  <c r="Q7" i="12"/>
  <c r="Q8" i="12"/>
  <c r="N22" i="11"/>
  <c r="C24" i="11"/>
  <c r="O22" i="11"/>
  <c r="Q9" i="12"/>
  <c r="Q11" i="12"/>
  <c r="Q12" i="12"/>
  <c r="Q13" i="12"/>
  <c r="P16" i="12"/>
  <c r="P15" i="12"/>
  <c r="P14" i="12"/>
  <c r="Q14" i="12" s="1"/>
  <c r="I39" i="8"/>
  <c r="I42" i="8"/>
  <c r="I44" i="8" s="1"/>
  <c r="E39" i="8"/>
  <c r="E42" i="8"/>
  <c r="E44" i="8"/>
  <c r="F39" i="8"/>
  <c r="K39" i="8"/>
  <c r="K42" i="8"/>
  <c r="K44" i="8" s="1"/>
  <c r="J39" i="8"/>
  <c r="J42" i="8"/>
  <c r="J44" i="8" s="1"/>
  <c r="M39" i="8"/>
  <c r="M42" i="8"/>
  <c r="M44" i="8" s="1"/>
  <c r="L39" i="8"/>
  <c r="D39" i="8"/>
  <c r="D42" i="8"/>
  <c r="D44" i="8"/>
  <c r="O24" i="11" l="1"/>
  <c r="N24" i="11"/>
  <c r="Q15" i="12"/>
  <c r="Q16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MUSKAN</author>
  </authors>
  <commentList>
    <comment ref="M5" authorId="0" shapeId="0" xr:uid="{0BE67B0C-3BAE-4638-8308-47B9A639F930}">
      <text>
        <r>
          <rPr>
            <b/>
            <sz val="9"/>
            <color indexed="81"/>
            <rFont val="Tahoma"/>
            <family val="2"/>
          </rPr>
          <t>MUSKAN:</t>
        </r>
        <r>
          <rPr>
            <sz val="9"/>
            <color indexed="81"/>
            <rFont val="Tahoma"/>
            <family val="2"/>
          </rPr>
          <t xml:space="preserve">
  ways to calculate Beta</t>
        </r>
      </text>
    </comment>
    <comment ref="K12" authorId="0" shapeId="0" xr:uid="{B88F06C5-6B4D-4188-B9D6-F26E22F78DE7}">
      <text>
        <r>
          <rPr>
            <b/>
            <sz val="9"/>
            <color indexed="81"/>
            <rFont val="Tahoma"/>
            <family val="2"/>
          </rPr>
          <t>MUSKAN:</t>
        </r>
        <r>
          <rPr>
            <sz val="9"/>
            <color indexed="81"/>
            <rFont val="Tahoma"/>
            <family val="2"/>
          </rPr>
          <t xml:space="preserve">
  This beta is what I need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<sst xmlns="http://schemas.openxmlformats.org/spreadsheetml/2006/main" count="766" uniqueCount="389">
  <si>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</si>
  <si>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</si>
  <si>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</si>
  <si>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</si>
  <si>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</si>
  <si>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</si>
  <si>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</si>
  <si>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</si>
  <si>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</si>
  <si>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</si>
  <si>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</si>
  <si>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</si>
  <si>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</si>
  <si>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</si>
  <si>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</si>
  <si>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</si>
  <si>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</si>
  <si>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</si>
  <si>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</si>
  <si>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</si>
  <si>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</si>
  <si>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</si>
  <si>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</si>
  <si>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</si>
  <si>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</si>
  <si>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</si>
  <si>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</si>
  <si>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</si>
  <si>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</si>
  <si>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</si>
  <si>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</si>
  <si>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</si>
  <si>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DABUR INDIA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</si>
  <si>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</si>
  <si>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</si>
  <si>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</si>
  <si>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</si>
  <si>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</si>
  <si>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</si>
  <si>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</si>
  <si>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</si>
  <si>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</si>
  <si>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</si>
  <si>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</si>
  <si>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</si>
  <si>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</si>
  <si>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</si>
  <si>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</si>
  <si>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</si>
  <si>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</si>
  <si>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</si>
  <si>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</si>
  <si>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</si>
  <si>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</si>
  <si>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</si>
  <si>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</si>
  <si>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#</t>
  </si>
  <si>
    <t>Income statement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</si>
  <si>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</si>
  <si>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</si>
  <si>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</si>
  <si>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</si>
  <si>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</si>
  <si>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</si>
  <si>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</si>
  <si>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</t>
  </si>
  <si>
    <t>Interest % Sales</t>
  </si>
  <si>
    <t>EBITDA % Sales</t>
  </si>
  <si>
    <t>Depreciation % Sales</t>
  </si>
  <si>
    <t>Gross Margins</t>
  </si>
  <si>
    <t>Earnings Before Tax</t>
  </si>
  <si>
    <t>EBT % Sales</t>
  </si>
  <si>
    <t>Effective Tax Rate</t>
  </si>
  <si>
    <t>Net Profit</t>
  </si>
  <si>
    <t>Net Margins</t>
  </si>
  <si>
    <t>No. of Equity Share</t>
  </si>
  <si>
    <t>Dividend Per Share</t>
  </si>
  <si>
    <t>Earnings Per Share</t>
  </si>
  <si>
    <t>EPS Growth %</t>
  </si>
  <si>
    <t>Dividend Payout ratio</t>
  </si>
  <si>
    <t>Retained Earnings</t>
  </si>
  <si>
    <t>Balnce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</si>
  <si>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</si>
  <si>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</si>
  <si>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</si>
  <si>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</si>
  <si>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</si>
  <si>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</si>
  <si>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r>
      <t>Cash from Operating Activity </t>
    </r>
    <r>
      <rPr>
        <sz val="11"/>
        <color rgb="FF665EFD"/>
        <rFont val="Arial"/>
        <family val="2"/>
      </rPr>
      <t>-</t>
    </r>
  </si>
  <si>
    <t>Profit from operations</t>
  </si>
  <si>
    <t>Payables</t>
  </si>
  <si>
    <t>Other WC items</t>
  </si>
  <si>
    <t>Working capital changes</t>
  </si>
  <si>
    <t>Direct taxes</t>
  </si>
  <si>
    <r>
      <t>Cash from Investing Activity </t>
    </r>
    <r>
      <rPr>
        <sz val="11"/>
        <color rgb="FF665EFD"/>
        <rFont val="Arial"/>
        <family val="2"/>
      </rPr>
      <t>-</t>
    </r>
  </si>
  <si>
    <t>Fixed assets purchased</t>
  </si>
  <si>
    <t>Fixed assets sold</t>
  </si>
  <si>
    <t>Investments purchased</t>
  </si>
  <si>
    <t>Investments sold</t>
  </si>
  <si>
    <t>Interest received</t>
  </si>
  <si>
    <t>Invest in subsidiaries</t>
  </si>
  <si>
    <t>Other investing items</t>
  </si>
  <si>
    <r>
      <t>Cash from Financing Activity </t>
    </r>
    <r>
      <rPr>
        <sz val="11"/>
        <color rgb="FF665EFD"/>
        <rFont val="Arial"/>
        <family val="2"/>
      </rPr>
      <t>-</t>
    </r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</si>
  <si>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</si>
  <si>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</si>
  <si>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</si>
  <si>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</si>
  <si>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</si>
  <si>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</si>
  <si>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</si>
  <si>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Statements</t>
  </si>
  <si>
    <t>Cash from Operating Activities</t>
  </si>
  <si>
    <t>Operating Activities</t>
  </si>
  <si>
    <t>Investing Activities</t>
  </si>
  <si>
    <t>Cash from Investing Activities</t>
  </si>
  <si>
    <t>Financing Activities</t>
  </si>
  <si>
    <t>Cash from Financing Activities</t>
  </si>
  <si>
    <t>EBITDA Growth</t>
  </si>
  <si>
    <t>EBIT Growth</t>
  </si>
  <si>
    <t>Net Profit Growth</t>
  </si>
  <si>
    <t>Dividend Growth</t>
  </si>
  <si>
    <t>SalesGrowth</t>
  </si>
  <si>
    <t>Gross Margin</t>
  </si>
  <si>
    <t>EBITDA Margin</t>
  </si>
  <si>
    <t>EBIT Margin</t>
  </si>
  <si>
    <t>EBT Margin</t>
  </si>
  <si>
    <t>Net Profit Margin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</si>
  <si>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</si>
  <si>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</si>
  <si>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</si>
  <si>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</si>
  <si>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</si>
  <si>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</si>
  <si>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</si>
  <si>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</si>
  <si>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</si>
  <si>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</si>
  <si>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</si>
  <si>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</si>
  <si>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</si>
  <si>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</si>
  <si>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</si>
  <si>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</si>
  <si>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</si>
  <si>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SalesExpenses % Sales</t>
  </si>
  <si>
    <t>OperatingIncome % Sales</t>
  </si>
  <si>
    <t>(in days)</t>
  </si>
  <si>
    <t>Mean</t>
  </si>
  <si>
    <t>Median</t>
  </si>
  <si>
    <t>Trendline</t>
  </si>
  <si>
    <t>YEAR WEIGHT</t>
  </si>
  <si>
    <t>YEAR</t>
  </si>
  <si>
    <t>SALES</t>
  </si>
  <si>
    <t>Sales Growth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</si>
  <si>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</si>
  <si>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</si>
  <si>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</si>
  <si>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</si>
  <si>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</si>
  <si>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</si>
  <si>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</si>
  <si>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</si>
  <si>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</si>
  <si>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</si>
  <si>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</si>
  <si>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</si>
  <si>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</si>
  <si>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</si>
  <si>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</si>
  <si>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</si>
  <si>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</si>
  <si>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</si>
  <si>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</si>
  <si>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</si>
  <si>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</si>
  <si>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</si>
  <si>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</si>
  <si>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EPS</t>
  </si>
  <si>
    <t>EPS Growth</t>
  </si>
  <si>
    <t>Weighted Average Cost of Capital</t>
  </si>
  <si>
    <t>All figures are in INR unless stated otherwise</t>
  </si>
  <si>
    <t>Peer Comps</t>
  </si>
  <si>
    <t>Name of the Comp</t>
  </si>
  <si>
    <t>Country</t>
  </si>
  <si>
    <t>Total debt</t>
  </si>
  <si>
    <t>DEBT/</t>
  </si>
  <si>
    <t>EQUITY</t>
  </si>
  <si>
    <t>CAPITAL</t>
  </si>
  <si>
    <t>LEVERED</t>
  </si>
  <si>
    <t>UNLEVERED</t>
  </si>
  <si>
    <t>Cost of Debt</t>
  </si>
  <si>
    <t>Pre-Tax Cost of Debt</t>
  </si>
  <si>
    <t>Tax Rate</t>
  </si>
  <si>
    <t>Post Tax Cost of Debt</t>
  </si>
  <si>
    <t>Cost Of Equity</t>
  </si>
  <si>
    <t>Risk Free Rate</t>
  </si>
  <si>
    <t>Risk Premium</t>
  </si>
  <si>
    <t>Cost of Equity</t>
  </si>
  <si>
    <t>Capital Structure</t>
  </si>
  <si>
    <t>Current</t>
  </si>
  <si>
    <t>Target</t>
  </si>
  <si>
    <t>Total Debt</t>
  </si>
  <si>
    <t>Total Capital</t>
  </si>
  <si>
    <t>Levered Beta</t>
  </si>
  <si>
    <t>Comps Median Unlevered Beta</t>
  </si>
  <si>
    <t>Debt/ Equity</t>
  </si>
  <si>
    <t>Date</t>
  </si>
  <si>
    <t>Price</t>
  </si>
  <si>
    <t>Dabur India monthly returns</t>
  </si>
  <si>
    <t>Nifty returns</t>
  </si>
  <si>
    <t>Beta 1</t>
  </si>
  <si>
    <t>Beta 2</t>
  </si>
  <si>
    <t>Beta 3</t>
  </si>
  <si>
    <t>X Variable 1</t>
  </si>
  <si>
    <t>Beta Drifting</t>
  </si>
  <si>
    <t>Levered Raw Beta</t>
  </si>
  <si>
    <t>Beta weight</t>
  </si>
  <si>
    <t>Market Beta Weight</t>
  </si>
  <si>
    <t>Market Beta</t>
  </si>
  <si>
    <t>Adjusted Beta</t>
  </si>
  <si>
    <t>5 Year Monthly</t>
  </si>
  <si>
    <t>Godrej Consumer</t>
  </si>
  <si>
    <t>Emami</t>
  </si>
  <si>
    <t>Jyothy Labs</t>
  </si>
  <si>
    <t>Cupid</t>
  </si>
  <si>
    <t>Bajaj Consumer</t>
  </si>
  <si>
    <t>Comps</t>
  </si>
  <si>
    <t>Beta</t>
  </si>
  <si>
    <t>Godrej Consumer monthly returns</t>
  </si>
  <si>
    <t>Monthly Returns</t>
  </si>
  <si>
    <t>Nifty Returns</t>
  </si>
  <si>
    <t>Emami Monthly Returns</t>
  </si>
  <si>
    <t>Monthly Return</t>
  </si>
  <si>
    <t>Monthly return</t>
  </si>
  <si>
    <t>Jothy Labs Monthly Returns</t>
  </si>
  <si>
    <t>Cupid Monthly Returns</t>
  </si>
  <si>
    <t>Bajaj Consumer Monthly Returns</t>
  </si>
  <si>
    <t>India</t>
  </si>
  <si>
    <t xml:space="preserve"> </t>
  </si>
  <si>
    <t>S.No.</t>
  </si>
  <si>
    <t>Name</t>
  </si>
  <si>
    <t>Debt / Eq</t>
  </si>
  <si>
    <t>Hind. Unilever</t>
  </si>
  <si>
    <t>Nestle India</t>
  </si>
  <si>
    <t>Varun Beverages</t>
  </si>
  <si>
    <t>Britannia Inds.</t>
  </si>
  <si>
    <t>Dabur India</t>
  </si>
  <si>
    <t>Colgate-Palmoliv</t>
  </si>
  <si>
    <t>P &amp; G Hygiene</t>
  </si>
  <si>
    <t>Gillette India</t>
  </si>
  <si>
    <t>Hatsun Agro</t>
  </si>
  <si>
    <t>Bikaji Foods</t>
  </si>
  <si>
    <t>L T Foods</t>
  </si>
  <si>
    <t>Godrej Agrovet</t>
  </si>
  <si>
    <t>CMP Rs.</t>
  </si>
  <si>
    <t xml:space="preserve">Mar Cap Rs.Cr. </t>
  </si>
  <si>
    <t>Debt Rs.Cr.</t>
  </si>
  <si>
    <t xml:space="preserve"> Total equity</t>
  </si>
  <si>
    <t>Average</t>
  </si>
  <si>
    <t>Traget Debt/Equity</t>
  </si>
  <si>
    <t>Year</t>
  </si>
  <si>
    <t>Annual</t>
  </si>
  <si>
    <t>Average Return</t>
  </si>
  <si>
    <t>Dividend Yield</t>
  </si>
  <si>
    <t>Total Market Return</t>
  </si>
  <si>
    <t>Equity Weight</t>
  </si>
  <si>
    <t>Debt weight</t>
  </si>
  <si>
    <t>WACC</t>
  </si>
  <si>
    <r>
      <t>Tax Rate</t>
    </r>
    <r>
      <rPr>
        <vertAlign val="superscript"/>
        <sz val="11"/>
        <color theme="1"/>
        <rFont val="Times New Roman"/>
        <family val="1"/>
      </rPr>
      <t xml:space="preserve"> 1</t>
    </r>
  </si>
  <si>
    <r>
      <t xml:space="preserve">BETA </t>
    </r>
    <r>
      <rPr>
        <vertAlign val="superscript"/>
        <sz val="11"/>
        <color theme="1"/>
        <rFont val="Times New Roman"/>
        <family val="1"/>
      </rPr>
      <t>2</t>
    </r>
  </si>
  <si>
    <r>
      <t xml:space="preserve">BETA </t>
    </r>
    <r>
      <rPr>
        <vertAlign val="superscript"/>
        <sz val="11"/>
        <color theme="1"/>
        <rFont val="Times New Roman"/>
        <family val="1"/>
      </rPr>
      <t>3</t>
    </r>
  </si>
  <si>
    <r>
      <t xml:space="preserve">Levered Beta </t>
    </r>
    <r>
      <rPr>
        <vertAlign val="superscript"/>
        <sz val="11"/>
        <color theme="1"/>
        <rFont val="Times New Roman"/>
        <family val="1"/>
      </rPr>
      <t>4</t>
    </r>
  </si>
  <si>
    <t>Total Asset</t>
  </si>
  <si>
    <t>Other Asset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</si>
  <si>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</si>
  <si>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</si>
  <si>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</si>
  <si>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</si>
  <si>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</si>
  <si>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</si>
  <si>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</si>
  <si>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</si>
  <si>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</si>
  <si>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</si>
  <si>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</si>
  <si>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</si>
  <si>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</si>
  <si>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</si>
  <si>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</si>
  <si>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</si>
  <si>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</si>
  <si>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</si>
  <si>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</si>
  <si>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</si>
  <si>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</si>
  <si>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</si>
  <si>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</si>
  <si>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</si>
  <si>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</si>
  <si>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 +</t>
  </si>
  <si>
    <t>Cash Equivalents</t>
  </si>
  <si>
    <t>Loans n Advances</t>
  </si>
  <si>
    <t>Other asset items</t>
  </si>
  <si>
    <t>Particulars</t>
  </si>
  <si>
    <t xml:space="preserve">Calculation of ROIC </t>
  </si>
  <si>
    <t>Current Asset</t>
  </si>
  <si>
    <t>Total Current Asset</t>
  </si>
  <si>
    <t>Current Liabilities</t>
  </si>
  <si>
    <t>Total current Liabilities</t>
  </si>
  <si>
    <t>Net Working Capital</t>
  </si>
  <si>
    <t>Non Current Asset</t>
  </si>
  <si>
    <t>Accumulated Depriciation</t>
  </si>
  <si>
    <t>Net Non Current Asset</t>
  </si>
  <si>
    <t>Invested Capital</t>
  </si>
  <si>
    <t>EBIT</t>
  </si>
  <si>
    <t>ROIC</t>
  </si>
  <si>
    <t>Calculation of Reinvestment Rate</t>
  </si>
  <si>
    <t>Net Capex</t>
  </si>
  <si>
    <t>Change in Working Capital</t>
  </si>
  <si>
    <t>Marginal Tax Rate</t>
  </si>
  <si>
    <t>Reinvestment</t>
  </si>
  <si>
    <t>Reinvestment Rate</t>
  </si>
  <si>
    <t>EBIT(1-Tax)</t>
  </si>
  <si>
    <t>4 Year Average</t>
  </si>
  <si>
    <t>4 Year Median</t>
  </si>
  <si>
    <t>Calculation of Growth Rate</t>
  </si>
  <si>
    <t>Intrinsic Growth</t>
  </si>
  <si>
    <t>Calculation of PV of FCFF</t>
  </si>
  <si>
    <t>Less:Reinvestment Rate</t>
  </si>
  <si>
    <t>FCFF</t>
  </si>
  <si>
    <t>Mid Year Convention</t>
  </si>
  <si>
    <t>Discounting Factor</t>
  </si>
  <si>
    <t>PV of FCFF</t>
  </si>
  <si>
    <t>Terminal Growth</t>
  </si>
  <si>
    <t>Expected Growth</t>
  </si>
  <si>
    <t>4Year Median Growth</t>
  </si>
  <si>
    <t>4year Average Growth</t>
  </si>
  <si>
    <t>Calculation of Terminal Value</t>
  </si>
  <si>
    <t>FCFF(n+1)</t>
  </si>
  <si>
    <t>Terminal Growth Rate</t>
  </si>
  <si>
    <t>Terminal Value</t>
  </si>
  <si>
    <t>PV of Terminal Value</t>
  </si>
  <si>
    <t>Enterprise Value</t>
  </si>
  <si>
    <t>Add: Cash</t>
  </si>
  <si>
    <t>Less: Debt</t>
  </si>
  <si>
    <t>Calculation of Equity Value per Share</t>
  </si>
  <si>
    <t>Value of Equity</t>
  </si>
  <si>
    <t>No. of Shares</t>
  </si>
  <si>
    <t>Equity Value per Share</t>
  </si>
  <si>
    <t>Share Price</t>
  </si>
  <si>
    <t>Comparable Company Valuation</t>
  </si>
  <si>
    <t>Shares Outstanding</t>
  </si>
  <si>
    <t>Equity Value</t>
  </si>
  <si>
    <t>Net Debt</t>
  </si>
  <si>
    <t>Market Data</t>
  </si>
  <si>
    <t>Revenue</t>
  </si>
  <si>
    <t>Net Income</t>
  </si>
  <si>
    <t>Valuation</t>
  </si>
  <si>
    <t xml:space="preserve">Company </t>
  </si>
  <si>
    <t>Ticker</t>
  </si>
  <si>
    <t>No. Eq. Shares Cr.</t>
  </si>
  <si>
    <t>Cash End Rs.Cr.</t>
  </si>
  <si>
    <t>Sales Rs.Cr.</t>
  </si>
  <si>
    <t>NP 12M Rs.Cr.</t>
  </si>
  <si>
    <t>Zydus Wellness</t>
  </si>
  <si>
    <t>Avanti Feeds</t>
  </si>
  <si>
    <t>Mrs Bectors</t>
  </si>
  <si>
    <t>Manorama Indust.</t>
  </si>
  <si>
    <t>KRBL</t>
  </si>
  <si>
    <t>Kaveri Seed Co.</t>
  </si>
  <si>
    <t>Dodla Dairy</t>
  </si>
  <si>
    <t>Hindustan Foods</t>
  </si>
  <si>
    <t>Guj. Ambuja Exp</t>
  </si>
  <si>
    <t>Gopal Snacks</t>
  </si>
  <si>
    <t>EV</t>
  </si>
  <si>
    <t xml:space="preserve">EBITDA </t>
  </si>
  <si>
    <t>EV/EBITDA</t>
  </si>
  <si>
    <t>EV/REVENUE</t>
  </si>
  <si>
    <t>P/E</t>
  </si>
  <si>
    <t>75th Percentile</t>
  </si>
  <si>
    <t>25th Percentile</t>
  </si>
  <si>
    <t>Low</t>
  </si>
  <si>
    <t>High</t>
  </si>
  <si>
    <t>Cipla Comparable Valuation</t>
  </si>
  <si>
    <t>Implied Enterprise Value</t>
  </si>
  <si>
    <t>Implied Market Value</t>
  </si>
  <si>
    <t>Implied Value per Share</t>
  </si>
  <si>
    <t>Discount</t>
  </si>
  <si>
    <t>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</si>
</sst>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0.00\ &quot;x&quot;"/>
    <numFmt numFmtId="167" formatCode="0\ "/>
    <numFmt numFmtId="168" formatCode="#,##0.0"/>
    <numFmt numFmtId="169" formatCode="0\ &quot;A&quot;"/>
    <numFmt numFmtId="170" formatCode="0\ &quot;E&quot;"/>
    <numFmt numFmtId="171" formatCode="0.000"/>
    <numFmt numFmtId="172" formatCode="#,##0.0;\(#,##0.0\);\-"/>
    <numFmt numFmtId="173" formatCode="mmm/yy\ \A"/>
    <numFmt numFmtId="174" formatCode="mmm/yy\ &quot;E&quot;"/>
    <numFmt numFmtId="175" formatCode="0.00\x"/>
    <numFmt numFmtId="176" formatCode="0.0\x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606F7B"/>
      <name val="Arial"/>
      <family val="2"/>
    </font>
    <font>
      <sz val="11"/>
      <color rgb="FF22222F"/>
      <name val="Arial"/>
      <family val="2"/>
    </font>
    <font>
      <sz val="11"/>
      <color rgb="FF665EFD"/>
      <name val="Arial"/>
      <family val="2"/>
    </font>
    <font>
      <sz val="11"/>
      <color rgb="FF22222F"/>
      <name val="Arial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rgb="FF22222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rgb="FFDBE4F0"/>
      </top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double">
        <color auto="1"/>
      </bottom>
      <diagonal/>
    </border>
    <border>
      <left/>
      <right/>
      <top style="thin">
        <color rgb="FF002060"/>
      </top>
      <bottom/>
      <diagonal/>
    </border>
    <border>
      <left/>
      <right/>
      <top style="thin">
        <color rgb="FF002060"/>
      </top>
      <bottom style="double">
        <color rgb="FF002060"/>
      </bottom>
      <diagonal/>
    </border>
    <border>
      <left/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204">
    <xf numFmtId="0" fontId="0" fillId="0" borderId="0" xfId="0"/>
    <xf numFmtId="43" fontId="1" fillId="0" borderId="0" xfId="1" applyFont="1" applyBorder="1"/>
    <xf numFmtId="0" fontId="1" fillId="0" borderId="0" xfId="0" applyFont="1"/>
    <xf numFmtId="43" fontId="0" fillId="0" borderId="0" xfId="1" applyFont="1" applyBorder="1"/>
    <xf numFmtId="43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164" fontId="0" fillId="0" borderId="0" xfId="1" applyNumberFormat="1" applyFont="1" applyBorder="1"/>
    <xf numFmtId="0" fontId="2" fillId="4" borderId="0" xfId="0" applyFont="1" applyFill="1"/>
    <xf numFmtId="17" fontId="2" fillId="4" borderId="0" xfId="0" applyNumberFormat="1" applyFont="1" applyFill="1"/>
    <xf numFmtId="17" fontId="2" fillId="0" borderId="0" xfId="0" applyNumberFormat="1" applyFont="1"/>
    <xf numFmtId="17" fontId="2" fillId="4" borderId="0" xfId="0" applyNumberFormat="1" applyFont="1" applyFill="1" applyAlignment="1">
      <alignment horizontal="right"/>
    </xf>
    <xf numFmtId="10" fontId="0" fillId="0" borderId="0" xfId="4" applyNumberFormat="1" applyFont="1"/>
    <xf numFmtId="0" fontId="7" fillId="0" borderId="0" xfId="0" applyFont="1"/>
    <xf numFmtId="10" fontId="7" fillId="0" borderId="0" xfId="4" applyNumberFormat="1" applyFont="1"/>
    <xf numFmtId="0" fontId="8" fillId="0" borderId="0" xfId="0" applyFont="1"/>
    <xf numFmtId="10" fontId="8" fillId="0" borderId="0" xfId="4" applyNumberFormat="1" applyFont="1"/>
    <xf numFmtId="0" fontId="9" fillId="5" borderId="0" xfId="0" applyFont="1" applyFill="1"/>
    <xf numFmtId="0" fontId="6" fillId="5" borderId="0" xfId="0" applyFont="1" applyFill="1"/>
    <xf numFmtId="0" fontId="2" fillId="0" borderId="0" xfId="0" applyFont="1"/>
    <xf numFmtId="17" fontId="2" fillId="0" borderId="0" xfId="0" applyNumberFormat="1" applyFont="1" applyAlignment="1">
      <alignment horizontal="right"/>
    </xf>
    <xf numFmtId="2" fontId="0" fillId="0" borderId="0" xfId="0" applyNumberFormat="1"/>
    <xf numFmtId="0" fontId="0" fillId="6" borderId="0" xfId="0" applyFill="1"/>
    <xf numFmtId="17" fontId="10" fillId="6" borderId="0" xfId="0" applyNumberFormat="1" applyFont="1" applyFill="1" applyAlignment="1">
      <alignment horizontal="right" vertical="center" wrapText="1"/>
    </xf>
    <xf numFmtId="0" fontId="11" fillId="7" borderId="1" xfId="0" applyFont="1" applyFill="1" applyBorder="1" applyAlignment="1">
      <alignment horizontal="left" vertical="center" indent="1"/>
    </xf>
    <xf numFmtId="3" fontId="11" fillId="7" borderId="1" xfId="0" applyNumberFormat="1" applyFont="1" applyFill="1" applyBorder="1" applyAlignment="1">
      <alignment horizontal="right" vertical="center" wrapText="1"/>
    </xf>
    <xf numFmtId="0" fontId="11" fillId="7" borderId="1" xfId="0" applyFont="1" applyFill="1" applyBorder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7" borderId="0" xfId="0" applyFont="1" applyFill="1" applyAlignment="1">
      <alignment horizontal="right" vertical="center" wrapText="1"/>
    </xf>
    <xf numFmtId="0" fontId="11" fillId="7" borderId="1" xfId="0" applyFont="1" applyFill="1" applyBorder="1" applyAlignment="1">
      <alignment horizontal="right" vertical="center" wrapText="1"/>
    </xf>
    <xf numFmtId="0" fontId="11" fillId="6" borderId="1" xfId="0" applyFont="1" applyFill="1" applyBorder="1" applyAlignment="1">
      <alignment horizontal="left" vertical="center" indent="1"/>
    </xf>
    <xf numFmtId="0" fontId="11" fillId="6" borderId="1" xfId="0" applyFont="1" applyFill="1" applyBorder="1" applyAlignment="1">
      <alignment horizontal="right" vertical="center" wrapText="1"/>
    </xf>
    <xf numFmtId="3" fontId="11" fillId="6" borderId="1" xfId="0" applyNumberFormat="1" applyFont="1" applyFill="1" applyBorder="1" applyAlignment="1">
      <alignment horizontal="right" vertical="center" wrapText="1"/>
    </xf>
    <xf numFmtId="0" fontId="13" fillId="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right" vertical="center" wrapText="1"/>
    </xf>
    <xf numFmtId="3" fontId="13" fillId="6" borderId="0" xfId="0" applyNumberFormat="1" applyFont="1" applyFill="1" applyAlignment="1">
      <alignment horizontal="right" vertical="center" wrapText="1"/>
    </xf>
    <xf numFmtId="3" fontId="13" fillId="7" borderId="0" xfId="0" applyNumberFormat="1" applyFont="1" applyFill="1" applyAlignment="1">
      <alignment horizontal="right" vertical="center" wrapText="1"/>
    </xf>
    <xf numFmtId="3" fontId="0" fillId="0" borderId="0" xfId="0" applyNumberFormat="1"/>
    <xf numFmtId="0" fontId="1" fillId="0" borderId="2" xfId="0" applyFont="1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10" fontId="0" fillId="0" borderId="4" xfId="4" applyNumberFormat="1" applyFont="1" applyBorder="1" applyAlignment="1">
      <alignment wrapText="1"/>
    </xf>
    <xf numFmtId="10" fontId="0" fillId="0" borderId="4" xfId="4" applyNumberFormat="1" applyFont="1" applyBorder="1"/>
    <xf numFmtId="0" fontId="0" fillId="0" borderId="0" xfId="0" applyAlignment="1">
      <alignment vertical="center"/>
    </xf>
    <xf numFmtId="10" fontId="0" fillId="0" borderId="0" xfId="4" applyNumberFormat="1" applyFont="1" applyBorder="1" applyAlignment="1">
      <alignment wrapText="1"/>
    </xf>
    <xf numFmtId="10" fontId="0" fillId="0" borderId="0" xfId="4" applyNumberFormat="1" applyFont="1" applyBorder="1"/>
    <xf numFmtId="0" fontId="0" fillId="0" borderId="5" xfId="0" applyBorder="1" applyAlignment="1">
      <alignment vertical="center"/>
    </xf>
    <xf numFmtId="0" fontId="0" fillId="0" borderId="5" xfId="0" applyBorder="1"/>
    <xf numFmtId="10" fontId="0" fillId="0" borderId="5" xfId="4" applyNumberFormat="1" applyFont="1" applyBorder="1" applyAlignment="1">
      <alignment wrapText="1"/>
    </xf>
    <xf numFmtId="10" fontId="0" fillId="0" borderId="5" xfId="4" applyNumberFormat="1" applyFont="1" applyBorder="1"/>
    <xf numFmtId="0" fontId="0" fillId="0" borderId="0" xfId="0" applyAlignment="1">
      <alignment wrapText="1"/>
    </xf>
    <xf numFmtId="166" fontId="0" fillId="0" borderId="5" xfId="0" applyNumberFormat="1" applyBorder="1" applyAlignment="1">
      <alignment wrapText="1"/>
    </xf>
    <xf numFmtId="166" fontId="0" fillId="0" borderId="4" xfId="0" applyNumberFormat="1" applyBorder="1" applyAlignment="1">
      <alignment wrapText="1"/>
    </xf>
    <xf numFmtId="166" fontId="0" fillId="0" borderId="0" xfId="0" applyNumberFormat="1" applyAlignment="1">
      <alignment wrapText="1"/>
    </xf>
    <xf numFmtId="0" fontId="0" fillId="0" borderId="4" xfId="0" applyBorder="1" applyAlignment="1">
      <alignment wrapText="1"/>
    </xf>
    <xf numFmtId="167" fontId="0" fillId="0" borderId="0" xfId="0" applyNumberFormat="1" applyAlignment="1">
      <alignment wrapText="1"/>
    </xf>
    <xf numFmtId="167" fontId="0" fillId="0" borderId="5" xfId="0" applyNumberFormat="1" applyBorder="1" applyAlignment="1">
      <alignment wrapText="1"/>
    </xf>
    <xf numFmtId="0" fontId="5" fillId="8" borderId="0" xfId="0" applyFont="1" applyFill="1"/>
    <xf numFmtId="169" fontId="0" fillId="0" borderId="0" xfId="0" applyNumberFormat="1"/>
    <xf numFmtId="0" fontId="0" fillId="0" borderId="6" xfId="0" applyBorder="1"/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Continuous"/>
    </xf>
    <xf numFmtId="0" fontId="0" fillId="9" borderId="0" xfId="0" applyFill="1"/>
    <xf numFmtId="170" fontId="0" fillId="9" borderId="0" xfId="0" applyNumberFormat="1" applyFill="1"/>
    <xf numFmtId="10" fontId="0" fillId="9" borderId="0" xfId="4" applyNumberFormat="1" applyFont="1" applyFill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Continuous"/>
    </xf>
    <xf numFmtId="0" fontId="0" fillId="0" borderId="9" xfId="0" applyBorder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" fontId="0" fillId="0" borderId="0" xfId="0" applyNumberFormat="1"/>
    <xf numFmtId="0" fontId="1" fillId="0" borderId="0" xfId="0" applyFont="1" applyAlignment="1">
      <alignment horizontal="center"/>
    </xf>
    <xf numFmtId="2" fontId="0" fillId="0" borderId="3" xfId="0" applyNumberFormat="1" applyBorder="1"/>
    <xf numFmtId="0" fontId="17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4" applyNumberFormat="1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7" fillId="0" borderId="0" xfId="0" applyFont="1" applyAlignment="1">
      <alignment horizontal="right"/>
    </xf>
    <xf numFmtId="14" fontId="0" fillId="0" borderId="0" xfId="0" applyNumberFormat="1"/>
    <xf numFmtId="0" fontId="0" fillId="10" borderId="0" xfId="0" applyFill="1"/>
    <xf numFmtId="10" fontId="0" fillId="0" borderId="0" xfId="4" applyNumberFormat="1" applyFont="1" applyAlignment="1">
      <alignment horizontal="right"/>
    </xf>
    <xf numFmtId="10" fontId="18" fillId="0" borderId="0" xfId="4" applyNumberFormat="1" applyFont="1"/>
    <xf numFmtId="10" fontId="1" fillId="0" borderId="0" xfId="0" applyNumberFormat="1" applyFont="1"/>
    <xf numFmtId="0" fontId="19" fillId="0" borderId="0" xfId="0" applyFont="1" applyAlignment="1">
      <alignment vertical="center"/>
    </xf>
    <xf numFmtId="0" fontId="20" fillId="0" borderId="0" xfId="0" applyFont="1"/>
    <xf numFmtId="0" fontId="21" fillId="0" borderId="0" xfId="0" applyFont="1"/>
    <xf numFmtId="0" fontId="20" fillId="0" borderId="9" xfId="0" applyFont="1" applyBorder="1"/>
    <xf numFmtId="10" fontId="20" fillId="0" borderId="0" xfId="4" applyNumberFormat="1" applyFont="1"/>
    <xf numFmtId="2" fontId="20" fillId="0" borderId="0" xfId="0" applyNumberFormat="1" applyFont="1"/>
    <xf numFmtId="0" fontId="24" fillId="0" borderId="0" xfId="0" applyFont="1"/>
    <xf numFmtId="10" fontId="20" fillId="0" borderId="0" xfId="0" applyNumberFormat="1" applyFont="1"/>
    <xf numFmtId="9" fontId="20" fillId="0" borderId="0" xfId="0" applyNumberFormat="1" applyFont="1"/>
    <xf numFmtId="0" fontId="20" fillId="0" borderId="3" xfId="0" applyFont="1" applyBorder="1"/>
    <xf numFmtId="10" fontId="20" fillId="0" borderId="3" xfId="0" applyNumberFormat="1" applyFont="1" applyBorder="1"/>
    <xf numFmtId="171" fontId="20" fillId="0" borderId="0" xfId="0" applyNumberFormat="1" applyFont="1"/>
    <xf numFmtId="10" fontId="20" fillId="0" borderId="3" xfId="4" applyNumberFormat="1" applyFont="1" applyBorder="1"/>
    <xf numFmtId="0" fontId="20" fillId="0" borderId="9" xfId="0" applyFont="1" applyBorder="1" applyAlignment="1">
      <alignment horizontal="center"/>
    </xf>
    <xf numFmtId="9" fontId="20" fillId="0" borderId="0" xfId="4" applyFont="1"/>
    <xf numFmtId="9" fontId="20" fillId="0" borderId="3" xfId="4" applyFont="1" applyBorder="1"/>
    <xf numFmtId="171" fontId="20" fillId="0" borderId="3" xfId="0" applyNumberFormat="1" applyFont="1" applyBorder="1"/>
    <xf numFmtId="10" fontId="24" fillId="0" borderId="0" xfId="0" applyNumberFormat="1" applyFont="1"/>
    <xf numFmtId="0" fontId="20" fillId="0" borderId="8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4" applyNumberFormat="1" applyFont="1" applyAlignment="1">
      <alignment horizontal="center" vertical="center"/>
    </xf>
    <xf numFmtId="2" fontId="20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0" fontId="20" fillId="0" borderId="8" xfId="4" applyNumberFormat="1" applyFont="1" applyBorder="1" applyAlignment="1">
      <alignment horizontal="center" vertical="center"/>
    </xf>
    <xf numFmtId="2" fontId="20" fillId="0" borderId="8" xfId="0" applyNumberFormat="1" applyFont="1" applyBorder="1" applyAlignment="1">
      <alignment horizontal="center" vertical="center"/>
    </xf>
    <xf numFmtId="10" fontId="20" fillId="0" borderId="9" xfId="4" applyNumberFormat="1" applyFont="1" applyBorder="1" applyAlignment="1">
      <alignment horizontal="center" vertical="center"/>
    </xf>
    <xf numFmtId="2" fontId="20" fillId="0" borderId="9" xfId="0" applyNumberFormat="1" applyFont="1" applyBorder="1" applyAlignment="1">
      <alignment horizontal="center" vertical="center"/>
    </xf>
    <xf numFmtId="0" fontId="25" fillId="0" borderId="9" xfId="0" applyFont="1" applyBorder="1"/>
    <xf numFmtId="4" fontId="0" fillId="0" borderId="0" xfId="0" applyNumberFormat="1" applyAlignment="1">
      <alignment horizontal="right"/>
    </xf>
    <xf numFmtId="9" fontId="3" fillId="0" borderId="0" xfId="4" applyFont="1" applyBorder="1"/>
    <xf numFmtId="43" fontId="0" fillId="0" borderId="0" xfId="0" applyNumberFormat="1"/>
    <xf numFmtId="43" fontId="1" fillId="0" borderId="0" xfId="0" applyNumberFormat="1" applyFont="1"/>
    <xf numFmtId="10" fontId="1" fillId="0" borderId="0" xfId="4" applyNumberFormat="1" applyFont="1"/>
    <xf numFmtId="9" fontId="1" fillId="0" borderId="0" xfId="4" applyFont="1"/>
    <xf numFmtId="17" fontId="5" fillId="8" borderId="0" xfId="0" applyNumberFormat="1" applyFont="1" applyFill="1"/>
    <xf numFmtId="0" fontId="5" fillId="0" borderId="0" xfId="0" applyFont="1"/>
    <xf numFmtId="17" fontId="5" fillId="0" borderId="0" xfId="0" applyNumberFormat="1" applyFont="1"/>
    <xf numFmtId="0" fontId="1" fillId="0" borderId="10" xfId="0" applyFont="1" applyBorder="1"/>
    <xf numFmtId="172" fontId="0" fillId="0" borderId="0" xfId="0" applyNumberFormat="1" applyAlignment="1">
      <alignment horizontal="center" vertical="center"/>
    </xf>
    <xf numFmtId="172" fontId="1" fillId="0" borderId="0" xfId="0" applyNumberFormat="1" applyFont="1" applyAlignment="1">
      <alignment horizontal="center" vertical="center"/>
    </xf>
    <xf numFmtId="172" fontId="0" fillId="0" borderId="0" xfId="0" applyNumberFormat="1"/>
    <xf numFmtId="172" fontId="0" fillId="0" borderId="11" xfId="0" applyNumberFormat="1" applyBorder="1" applyAlignment="1">
      <alignment horizontal="center" vertical="center"/>
    </xf>
    <xf numFmtId="172" fontId="1" fillId="0" borderId="12" xfId="0" applyNumberFormat="1" applyFont="1" applyBorder="1" applyAlignment="1">
      <alignment horizontal="center" vertical="center"/>
    </xf>
    <xf numFmtId="0" fontId="1" fillId="0" borderId="8" xfId="0" applyFont="1" applyBorder="1"/>
    <xf numFmtId="172" fontId="1" fillId="0" borderId="13" xfId="0" applyNumberFormat="1" applyFont="1" applyBorder="1" applyAlignment="1">
      <alignment horizontal="center" vertical="center"/>
    </xf>
    <xf numFmtId="172" fontId="0" fillId="0" borderId="13" xfId="0" applyNumberFormat="1" applyBorder="1" applyAlignment="1">
      <alignment horizontal="center" vertical="center"/>
    </xf>
    <xf numFmtId="172" fontId="0" fillId="0" borderId="15" xfId="0" applyNumberFormat="1" applyBorder="1" applyAlignment="1">
      <alignment horizontal="center" vertical="center"/>
    </xf>
    <xf numFmtId="0" fontId="1" fillId="0" borderId="14" xfId="0" applyFont="1" applyBorder="1"/>
    <xf numFmtId="172" fontId="1" fillId="0" borderId="14" xfId="0" applyNumberFormat="1" applyFont="1" applyBorder="1" applyAlignment="1">
      <alignment horizontal="center" vertical="center"/>
    </xf>
    <xf numFmtId="0" fontId="0" fillId="0" borderId="11" xfId="0" applyBorder="1"/>
    <xf numFmtId="0" fontId="1" fillId="0" borderId="16" xfId="0" applyFont="1" applyBorder="1"/>
    <xf numFmtId="10" fontId="1" fillId="0" borderId="16" xfId="4" applyNumberFormat="1" applyFont="1" applyBorder="1"/>
    <xf numFmtId="9" fontId="8" fillId="0" borderId="0" xfId="0" applyNumberFormat="1" applyFont="1"/>
    <xf numFmtId="2" fontId="8" fillId="0" borderId="0" xfId="0" applyNumberFormat="1" applyFont="1"/>
    <xf numFmtId="9" fontId="0" fillId="0" borderId="0" xfId="4" applyFont="1"/>
    <xf numFmtId="173" fontId="2" fillId="4" borderId="0" xfId="0" applyNumberFormat="1" applyFont="1" applyFill="1"/>
    <xf numFmtId="174" fontId="2" fillId="4" borderId="0" xfId="0" applyNumberFormat="1" applyFont="1" applyFill="1"/>
    <xf numFmtId="0" fontId="0" fillId="0" borderId="16" xfId="0" applyBorder="1"/>
    <xf numFmtId="10" fontId="27" fillId="0" borderId="0" xfId="0" applyNumberFormat="1" applyFont="1"/>
    <xf numFmtId="43" fontId="28" fillId="0" borderId="0" xfId="0" applyNumberFormat="1" applyFont="1"/>
    <xf numFmtId="9" fontId="28" fillId="0" borderId="0" xfId="0" applyNumberFormat="1" applyFont="1"/>
    <xf numFmtId="10" fontId="28" fillId="0" borderId="0" xfId="0" applyNumberFormat="1" applyFont="1"/>
    <xf numFmtId="0" fontId="28" fillId="0" borderId="0" xfId="0" applyFont="1"/>
    <xf numFmtId="0" fontId="28" fillId="0" borderId="16" xfId="0" applyFont="1" applyBorder="1"/>
    <xf numFmtId="171" fontId="0" fillId="0" borderId="0" xfId="0" applyNumberFormat="1"/>
    <xf numFmtId="43" fontId="0" fillId="0" borderId="16" xfId="0" applyNumberFormat="1" applyBorder="1"/>
    <xf numFmtId="43" fontId="1" fillId="0" borderId="16" xfId="0" applyNumberFormat="1" applyFont="1" applyBorder="1"/>
    <xf numFmtId="0" fontId="29" fillId="0" borderId="0" xfId="0" applyFont="1"/>
    <xf numFmtId="175" fontId="0" fillId="0" borderId="0" xfId="0" applyNumberFormat="1"/>
    <xf numFmtId="0" fontId="5" fillId="8" borderId="0" xfId="0" applyFont="1" applyFill="1" applyAlignment="1">
      <alignment wrapText="1"/>
    </xf>
    <xf numFmtId="0" fontId="5" fillId="8" borderId="17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11" borderId="0" xfId="0" applyFill="1"/>
    <xf numFmtId="0" fontId="0" fillId="11" borderId="13" xfId="0" applyFill="1" applyBorder="1"/>
    <xf numFmtId="2" fontId="0" fillId="11" borderId="13" xfId="0" applyNumberFormat="1" applyFill="1" applyBorder="1"/>
    <xf numFmtId="176" fontId="0" fillId="11" borderId="13" xfId="0" applyNumberFormat="1" applyFill="1" applyBorder="1"/>
    <xf numFmtId="0" fontId="0" fillId="0" borderId="13" xfId="0" applyBorder="1" applyAlignment="1">
      <alignment horizontal="center"/>
    </xf>
    <xf numFmtId="0" fontId="0" fillId="0" borderId="13" xfId="0" applyBorder="1"/>
    <xf numFmtId="2" fontId="0" fillId="0" borderId="13" xfId="0" applyNumberFormat="1" applyBorder="1"/>
    <xf numFmtId="176" fontId="0" fillId="0" borderId="13" xfId="0" applyNumberFormat="1" applyBorder="1"/>
    <xf numFmtId="175" fontId="0" fillId="11" borderId="0" xfId="0" applyNumberFormat="1" applyFill="1"/>
    <xf numFmtId="0" fontId="1" fillId="11" borderId="0" xfId="0" applyFont="1" applyFill="1"/>
    <xf numFmtId="175" fontId="1" fillId="11" borderId="0" xfId="0" applyNumberFormat="1" applyFont="1" applyFill="1"/>
    <xf numFmtId="0" fontId="2" fillId="8" borderId="0" xfId="0" applyFont="1" applyFill="1"/>
    <xf numFmtId="0" fontId="1" fillId="0" borderId="19" xfId="0" applyFont="1" applyBorder="1"/>
    <xf numFmtId="2" fontId="1" fillId="0" borderId="19" xfId="0" applyNumberFormat="1" applyFont="1" applyBorder="1"/>
    <xf numFmtId="0" fontId="1" fillId="0" borderId="5" xfId="0" applyFont="1" applyBorder="1"/>
    <xf numFmtId="43" fontId="5" fillId="0" borderId="0" xfId="0" applyNumberFormat="1" applyFont="1"/>
    <xf numFmtId="10" fontId="1" fillId="0" borderId="0" xfId="0" applyNumberFormat="1" applyFont="1" applyAlignment="1">
      <alignment horizontal="left"/>
    </xf>
    <xf numFmtId="168" fontId="0" fillId="0" borderId="0" xfId="0" applyNumberFormat="1" applyAlignment="1">
      <alignment horizontal="center" vertical="center"/>
    </xf>
    <xf numFmtId="172" fontId="1" fillId="0" borderId="2" xfId="0" applyNumberFormat="1" applyFont="1" applyBorder="1"/>
    <xf numFmtId="172" fontId="0" fillId="9" borderId="0" xfId="0" applyNumberFormat="1" applyFill="1"/>
    <xf numFmtId="0" fontId="0" fillId="9" borderId="0" xfId="0" applyFill="1" applyAlignment="1">
      <alignment horizontal="center"/>
    </xf>
    <xf numFmtId="2" fontId="0" fillId="9" borderId="0" xfId="0" applyNumberFormat="1" applyFill="1" applyAlignment="1">
      <alignment horizontal="center"/>
    </xf>
    <xf numFmtId="10" fontId="0" fillId="9" borderId="0" xfId="4" applyNumberFormat="1" applyFont="1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0" fontId="2" fillId="8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19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2" fillId="4" borderId="0" xfId="0" applyFont="1" applyFill="1" applyAlignment="1">
      <alignment horizontal="left"/>
    </xf>
    <xf numFmtId="0" fontId="5" fillId="8" borderId="18" xfId="0" applyFont="1" applyFill="1" applyBorder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endParaRPr lang="en-IN"/>
          </a:p>
          <a:p>
            <a:pPr>
              <a:defRPr/>
            </a:pPr>
            <a:r>
              <a:rPr lang="en-IN"/>
              <a:t>Sales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I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Forecasting!$D$3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Forecasting!$C$4:$C$13</c:f>
              <c:numCache>
                <c:formatCode>0\ "A"</c:formatCode>
                <c:ptCount val="10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</c:numCache>
            </c:numRef>
          </c:xVal>
          <c:yVal>
            <c:numRef>
              <c:f>Forecasting!$D$4:$D$13</c:f>
              <c:numCache>
                <c:formatCode>#,##0.0;\(#,##0.0\);\-</c:formatCode>
                <c:ptCount val="10"/>
                <c:pt idx="0">
                  <c:v>7779.66</c:v>
                </c:pt>
                <c:pt idx="1">
                  <c:v>7613.59</c:v>
                </c:pt>
                <c:pt idx="2">
                  <c:v>7721.85</c:v>
                </c:pt>
                <c:pt idx="3">
                  <c:v>8514.99</c:v>
                </c:pt>
                <c:pt idx="4">
                  <c:v>8684.64</c:v>
                </c:pt>
                <c:pt idx="5">
                  <c:v>9561.65</c:v>
                </c:pt>
                <c:pt idx="6">
                  <c:v>10888.68</c:v>
                </c:pt>
                <c:pt idx="7">
                  <c:v>11529.89</c:v>
                </c:pt>
                <c:pt idx="8">
                  <c:v>12404.01</c:v>
                </c:pt>
                <c:pt idx="9">
                  <c:v>12563.09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6C-4E7B-AA5B-09AC731E3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247888"/>
        <c:axId val="596245968"/>
      </c:scatterChart>
      <c:valAx>
        <c:axId val="59624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 &quot;A&quot;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245968"/>
        <c:crosses val="autoZero"/>
        <c:crossBetween val="midCat"/>
      </c:valAx>
      <c:valAx>
        <c:axId val="59624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;\(#,##0.0\);\-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24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793750</xdr:colOff>
      <xdr:row>46</xdr:row>
      <xdr:rowOff>152400</xdr:rowOff>
    </xdr:from>
    <xdr:to>
      <xdr:col>8</xdr:col>
      <xdr:colOff>438150</xdr:colOff>
      <xdr:row>62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9309F9-2137-E30E-DE62-E7B929FB7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screener.in/exce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6469-2E56-4FCF-A1B4-9FFD79A9A9B0}">
  <sheetPr>
    <tabColor theme="7" tint="-0.499984740745262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E062-784B-46D6-B956-FACC27E76BE1}">
  <dimension ref="A2:Q99"/>
  <sheetViews>
    <sheetView showGridLines="0" zoomScale="85" zoomScaleNormal="85" workbookViewId="0">
      <pane ySplit="3" topLeftCell="A31" activePane="bottomLeft" state="frozen"/>
      <selection pane="bottomLeft" activeCell="O12" sqref="O12"/>
    </sheetView>
  </sheetViews>
  <sheetFormatPr defaultRowHeight="14.5" x14ac:dyDescent="0.35"/>
  <cols>
    <col min="1" max="1" width="1.81640625" customWidth="1"/>
    <col min="2" max="2" width="23.36328125" bestFit="1" customWidth="1"/>
    <col min="3" max="3" width="11.1796875" bestFit="1" customWidth="1"/>
    <col min="4" max="6" width="10.6328125" customWidth="1"/>
    <col min="7" max="7" width="10.54296875" bestFit="1" customWidth="1"/>
    <col min="8" max="13" width="11" bestFit="1" customWidth="1"/>
  </cols>
  <sheetData>
    <row r="2" spans="1:17" x14ac:dyDescent="0.35">
      <c r="B2" s="192" t="str">
        <f>"Historicals Financial Statement - "&amp; 'Data Sheet'!B1</f>
        <v>Historicals Financial Statement - DABUR INDIA LTD</v>
      </c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</row>
    <row r="3" spans="1:17" x14ac:dyDescent="0.35">
      <c r="B3" s="9" t="s">
        <v>54</v>
      </c>
      <c r="C3" s="10">
        <f>'Data Sheet'!B16</f>
        <v>42460</v>
      </c>
      <c r="D3" s="10">
        <f>'Data Sheet'!C16</f>
        <v>42825</v>
      </c>
      <c r="E3" s="10">
        <f>'Data Sheet'!D16</f>
        <v>43190</v>
      </c>
      <c r="F3" s="10">
        <f>'Data Sheet'!E16</f>
        <v>43555</v>
      </c>
      <c r="G3" s="10">
        <f>'Data Sheet'!F16</f>
        <v>43921</v>
      </c>
      <c r="H3" s="10">
        <f>'Data Sheet'!G16</f>
        <v>44286</v>
      </c>
      <c r="I3" s="10">
        <f>'Data Sheet'!H16</f>
        <v>44651</v>
      </c>
      <c r="J3" s="10">
        <f>'Data Sheet'!I16</f>
        <v>45016</v>
      </c>
      <c r="K3" s="10">
        <f>'Data Sheet'!J16</f>
        <v>45382</v>
      </c>
      <c r="L3" s="10">
        <f>'Data Sheet'!K16</f>
        <v>45747</v>
      </c>
      <c r="M3" s="12" t="s">
        <v>55</v>
      </c>
      <c r="N3" s="11"/>
      <c r="O3" s="11"/>
      <c r="P3" s="11"/>
      <c r="Q3" s="11"/>
    </row>
    <row r="4" spans="1:17" x14ac:dyDescent="0.35">
      <c r="B4" s="20"/>
      <c r="C4" s="11"/>
      <c r="D4" s="11"/>
      <c r="E4" s="11"/>
      <c r="F4" s="11"/>
      <c r="G4" s="11"/>
      <c r="H4" s="11"/>
      <c r="I4" s="11"/>
      <c r="J4" s="11"/>
      <c r="K4" s="11"/>
      <c r="L4" s="11"/>
      <c r="M4" s="21"/>
      <c r="N4" s="11"/>
      <c r="O4" s="11"/>
      <c r="P4" s="11"/>
      <c r="Q4" s="11"/>
    </row>
    <row r="5" spans="1:17" x14ac:dyDescent="0.35">
      <c r="A5" t="s">
        <v>56</v>
      </c>
      <c r="B5" s="18" t="s">
        <v>57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7" x14ac:dyDescent="0.35">
      <c r="B6" t="s">
        <v>1</v>
      </c>
      <c r="C6" s="135">
        <f>IFERROR('Data Sheet'!B17,0)</f>
        <v>7779.66</v>
      </c>
      <c r="D6" s="135">
        <f>IFERROR('Data Sheet'!C17,0)</f>
        <v>7613.59</v>
      </c>
      <c r="E6" s="135">
        <f>IFERROR('Data Sheet'!D17,0)</f>
        <v>7721.85</v>
      </c>
      <c r="F6" s="135">
        <f>IFERROR('Data Sheet'!E17,0)</f>
        <v>8514.99</v>
      </c>
      <c r="G6" s="135">
        <f>IFERROR('Data Sheet'!F17,0)</f>
        <v>8684.64</v>
      </c>
      <c r="H6" s="135">
        <f>IFERROR('Data Sheet'!G17,0)</f>
        <v>9561.65</v>
      </c>
      <c r="I6" s="135">
        <f>IFERROR('Data Sheet'!H17,0)</f>
        <v>10888.68</v>
      </c>
      <c r="J6" s="135">
        <f>IFERROR('Data Sheet'!I17,0)</f>
        <v>11529.89</v>
      </c>
      <c r="K6" s="135">
        <f>IFERROR('Data Sheet'!J17,0)</f>
        <v>12404.01</v>
      </c>
      <c r="L6" s="135">
        <f>IFERROR('Data Sheet'!K17,0)</f>
        <v>12563.09</v>
      </c>
      <c r="M6" s="135">
        <f>IFERROR(SUM('Data Sheet'!H42:K42),0)</f>
        <v>12563.09</v>
      </c>
    </row>
    <row r="7" spans="1:17" x14ac:dyDescent="0.35">
      <c r="B7" s="14" t="s">
        <v>58</v>
      </c>
      <c r="C7" s="14" t="s">
        <v>59</v>
      </c>
      <c r="D7" s="15">
        <f>D6/C6-1</f>
        <v>-2.1346691243576132E-2</v>
      </c>
      <c r="E7" s="15">
        <f t="shared" ref="E7:M7" si="0">E6/D6-1</f>
        <v>1.4219310469830937E-2</v>
      </c>
      <c r="F7" s="15">
        <f t="shared" si="0"/>
        <v>0.10271372792789291</v>
      </c>
      <c r="G7" s="15">
        <f t="shared" si="0"/>
        <v>1.9923687520478461E-2</v>
      </c>
      <c r="H7" s="15">
        <f t="shared" si="0"/>
        <v>0.10098403618342267</v>
      </c>
      <c r="I7" s="15">
        <f t="shared" si="0"/>
        <v>0.13878671568191692</v>
      </c>
      <c r="J7" s="15">
        <f t="shared" si="0"/>
        <v>5.8887762336665261E-2</v>
      </c>
      <c r="K7" s="15">
        <f t="shared" si="0"/>
        <v>7.5813385903941821E-2</v>
      </c>
      <c r="L7" s="15">
        <f t="shared" si="0"/>
        <v>1.2824884855784591E-2</v>
      </c>
      <c r="M7" s="15">
        <f t="shared" si="0"/>
        <v>0</v>
      </c>
    </row>
    <row r="9" spans="1:17" x14ac:dyDescent="0.35">
      <c r="B9" t="s">
        <v>60</v>
      </c>
      <c r="C9" s="135">
        <f>IFERROR(SUM('Data Sheet'!B18,'Data Sheet'!B20:B22)-1*'Data Sheet'!B19,0)</f>
        <v>4727.6500000000005</v>
      </c>
      <c r="D9" s="135">
        <f>IFERROR(SUM('Data Sheet'!C18,'Data Sheet'!C20:C22)-1*'Data Sheet'!C19,0)</f>
        <v>4761.7299999999996</v>
      </c>
      <c r="E9" s="135">
        <f>IFERROR(SUM('Data Sheet'!D18,'Data Sheet'!D20:D22)-1*'Data Sheet'!D19,0)</f>
        <v>4815.6899999999996</v>
      </c>
      <c r="F9" s="135">
        <f>IFERROR(SUM('Data Sheet'!E18,'Data Sheet'!E20:E22)-1*'Data Sheet'!E19,0)</f>
        <v>5452.0300000000007</v>
      </c>
      <c r="G9" s="135">
        <f>IFERROR(SUM('Data Sheet'!F18,'Data Sheet'!F20:F22)-1*'Data Sheet'!F19,0)</f>
        <v>5517.71</v>
      </c>
      <c r="H9" s="135">
        <f>IFERROR(SUM('Data Sheet'!G18,'Data Sheet'!G20:G22)-1*'Data Sheet'!G19,0)</f>
        <v>6043.3500000000013</v>
      </c>
      <c r="I9" s="135">
        <f>IFERROR(SUM('Data Sheet'!H18,'Data Sheet'!H20:H22)-1*'Data Sheet'!H19,0)</f>
        <v>6994.73</v>
      </c>
      <c r="J9" s="135">
        <f>IFERROR(SUM('Data Sheet'!I18,'Data Sheet'!I20:I22)-1*'Data Sheet'!I19,0)</f>
        <v>7740.17</v>
      </c>
      <c r="K9" s="135">
        <f>IFERROR(SUM('Data Sheet'!J18,'Data Sheet'!J20:J22)-1*'Data Sheet'!J19,0)</f>
        <v>8014.829999999999</v>
      </c>
      <c r="L9" s="135">
        <f>IFERROR(SUM('Data Sheet'!K18,'Data Sheet'!K20:K22)-1*'Data Sheet'!K19,0)</f>
        <v>7826.09</v>
      </c>
      <c r="M9" s="135">
        <f>IFERROR(SUM('Data Sheet'!H43:K43),0)</f>
        <v>10246.950000000001</v>
      </c>
    </row>
    <row r="10" spans="1:17" x14ac:dyDescent="0.35">
      <c r="B10" s="14" t="s">
        <v>61</v>
      </c>
      <c r="C10" s="15">
        <f>C9/C6</f>
        <v>0.60769365242182827</v>
      </c>
      <c r="D10" s="15">
        <f t="shared" ref="D10:M10" si="1">D9/D6</f>
        <v>0.62542506228993144</v>
      </c>
      <c r="E10" s="15">
        <f t="shared" si="1"/>
        <v>0.62364459294081076</v>
      </c>
      <c r="F10" s="15">
        <f t="shared" si="1"/>
        <v>0.64028613069422291</v>
      </c>
      <c r="G10" s="15">
        <f t="shared" si="1"/>
        <v>0.63534124615412968</v>
      </c>
      <c r="H10" s="15">
        <f t="shared" si="1"/>
        <v>0.63204049510283278</v>
      </c>
      <c r="I10" s="15">
        <f t="shared" si="1"/>
        <v>0.64238548657872208</v>
      </c>
      <c r="J10" s="15">
        <f t="shared" si="1"/>
        <v>0.67131342970314556</v>
      </c>
      <c r="K10" s="15">
        <f t="shared" si="1"/>
        <v>0.64614830204103346</v>
      </c>
      <c r="L10" s="15">
        <f t="shared" si="1"/>
        <v>0.62294308167815404</v>
      </c>
      <c r="M10" s="15">
        <f t="shared" si="1"/>
        <v>0.81563930529829842</v>
      </c>
    </row>
    <row r="12" spans="1:17" x14ac:dyDescent="0.35">
      <c r="B12" s="39" t="s">
        <v>62</v>
      </c>
      <c r="C12" s="186">
        <f>C6-C9</f>
        <v>3052.0099999999993</v>
      </c>
      <c r="D12" s="186">
        <f t="shared" ref="D12:M12" si="2">D6-D9</f>
        <v>2851.8600000000006</v>
      </c>
      <c r="E12" s="186">
        <f t="shared" si="2"/>
        <v>2906.1600000000008</v>
      </c>
      <c r="F12" s="186">
        <f t="shared" si="2"/>
        <v>3062.9599999999991</v>
      </c>
      <c r="G12" s="186">
        <f t="shared" si="2"/>
        <v>3166.9299999999994</v>
      </c>
      <c r="H12" s="186">
        <f t="shared" si="2"/>
        <v>3518.2999999999984</v>
      </c>
      <c r="I12" s="186">
        <f t="shared" si="2"/>
        <v>3893.9500000000007</v>
      </c>
      <c r="J12" s="186">
        <f t="shared" si="2"/>
        <v>3789.7199999999993</v>
      </c>
      <c r="K12" s="186">
        <f t="shared" si="2"/>
        <v>4389.1800000000012</v>
      </c>
      <c r="L12" s="186">
        <f t="shared" si="2"/>
        <v>4737</v>
      </c>
      <c r="M12" s="186">
        <f t="shared" si="2"/>
        <v>2316.1399999999994</v>
      </c>
    </row>
    <row r="13" spans="1:17" x14ac:dyDescent="0.35">
      <c r="B13" s="14" t="s">
        <v>69</v>
      </c>
      <c r="C13" s="15">
        <f>C12/C6</f>
        <v>0.39230634757817173</v>
      </c>
      <c r="D13" s="15">
        <f t="shared" ref="D13:M13" si="3">D12/D6</f>
        <v>0.3745749377100685</v>
      </c>
      <c r="E13" s="15">
        <f t="shared" si="3"/>
        <v>0.37635540705918924</v>
      </c>
      <c r="F13" s="15">
        <f t="shared" si="3"/>
        <v>0.35971386930577715</v>
      </c>
      <c r="G13" s="15">
        <f t="shared" si="3"/>
        <v>0.36465875384587038</v>
      </c>
      <c r="H13" s="15">
        <f t="shared" si="3"/>
        <v>0.36795950489716717</v>
      </c>
      <c r="I13" s="15">
        <f t="shared" si="3"/>
        <v>0.35761451342127792</v>
      </c>
      <c r="J13" s="15">
        <f t="shared" si="3"/>
        <v>0.3286865702968545</v>
      </c>
      <c r="K13" s="15">
        <f t="shared" si="3"/>
        <v>0.35385169795896659</v>
      </c>
      <c r="L13" s="15">
        <f t="shared" si="3"/>
        <v>0.37705691832184596</v>
      </c>
      <c r="M13" s="15">
        <f t="shared" si="3"/>
        <v>0.18436069470170152</v>
      </c>
    </row>
    <row r="14" spans="1:17" x14ac:dyDescent="0.3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7" x14ac:dyDescent="0.35">
      <c r="B15" t="s">
        <v>63</v>
      </c>
      <c r="C15" s="135">
        <f>IFERROR(SUM('Data Sheet'!B23:B24),0)</f>
        <v>1533.73</v>
      </c>
      <c r="D15" s="135">
        <f>IFERROR(SUM('Data Sheet'!C23:C24),0)</f>
        <v>1340.25</v>
      </c>
      <c r="E15" s="135">
        <f>IFERROR(SUM('Data Sheet'!D23:D24),0)</f>
        <v>1288.72</v>
      </c>
      <c r="F15" s="135">
        <f>IFERROR(SUM('Data Sheet'!E23:E24),0)</f>
        <v>1323.3999999999999</v>
      </c>
      <c r="G15" s="135">
        <f>IFERROR(SUM('Data Sheet'!F23:F24),0)</f>
        <v>1374.59</v>
      </c>
      <c r="H15" s="135">
        <f>IFERROR(SUM('Data Sheet'!G23:G24),0)</f>
        <v>1516.63</v>
      </c>
      <c r="I15" s="135">
        <f>IFERROR(SUM('Data Sheet'!H23:H24),0)</f>
        <v>1641.94</v>
      </c>
      <c r="J15" s="135">
        <f>IFERROR(SUM('Data Sheet'!I23:I24),0)</f>
        <v>1627.23</v>
      </c>
      <c r="K15" s="135">
        <f>IFERROR(SUM('Data Sheet'!J23:J24),0)</f>
        <v>1989.46</v>
      </c>
      <c r="L15" s="135">
        <f>IFERROR(SUM('Data Sheet'!K23:K24),0)</f>
        <v>2420.66</v>
      </c>
      <c r="M15" s="135">
        <v>0</v>
      </c>
      <c r="N15" s="135"/>
    </row>
    <row r="16" spans="1:17" x14ac:dyDescent="0.35">
      <c r="B16" s="16" t="s">
        <v>64</v>
      </c>
      <c r="C16" s="17">
        <f t="shared" ref="C16:M16" si="4">C15/C6</f>
        <v>0.19714614777509556</v>
      </c>
      <c r="D16" s="17">
        <f t="shared" si="4"/>
        <v>0.17603390778857281</v>
      </c>
      <c r="E16" s="17">
        <f t="shared" si="4"/>
        <v>0.16689264878235138</v>
      </c>
      <c r="F16" s="17">
        <f t="shared" si="4"/>
        <v>0.15542002985323528</v>
      </c>
      <c r="G16" s="17">
        <f t="shared" si="4"/>
        <v>0.15827829363105436</v>
      </c>
      <c r="H16" s="17">
        <f t="shared" si="4"/>
        <v>0.15861592925907142</v>
      </c>
      <c r="I16" s="17">
        <f t="shared" si="4"/>
        <v>0.15079330093271176</v>
      </c>
      <c r="J16" s="17">
        <f t="shared" si="4"/>
        <v>0.14113144184376436</v>
      </c>
      <c r="K16" s="17">
        <f t="shared" si="4"/>
        <v>0.1603884550238189</v>
      </c>
      <c r="L16" s="17">
        <f t="shared" si="4"/>
        <v>0.1926803039698036</v>
      </c>
      <c r="M16" s="17">
        <f t="shared" si="4"/>
        <v>0</v>
      </c>
    </row>
    <row r="18" spans="2:14" x14ac:dyDescent="0.35">
      <c r="B18" s="39" t="s">
        <v>65</v>
      </c>
      <c r="C18" s="186">
        <f t="shared" ref="C18:M18" si="5">C12-C15</f>
        <v>1518.2799999999993</v>
      </c>
      <c r="D18" s="186">
        <f t="shared" si="5"/>
        <v>1511.6100000000006</v>
      </c>
      <c r="E18" s="186">
        <f t="shared" si="5"/>
        <v>1617.4400000000007</v>
      </c>
      <c r="F18" s="186">
        <f t="shared" si="5"/>
        <v>1739.5599999999993</v>
      </c>
      <c r="G18" s="186">
        <f t="shared" si="5"/>
        <v>1792.3399999999995</v>
      </c>
      <c r="H18" s="186">
        <f t="shared" si="5"/>
        <v>2001.6699999999983</v>
      </c>
      <c r="I18" s="186">
        <f t="shared" si="5"/>
        <v>2252.0100000000007</v>
      </c>
      <c r="J18" s="186">
        <f t="shared" si="5"/>
        <v>2162.4899999999993</v>
      </c>
      <c r="K18" s="186">
        <f t="shared" si="5"/>
        <v>2399.7200000000012</v>
      </c>
      <c r="L18" s="186">
        <f t="shared" si="5"/>
        <v>2316.34</v>
      </c>
      <c r="M18" s="186">
        <f t="shared" si="5"/>
        <v>2316.1399999999994</v>
      </c>
    </row>
    <row r="19" spans="2:14" x14ac:dyDescent="0.35">
      <c r="B19" s="16" t="s">
        <v>67</v>
      </c>
      <c r="C19" s="17">
        <f t="shared" ref="C19:M19" si="6">C18/C6</f>
        <v>0.19516019980307614</v>
      </c>
      <c r="D19" s="17">
        <f t="shared" si="6"/>
        <v>0.19854102992149572</v>
      </c>
      <c r="E19" s="17">
        <f t="shared" si="6"/>
        <v>0.20946275827683788</v>
      </c>
      <c r="F19" s="17">
        <f t="shared" si="6"/>
        <v>0.20429383945254184</v>
      </c>
      <c r="G19" s="17">
        <f t="shared" si="6"/>
        <v>0.20638046021481599</v>
      </c>
      <c r="H19" s="17">
        <f t="shared" si="6"/>
        <v>0.20934357563809575</v>
      </c>
      <c r="I19" s="17">
        <f t="shared" si="6"/>
        <v>0.20682121248856616</v>
      </c>
      <c r="J19" s="17">
        <f t="shared" si="6"/>
        <v>0.18755512845309014</v>
      </c>
      <c r="K19" s="17">
        <f t="shared" si="6"/>
        <v>0.19346324293514769</v>
      </c>
      <c r="L19" s="17">
        <f t="shared" si="6"/>
        <v>0.18437661435204239</v>
      </c>
      <c r="M19" s="17">
        <f t="shared" si="6"/>
        <v>0.18436069470170152</v>
      </c>
    </row>
    <row r="21" spans="2:14" x14ac:dyDescent="0.35">
      <c r="B21" t="s">
        <v>6</v>
      </c>
      <c r="C21" s="135">
        <f>IFERROR('Data Sheet'!B27,0)</f>
        <v>48.48</v>
      </c>
      <c r="D21" s="135">
        <f>IFERROR('Data Sheet'!C27,0)</f>
        <v>54.03</v>
      </c>
      <c r="E21" s="135">
        <f>IFERROR('Data Sheet'!D27,0)</f>
        <v>53.05</v>
      </c>
      <c r="F21" s="135">
        <f>IFERROR('Data Sheet'!E27,0)</f>
        <v>59.58</v>
      </c>
      <c r="G21" s="135">
        <f>IFERROR('Data Sheet'!F27,0)</f>
        <v>49.54</v>
      </c>
      <c r="H21" s="135">
        <f>IFERROR('Data Sheet'!G27,0)</f>
        <v>30.81</v>
      </c>
      <c r="I21" s="135">
        <f>IFERROR('Data Sheet'!H27,0)</f>
        <v>38.6</v>
      </c>
      <c r="J21" s="135">
        <f>IFERROR('Data Sheet'!I27,0)</f>
        <v>78.239999999999995</v>
      </c>
      <c r="K21" s="135">
        <f>IFERROR('Data Sheet'!J27,0)</f>
        <v>124.18</v>
      </c>
      <c r="L21" s="135">
        <f>IFERROR('Data Sheet'!K27,0)</f>
        <v>163.5</v>
      </c>
      <c r="M21" s="135">
        <f>IFERROR(SUM('Data Sheet'!H46:K46),0)</f>
        <v>163.5</v>
      </c>
      <c r="N21" s="135"/>
    </row>
    <row r="22" spans="2:14" x14ac:dyDescent="0.35">
      <c r="B22" s="16" t="s">
        <v>66</v>
      </c>
      <c r="C22" s="17">
        <f t="shared" ref="C22:M22" si="7">C21/C6</f>
        <v>6.2316348015208885E-3</v>
      </c>
      <c r="D22" s="17">
        <f t="shared" si="7"/>
        <v>7.0965208265745859E-3</v>
      </c>
      <c r="E22" s="17">
        <f t="shared" si="7"/>
        <v>6.870115322105453E-3</v>
      </c>
      <c r="F22" s="17">
        <f t="shared" si="7"/>
        <v>6.9970722220460621E-3</v>
      </c>
      <c r="G22" s="17">
        <f t="shared" si="7"/>
        <v>5.7043239558576984E-3</v>
      </c>
      <c r="H22" s="17">
        <f t="shared" si="7"/>
        <v>3.2222472062876178E-3</v>
      </c>
      <c r="I22" s="17">
        <f t="shared" si="7"/>
        <v>3.5449659646531995E-3</v>
      </c>
      <c r="J22" s="17">
        <f t="shared" si="7"/>
        <v>6.7858409750656771E-3</v>
      </c>
      <c r="K22" s="17">
        <f t="shared" si="7"/>
        <v>1.0011278610707344E-2</v>
      </c>
      <c r="L22" s="17">
        <f t="shared" si="7"/>
        <v>1.3014314153603931E-2</v>
      </c>
      <c r="M22" s="17">
        <f t="shared" si="7"/>
        <v>1.3014314153603931E-2</v>
      </c>
    </row>
    <row r="24" spans="2:14" x14ac:dyDescent="0.35">
      <c r="B24" t="s">
        <v>5</v>
      </c>
      <c r="C24" s="135">
        <f>IFERROR('Data Sheet'!B26,0)</f>
        <v>133.19</v>
      </c>
      <c r="D24" s="135">
        <f>IFERROR('Data Sheet'!C26,0)</f>
        <v>142.86000000000001</v>
      </c>
      <c r="E24" s="135">
        <f>IFERROR('Data Sheet'!D26,0)</f>
        <v>162.18</v>
      </c>
      <c r="F24" s="135">
        <f>IFERROR('Data Sheet'!E26,0)</f>
        <v>176.9</v>
      </c>
      <c r="G24" s="135">
        <f>IFERROR('Data Sheet'!F26,0)</f>
        <v>220.45</v>
      </c>
      <c r="H24" s="135">
        <f>IFERROR('Data Sheet'!G26,0)</f>
        <v>240.13</v>
      </c>
      <c r="I24" s="135">
        <f>IFERROR('Data Sheet'!H26,0)</f>
        <v>252.89</v>
      </c>
      <c r="J24" s="135">
        <f>IFERROR('Data Sheet'!I26,0)</f>
        <v>310.95999999999998</v>
      </c>
      <c r="K24" s="135">
        <f>IFERROR('Data Sheet'!J26,0)</f>
        <v>399.21</v>
      </c>
      <c r="L24" s="135">
        <f>IFERROR('Data Sheet'!K26,0)</f>
        <v>445.6</v>
      </c>
      <c r="M24" s="135">
        <f>IFERROR(SUM('Data Sheet'!H45:K45),0)</f>
        <v>445.6</v>
      </c>
      <c r="N24" s="135"/>
    </row>
    <row r="25" spans="2:14" x14ac:dyDescent="0.35">
      <c r="B25" s="17" t="s">
        <v>68</v>
      </c>
      <c r="C25" s="17">
        <f t="shared" ref="C25:M25" si="8">C24/C6</f>
        <v>1.7120285462346684E-2</v>
      </c>
      <c r="D25" s="17">
        <f t="shared" si="8"/>
        <v>1.8763815755773558E-2</v>
      </c>
      <c r="E25" s="17">
        <f t="shared" si="8"/>
        <v>2.1002738980943687E-2</v>
      </c>
      <c r="F25" s="17">
        <f t="shared" si="8"/>
        <v>2.0775127158105883E-2</v>
      </c>
      <c r="G25" s="17">
        <f t="shared" si="8"/>
        <v>2.5383896166104754E-2</v>
      </c>
      <c r="H25" s="17">
        <f t="shared" si="8"/>
        <v>2.5113866330601937E-2</v>
      </c>
      <c r="I25" s="17">
        <f t="shared" si="8"/>
        <v>2.322503737826807E-2</v>
      </c>
      <c r="J25" s="17">
        <f t="shared" si="8"/>
        <v>2.6969901707648555E-2</v>
      </c>
      <c r="K25" s="17">
        <f t="shared" si="8"/>
        <v>3.2183946965537752E-2</v>
      </c>
      <c r="L25" s="17">
        <f t="shared" si="8"/>
        <v>3.5468980959302211E-2</v>
      </c>
      <c r="M25" s="17">
        <f t="shared" si="8"/>
        <v>3.5468980959302211E-2</v>
      </c>
    </row>
    <row r="27" spans="2:14" x14ac:dyDescent="0.35">
      <c r="B27" s="39" t="s">
        <v>70</v>
      </c>
      <c r="C27" s="186">
        <f>IFERROR(C18-SUM(C21,C24),0)</f>
        <v>1336.6099999999992</v>
      </c>
      <c r="D27" s="186">
        <f>IFERROR(D18-SUM(D21,D24),0)</f>
        <v>1314.7200000000005</v>
      </c>
      <c r="E27" s="186">
        <f t="shared" ref="E27:M27" si="9">IFERROR(E18-SUM(E21,E24),0)</f>
        <v>1402.2100000000007</v>
      </c>
      <c r="F27" s="186">
        <f t="shared" si="9"/>
        <v>1503.0799999999992</v>
      </c>
      <c r="G27" s="186">
        <f t="shared" si="9"/>
        <v>1522.3499999999995</v>
      </c>
      <c r="H27" s="186">
        <f t="shared" si="9"/>
        <v>1730.7299999999982</v>
      </c>
      <c r="I27" s="186">
        <f t="shared" si="9"/>
        <v>1960.5200000000007</v>
      </c>
      <c r="J27" s="186">
        <f t="shared" si="9"/>
        <v>1773.2899999999993</v>
      </c>
      <c r="K27" s="186">
        <f t="shared" si="9"/>
        <v>1876.3300000000013</v>
      </c>
      <c r="L27" s="186">
        <f t="shared" si="9"/>
        <v>1707.2400000000002</v>
      </c>
      <c r="M27" s="186">
        <f t="shared" si="9"/>
        <v>1707.0399999999995</v>
      </c>
    </row>
    <row r="28" spans="2:14" x14ac:dyDescent="0.35">
      <c r="B28" s="17" t="s">
        <v>71</v>
      </c>
      <c r="C28" s="17">
        <f>C27/C6</f>
        <v>0.17180827953920855</v>
      </c>
      <c r="D28" s="17">
        <f t="shared" ref="D28:M28" si="10">D27/D6</f>
        <v>0.17268069333914757</v>
      </c>
      <c r="E28" s="17">
        <f t="shared" si="10"/>
        <v>0.18158990397378874</v>
      </c>
      <c r="F28" s="17">
        <f t="shared" si="10"/>
        <v>0.17652164007238991</v>
      </c>
      <c r="G28" s="17">
        <f t="shared" si="10"/>
        <v>0.17529224009285355</v>
      </c>
      <c r="H28" s="17">
        <f t="shared" si="10"/>
        <v>0.18100746210120619</v>
      </c>
      <c r="I28" s="17">
        <f t="shared" si="10"/>
        <v>0.1800512091456449</v>
      </c>
      <c r="J28" s="17">
        <f t="shared" si="10"/>
        <v>0.15379938577037588</v>
      </c>
      <c r="K28" s="17">
        <f t="shared" si="10"/>
        <v>0.15126801735890258</v>
      </c>
      <c r="L28" s="17">
        <f t="shared" si="10"/>
        <v>0.13589331923913625</v>
      </c>
      <c r="M28" s="17">
        <f t="shared" si="10"/>
        <v>0.13587739958879538</v>
      </c>
    </row>
    <row r="30" spans="2:14" x14ac:dyDescent="0.35">
      <c r="B30" t="s">
        <v>8</v>
      </c>
      <c r="C30" s="135">
        <f>IFERROR('Data Sheet'!B29,0)</f>
        <v>299.89999999999998</v>
      </c>
      <c r="D30" s="135">
        <f>IFERROR('Data Sheet'!C29,0)</f>
        <v>330.34</v>
      </c>
      <c r="E30" s="135">
        <f>IFERROR('Data Sheet'!D29,0)</f>
        <v>335.35</v>
      </c>
      <c r="F30" s="135">
        <f>IFERROR('Data Sheet'!E29,0)</f>
        <v>278.62</v>
      </c>
      <c r="G30" s="135">
        <f>IFERROR('Data Sheet'!F29,0)</f>
        <v>279.72000000000003</v>
      </c>
      <c r="H30" s="135">
        <f>IFERROR('Data Sheet'!G29,0)</f>
        <v>361.07</v>
      </c>
      <c r="I30" s="135">
        <f>IFERROR('Data Sheet'!H29,0)</f>
        <v>526.38</v>
      </c>
      <c r="J30" s="135">
        <f>IFERROR('Data Sheet'!I29,0)</f>
        <v>517.35</v>
      </c>
      <c r="K30" s="135">
        <f>IFERROR('Data Sheet'!J29,0)</f>
        <v>547.42999999999995</v>
      </c>
      <c r="L30" s="135">
        <f>IFERROR('Data Sheet'!K29,0)</f>
        <v>517.47</v>
      </c>
      <c r="M30" s="135">
        <f>IFERROR(SUM('Data Sheet'!H48:K48),0)</f>
        <v>517.47</v>
      </c>
    </row>
    <row r="31" spans="2:14" x14ac:dyDescent="0.35">
      <c r="B31" s="17" t="s">
        <v>72</v>
      </c>
      <c r="C31" s="17">
        <f>C30/C27</f>
        <v>0.22437360187339625</v>
      </c>
      <c r="D31" s="17">
        <f t="shared" ref="D31:M31" si="11">D30/D27</f>
        <v>0.25126262626262613</v>
      </c>
      <c r="E31" s="17">
        <f t="shared" si="11"/>
        <v>0.23915818600637553</v>
      </c>
      <c r="F31" s="17">
        <f t="shared" si="11"/>
        <v>0.18536604838065848</v>
      </c>
      <c r="G31" s="17">
        <f t="shared" si="11"/>
        <v>0.18374224061483899</v>
      </c>
      <c r="H31" s="17">
        <f t="shared" si="11"/>
        <v>0.20862295100911196</v>
      </c>
      <c r="I31" s="17">
        <f t="shared" si="11"/>
        <v>0.26848999245098232</v>
      </c>
      <c r="J31" s="17">
        <f t="shared" si="11"/>
        <v>0.2917458509324477</v>
      </c>
      <c r="K31" s="17">
        <f t="shared" si="11"/>
        <v>0.2917557146131009</v>
      </c>
      <c r="L31" s="17">
        <f t="shared" si="11"/>
        <v>0.30310325437548319</v>
      </c>
      <c r="M31" s="17">
        <f t="shared" si="11"/>
        <v>0.30313876651982391</v>
      </c>
    </row>
    <row r="33" spans="1:15" x14ac:dyDescent="0.35">
      <c r="B33" s="39" t="s">
        <v>73</v>
      </c>
      <c r="C33" s="186">
        <f>IFERROR(C27-C30,0)</f>
        <v>1036.7099999999991</v>
      </c>
      <c r="D33" s="186">
        <f t="shared" ref="D33:M33" si="12">IFERROR(D27-D30,0)</f>
        <v>984.38000000000056</v>
      </c>
      <c r="E33" s="186">
        <f t="shared" si="12"/>
        <v>1066.8600000000006</v>
      </c>
      <c r="F33" s="186">
        <f t="shared" si="12"/>
        <v>1224.4599999999991</v>
      </c>
      <c r="G33" s="186">
        <f t="shared" si="12"/>
        <v>1242.6299999999994</v>
      </c>
      <c r="H33" s="186">
        <f t="shared" si="12"/>
        <v>1369.6599999999983</v>
      </c>
      <c r="I33" s="186">
        <f t="shared" si="12"/>
        <v>1434.1400000000008</v>
      </c>
      <c r="J33" s="186">
        <f t="shared" si="12"/>
        <v>1255.9399999999991</v>
      </c>
      <c r="K33" s="186">
        <f t="shared" si="12"/>
        <v>1328.9000000000015</v>
      </c>
      <c r="L33" s="186">
        <f t="shared" si="12"/>
        <v>1189.7700000000002</v>
      </c>
      <c r="M33" s="186">
        <f t="shared" si="12"/>
        <v>1189.5699999999995</v>
      </c>
      <c r="N33" s="135"/>
      <c r="O33" s="135"/>
    </row>
    <row r="34" spans="1:15" x14ac:dyDescent="0.35">
      <c r="B34" s="17" t="s">
        <v>74</v>
      </c>
      <c r="C34" s="17">
        <f>C33/C6</f>
        <v>0.133259037027325</v>
      </c>
      <c r="D34" s="17">
        <f t="shared" ref="D34:M34" si="13">D33/D6</f>
        <v>0.12929248882590216</v>
      </c>
      <c r="E34" s="17">
        <f t="shared" si="13"/>
        <v>0.1381611919423455</v>
      </c>
      <c r="F34" s="17">
        <f t="shared" si="13"/>
        <v>0.14380052119849807</v>
      </c>
      <c r="G34" s="17">
        <f t="shared" si="13"/>
        <v>0.14308365113579832</v>
      </c>
      <c r="H34" s="17">
        <f t="shared" si="13"/>
        <v>0.14324515120298256</v>
      </c>
      <c r="I34" s="17">
        <f t="shared" si="13"/>
        <v>0.13170926136134048</v>
      </c>
      <c r="J34" s="17">
        <f t="shared" si="13"/>
        <v>0.10892905309590978</v>
      </c>
      <c r="K34" s="17">
        <f t="shared" si="13"/>
        <v>0.10713470885624903</v>
      </c>
      <c r="L34" s="17">
        <f t="shared" si="13"/>
        <v>9.4703611929867593E-2</v>
      </c>
      <c r="M34" s="17">
        <f t="shared" si="13"/>
        <v>9.4687692279526725E-2</v>
      </c>
    </row>
    <row r="36" spans="1:15" x14ac:dyDescent="0.35">
      <c r="B36" t="s">
        <v>75</v>
      </c>
      <c r="C36" s="135">
        <f>IFERROR('Data Sheet'!B93,0)</f>
        <v>175.91</v>
      </c>
      <c r="D36" s="135">
        <f>IFERROR('Data Sheet'!C93,0)</f>
        <v>176.15</v>
      </c>
      <c r="E36" s="135">
        <f>IFERROR('Data Sheet'!D93,0)</f>
        <v>176.15</v>
      </c>
      <c r="F36" s="135">
        <f>IFERROR('Data Sheet'!E93,0)</f>
        <v>176.63</v>
      </c>
      <c r="G36" s="135">
        <f>IFERROR('Data Sheet'!F93,0)</f>
        <v>176.71</v>
      </c>
      <c r="H36" s="135">
        <f>IFERROR('Data Sheet'!G93,0)</f>
        <v>176.74</v>
      </c>
      <c r="I36" s="135">
        <f>IFERROR('Data Sheet'!H93,0)</f>
        <v>176.79</v>
      </c>
      <c r="J36" s="135">
        <f>IFERROR('Data Sheet'!I93,0)</f>
        <v>177.18</v>
      </c>
      <c r="K36" s="135">
        <f>IFERROR('Data Sheet'!J93,0)</f>
        <v>177.2</v>
      </c>
      <c r="L36" s="135">
        <f>IFERROR('Data Sheet'!K93,0)</f>
        <v>177.23</v>
      </c>
      <c r="M36" s="135">
        <f>L36</f>
        <v>177.23</v>
      </c>
    </row>
    <row r="37" spans="1:15" x14ac:dyDescent="0.35"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</row>
    <row r="38" spans="1:15" x14ac:dyDescent="0.35">
      <c r="B38" t="s">
        <v>77</v>
      </c>
      <c r="C38" s="135">
        <f>IFERROR(C33/C36,0)</f>
        <v>5.8934114035586331</v>
      </c>
      <c r="D38" s="135">
        <f t="shared" ref="D38:M38" si="14">IFERROR(D33/D36,0)</f>
        <v>5.5883054215157566</v>
      </c>
      <c r="E38" s="135">
        <f t="shared" si="14"/>
        <v>6.0565427192733496</v>
      </c>
      <c r="F38" s="135">
        <f t="shared" si="14"/>
        <v>6.9323444488478696</v>
      </c>
      <c r="G38" s="135">
        <f t="shared" si="14"/>
        <v>7.0320298794635239</v>
      </c>
      <c r="H38" s="135">
        <f t="shared" si="14"/>
        <v>7.7495756478442805</v>
      </c>
      <c r="I38" s="135">
        <f t="shared" si="14"/>
        <v>8.1121104134849311</v>
      </c>
      <c r="J38" s="135">
        <f t="shared" si="14"/>
        <v>7.0884975730895086</v>
      </c>
      <c r="K38" s="135">
        <f t="shared" si="14"/>
        <v>7.4994356659142296</v>
      </c>
      <c r="L38" s="135">
        <f t="shared" si="14"/>
        <v>6.7131411160638734</v>
      </c>
      <c r="M38" s="135">
        <f t="shared" si="14"/>
        <v>6.7120126389437429</v>
      </c>
    </row>
    <row r="39" spans="1:15" x14ac:dyDescent="0.35">
      <c r="B39" s="17" t="s">
        <v>78</v>
      </c>
      <c r="C39" s="17"/>
      <c r="D39" s="17">
        <f>IFERROR(D38/C38-1,0)</f>
        <v>-5.177069122624689E-2</v>
      </c>
      <c r="E39" s="17">
        <f t="shared" ref="E39:M39" si="15">IFERROR(E38/D38-1,0)</f>
        <v>8.3788780755399417E-2</v>
      </c>
      <c r="F39" s="17">
        <f t="shared" si="15"/>
        <v>0.1446042354803363</v>
      </c>
      <c r="G39" s="17">
        <f t="shared" si="15"/>
        <v>1.4379757288635719E-2</v>
      </c>
      <c r="H39" s="17">
        <f t="shared" si="15"/>
        <v>0.10203963587758502</v>
      </c>
      <c r="I39" s="17">
        <f t="shared" si="15"/>
        <v>4.6781240949818725E-2</v>
      </c>
      <c r="J39" s="17">
        <f t="shared" si="15"/>
        <v>-0.12618329734440614</v>
      </c>
      <c r="K39" s="17">
        <f t="shared" si="15"/>
        <v>5.7972523597213277E-2</v>
      </c>
      <c r="L39" s="17">
        <f t="shared" si="15"/>
        <v>-0.10484716249039283</v>
      </c>
      <c r="M39" s="17">
        <f t="shared" si="15"/>
        <v>-1.6809971675257884E-4</v>
      </c>
    </row>
    <row r="41" spans="1:15" x14ac:dyDescent="0.35">
      <c r="B41" t="s">
        <v>76</v>
      </c>
      <c r="C41" s="22">
        <f>IFERROR('Data Sheet'!B31/HistoricalFS!C36,0)</f>
        <v>2.250014211812859</v>
      </c>
      <c r="D41" s="22">
        <f>IFERROR('Data Sheet'!C31/HistoricalFS!D36,0)</f>
        <v>2.2500141924496164</v>
      </c>
      <c r="E41" s="22">
        <f>IFERROR('Data Sheet'!D31/HistoricalFS!E36,0)</f>
        <v>6.2500141924496173</v>
      </c>
      <c r="F41" s="22">
        <f>IFERROR('Data Sheet'!E31/HistoricalFS!F36,0)</f>
        <v>2.7499858461190061</v>
      </c>
      <c r="G41" s="22">
        <f>IFERROR('Data Sheet'!F31/HistoricalFS!G36,0)</f>
        <v>3</v>
      </c>
      <c r="H41" s="22">
        <f>IFERROR('Data Sheet'!G31/HistoricalFS!H36,0)</f>
        <v>4.7500282901437139</v>
      </c>
      <c r="I41" s="22">
        <f>IFERROR('Data Sheet'!H31/HistoricalFS!I36,0)</f>
        <v>5.200011312857062</v>
      </c>
      <c r="J41" s="22">
        <f>IFERROR('Data Sheet'!I31/HistoricalFS!J36,0)</f>
        <v>5.2000225759115022</v>
      </c>
      <c r="K41" s="22">
        <f>IFERROR('Data Sheet'!J31/HistoricalFS!K36,0)</f>
        <v>5.5000000000000009</v>
      </c>
      <c r="L41" s="22">
        <f>IFERROR('Data Sheet'!K31/HistoricalFS!L36,0)</f>
        <v>8</v>
      </c>
      <c r="M41" s="22">
        <f>IFERROR('Data Sheet'!L31/HistoricalFS!M36,0)</f>
        <v>0</v>
      </c>
    </row>
    <row r="42" spans="1:15" x14ac:dyDescent="0.35">
      <c r="B42" s="17" t="s">
        <v>79</v>
      </c>
      <c r="C42" s="17">
        <f>C41/C38</f>
        <v>0.38178468424149509</v>
      </c>
      <c r="D42" s="17">
        <f t="shared" ref="D42:M42" si="16">D41/D38</f>
        <v>0.402629066011093</v>
      </c>
      <c r="E42" s="17">
        <f t="shared" si="16"/>
        <v>1.0319442101119167</v>
      </c>
      <c r="F42" s="17">
        <f t="shared" si="16"/>
        <v>0.39668915276938432</v>
      </c>
      <c r="G42" s="17">
        <f t="shared" si="16"/>
        <v>0.42661934767388549</v>
      </c>
      <c r="H42" s="17">
        <f t="shared" si="16"/>
        <v>0.61294043777287877</v>
      </c>
      <c r="I42" s="17">
        <f t="shared" si="16"/>
        <v>0.64101831062518255</v>
      </c>
      <c r="J42" s="17">
        <f t="shared" si="16"/>
        <v>0.73358599933117874</v>
      </c>
      <c r="K42" s="17">
        <f t="shared" si="16"/>
        <v>0.73338851681842054</v>
      </c>
      <c r="L42" s="17">
        <f t="shared" si="16"/>
        <v>1.191692511998117</v>
      </c>
      <c r="M42" s="17">
        <f t="shared" si="16"/>
        <v>0</v>
      </c>
    </row>
    <row r="44" spans="1:15" x14ac:dyDescent="0.35">
      <c r="B44" t="s">
        <v>80</v>
      </c>
      <c r="C44" s="13">
        <f>IFERROR(IF(C38&gt;C41,1-C42,0),0)</f>
        <v>0.61821531575850486</v>
      </c>
      <c r="D44" s="13">
        <f t="shared" ref="D44:M44" si="17">IFERROR(IF(D38&gt;D41,1-D42,0),0)</f>
        <v>0.59737093398890706</v>
      </c>
      <c r="E44" s="13">
        <f t="shared" si="17"/>
        <v>0</v>
      </c>
      <c r="F44" s="13">
        <f t="shared" si="17"/>
        <v>0.60331084723061568</v>
      </c>
      <c r="G44" s="13">
        <f t="shared" si="17"/>
        <v>0.57338065232611446</v>
      </c>
      <c r="H44" s="13">
        <f t="shared" si="17"/>
        <v>0.38705956222712123</v>
      </c>
      <c r="I44" s="13">
        <f t="shared" si="17"/>
        <v>0.35898168937481745</v>
      </c>
      <c r="J44" s="13">
        <f t="shared" si="17"/>
        <v>0.26641400066882126</v>
      </c>
      <c r="K44" s="13">
        <f t="shared" si="17"/>
        <v>0.26661148318157946</v>
      </c>
      <c r="L44" s="13">
        <f t="shared" si="17"/>
        <v>0</v>
      </c>
      <c r="M44" s="13">
        <f t="shared" si="17"/>
        <v>1</v>
      </c>
    </row>
    <row r="46" spans="1:15" x14ac:dyDescent="0.35">
      <c r="A46" t="s">
        <v>56</v>
      </c>
      <c r="B46" s="18" t="s">
        <v>81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15" x14ac:dyDescent="0.35">
      <c r="B47" t="s">
        <v>10</v>
      </c>
      <c r="C47" s="135">
        <f>IFERROR('Data Sheet'!B57,0)</f>
        <v>175.91</v>
      </c>
      <c r="D47" s="135">
        <f>IFERROR('Data Sheet'!C57,0)</f>
        <v>176.15</v>
      </c>
      <c r="E47" s="135">
        <f>IFERROR('Data Sheet'!D57,0)</f>
        <v>176.15</v>
      </c>
      <c r="F47" s="135">
        <f>IFERROR('Data Sheet'!E57,0)</f>
        <v>176.63</v>
      </c>
      <c r="G47" s="135">
        <f>IFERROR('Data Sheet'!F57,0)</f>
        <v>176.71</v>
      </c>
      <c r="H47" s="135">
        <f>IFERROR('Data Sheet'!G57,0)</f>
        <v>176.74</v>
      </c>
      <c r="I47" s="135">
        <f>IFERROR('Data Sheet'!H57,0)</f>
        <v>176.79</v>
      </c>
      <c r="J47" s="135">
        <f>IFERROR('Data Sheet'!I57,0)</f>
        <v>177.18</v>
      </c>
      <c r="K47" s="135">
        <f>IFERROR('Data Sheet'!J57,0)</f>
        <v>177.2</v>
      </c>
      <c r="L47" s="135">
        <f>IFERROR('Data Sheet'!K57,0)</f>
        <v>177.23</v>
      </c>
      <c r="M47" s="135">
        <f>IFERROR('Data Sheet'!L57,0)</f>
        <v>0</v>
      </c>
    </row>
    <row r="48" spans="1:15" x14ac:dyDescent="0.35">
      <c r="B48" t="s">
        <v>11</v>
      </c>
      <c r="C48" s="135">
        <f>IFERROR('Data Sheet'!B58,0)</f>
        <v>3994.7</v>
      </c>
      <c r="D48" s="135">
        <f>IFERROR('Data Sheet'!C58,0)</f>
        <v>4671.24</v>
      </c>
      <c r="E48" s="135">
        <f>IFERROR('Data Sheet'!D58,0)</f>
        <v>5530.37</v>
      </c>
      <c r="F48" s="135">
        <f>IFERROR('Data Sheet'!E58,0)</f>
        <v>5455.05</v>
      </c>
      <c r="G48" s="135">
        <f>IFERROR('Data Sheet'!F58,0)</f>
        <v>6429.04</v>
      </c>
      <c r="H48" s="135">
        <f>IFERROR('Data Sheet'!G58,0)</f>
        <v>7486.79</v>
      </c>
      <c r="I48" s="135">
        <f>IFERROR('Data Sheet'!H58,0)</f>
        <v>8204.51</v>
      </c>
      <c r="J48" s="135">
        <f>IFERROR('Data Sheet'!I58,0)</f>
        <v>8796.08</v>
      </c>
      <c r="K48" s="135">
        <f>IFERROR('Data Sheet'!J58,0)</f>
        <v>9689.1</v>
      </c>
      <c r="L48" s="135">
        <f>IFERROR('Data Sheet'!K58,0)</f>
        <v>10623.46</v>
      </c>
      <c r="M48" s="135">
        <f>IFERROR('Data Sheet'!L58,0)</f>
        <v>0</v>
      </c>
    </row>
    <row r="49" spans="2:13" x14ac:dyDescent="0.35">
      <c r="B49" t="s">
        <v>35</v>
      </c>
      <c r="C49" s="135">
        <f>IFERROR('Data Sheet'!B59,0)</f>
        <v>805.22</v>
      </c>
      <c r="D49" s="135">
        <f>IFERROR('Data Sheet'!C59,0)</f>
        <v>975</v>
      </c>
      <c r="E49" s="135">
        <f>IFERROR('Data Sheet'!D59,0)</f>
        <v>937.59</v>
      </c>
      <c r="F49" s="135">
        <f>IFERROR('Data Sheet'!E59,0)</f>
        <v>699.37</v>
      </c>
      <c r="G49" s="135">
        <f>IFERROR('Data Sheet'!F59,0)</f>
        <v>521.99</v>
      </c>
      <c r="H49" s="135">
        <f>IFERROR('Data Sheet'!G59,0)</f>
        <v>509.06</v>
      </c>
      <c r="I49" s="135">
        <f>IFERROR('Data Sheet'!H59,0)</f>
        <v>1030.0999999999999</v>
      </c>
      <c r="J49" s="135">
        <f>IFERROR('Data Sheet'!I59,0)</f>
        <v>1173.79</v>
      </c>
      <c r="K49" s="135">
        <f>IFERROR('Data Sheet'!J59,0)</f>
        <v>1365.09</v>
      </c>
      <c r="L49" s="135">
        <f>IFERROR('Data Sheet'!K59,0)</f>
        <v>950.37</v>
      </c>
      <c r="M49" s="135">
        <f>IFERROR('Data Sheet'!L59,0)</f>
        <v>0</v>
      </c>
    </row>
    <row r="50" spans="2:13" x14ac:dyDescent="0.35">
      <c r="B50" t="s">
        <v>36</v>
      </c>
      <c r="C50" s="135">
        <f>IFERROR('Data Sheet'!B60,0)</f>
        <v>1956.47</v>
      </c>
      <c r="D50" s="135">
        <f>IFERROR('Data Sheet'!C60,0)</f>
        <v>1909.85</v>
      </c>
      <c r="E50" s="135">
        <f>IFERROR('Data Sheet'!D60,0)</f>
        <v>2057.52</v>
      </c>
      <c r="F50" s="135">
        <f>IFERROR('Data Sheet'!E60,0)</f>
        <v>2105.59</v>
      </c>
      <c r="G50" s="135">
        <f>IFERROR('Data Sheet'!F60,0)</f>
        <v>2208.84</v>
      </c>
      <c r="H50" s="135">
        <f>IFERROR('Data Sheet'!G60,0)</f>
        <v>2660.63</v>
      </c>
      <c r="I50" s="135">
        <f>IFERROR('Data Sheet'!H60,0)</f>
        <v>2872.46</v>
      </c>
      <c r="J50" s="135">
        <f>IFERROR('Data Sheet'!I60,0)</f>
        <v>3505.23</v>
      </c>
      <c r="K50" s="135">
        <f>IFERROR('Data Sheet'!J60,0)</f>
        <v>3884.97</v>
      </c>
      <c r="L50" s="135">
        <f>IFERROR('Data Sheet'!K60,0)</f>
        <v>4481.22</v>
      </c>
      <c r="M50" s="135">
        <f>IFERROR('Data Sheet'!L60,0)</f>
        <v>0</v>
      </c>
    </row>
    <row r="51" spans="2:13" x14ac:dyDescent="0.35">
      <c r="B51" s="39" t="s">
        <v>82</v>
      </c>
      <c r="C51" s="186">
        <f>SUM(C47:C50)</f>
        <v>6932.3</v>
      </c>
      <c r="D51" s="186">
        <f>IFERROR('Data Sheet'!C61,0)</f>
        <v>7732.24</v>
      </c>
      <c r="E51" s="186">
        <f>IFERROR('Data Sheet'!D61,0)</f>
        <v>8701.6299999999992</v>
      </c>
      <c r="F51" s="186">
        <f>IFERROR('Data Sheet'!E61,0)</f>
        <v>8436.64</v>
      </c>
      <c r="G51" s="186">
        <f>IFERROR('Data Sheet'!F61,0)</f>
        <v>9336.58</v>
      </c>
      <c r="H51" s="186">
        <f>IFERROR('Data Sheet'!G61,0)</f>
        <v>10833.22</v>
      </c>
      <c r="I51" s="186">
        <f>IFERROR('Data Sheet'!H61,0)</f>
        <v>12283.86</v>
      </c>
      <c r="J51" s="186">
        <f>IFERROR('Data Sheet'!I61,0)</f>
        <v>13652.28</v>
      </c>
      <c r="K51" s="186">
        <f>IFERROR('Data Sheet'!J61,0)</f>
        <v>15116.36</v>
      </c>
      <c r="L51" s="186">
        <f>IFERROR('Data Sheet'!K61,0)</f>
        <v>16232.28</v>
      </c>
      <c r="M51" s="186">
        <f>IFERROR('Data Sheet'!L61,0)</f>
        <v>0</v>
      </c>
    </row>
    <row r="52" spans="2:13" x14ac:dyDescent="0.35">
      <c r="C52" s="135"/>
      <c r="D52" s="135"/>
      <c r="E52" s="135"/>
      <c r="F52" s="135"/>
      <c r="G52" s="135"/>
      <c r="H52" s="135"/>
      <c r="I52" s="135"/>
      <c r="J52" s="135"/>
      <c r="K52" s="135"/>
      <c r="L52" s="135"/>
      <c r="M52" s="135"/>
    </row>
    <row r="53" spans="2:13" x14ac:dyDescent="0.35">
      <c r="B53" t="s">
        <v>83</v>
      </c>
      <c r="C53" s="135">
        <f>IFERROR('Data Sheet'!B62,0)</f>
        <v>1667.4</v>
      </c>
      <c r="D53" s="135">
        <f>IFERROR('Data Sheet'!C62,0)</f>
        <v>1958.4</v>
      </c>
      <c r="E53" s="135">
        <f>IFERROR('Data Sheet'!D62,0)</f>
        <v>2028.11</v>
      </c>
      <c r="F53" s="135">
        <f>IFERROR('Data Sheet'!E62,0)</f>
        <v>1969.06</v>
      </c>
      <c r="G53" s="135">
        <f>IFERROR('Data Sheet'!F62,0)</f>
        <v>2252.6799999999998</v>
      </c>
      <c r="H53" s="135">
        <f>IFERROR('Data Sheet'!G62,0)</f>
        <v>2242.92</v>
      </c>
      <c r="I53" s="135">
        <f>IFERROR('Data Sheet'!H62,0)</f>
        <v>2307.9</v>
      </c>
      <c r="J53" s="135">
        <f>IFERROR('Data Sheet'!I62,0)</f>
        <v>3578.65</v>
      </c>
      <c r="K53" s="135">
        <f>IFERROR('Data Sheet'!J62,0)</f>
        <v>3815</v>
      </c>
      <c r="L53" s="135">
        <f>IFERROR('Data Sheet'!K62,0)</f>
        <v>3992.27</v>
      </c>
      <c r="M53" s="135">
        <f>IFERROR('Data Sheet'!L62,0)</f>
        <v>0</v>
      </c>
    </row>
    <row r="54" spans="2:13" x14ac:dyDescent="0.35">
      <c r="B54" t="s">
        <v>14</v>
      </c>
      <c r="C54" s="135">
        <f>IFERROR('Data Sheet'!B63,0)</f>
        <v>44.8</v>
      </c>
      <c r="D54" s="135">
        <f>IFERROR('Data Sheet'!C63,0)</f>
        <v>42.1</v>
      </c>
      <c r="E54" s="135">
        <f>IFERROR('Data Sheet'!D63,0)</f>
        <v>41.51</v>
      </c>
      <c r="F54" s="135">
        <f>IFERROR('Data Sheet'!E63,0)</f>
        <v>63.76</v>
      </c>
      <c r="G54" s="135">
        <f>IFERROR('Data Sheet'!F63,0)</f>
        <v>146.57</v>
      </c>
      <c r="H54" s="135">
        <f>IFERROR('Data Sheet'!G63,0)</f>
        <v>147.30000000000001</v>
      </c>
      <c r="I54" s="135">
        <f>IFERROR('Data Sheet'!H63,0)</f>
        <v>167.5</v>
      </c>
      <c r="J54" s="135">
        <f>IFERROR('Data Sheet'!I63,0)</f>
        <v>175.13</v>
      </c>
      <c r="K54" s="135">
        <f>IFERROR('Data Sheet'!J63,0)</f>
        <v>232.23</v>
      </c>
      <c r="L54" s="135">
        <f>IFERROR('Data Sheet'!K63,0)</f>
        <v>166.41</v>
      </c>
      <c r="M54" s="135">
        <f>IFERROR('Data Sheet'!L63,0)</f>
        <v>0</v>
      </c>
    </row>
    <row r="55" spans="2:13" x14ac:dyDescent="0.35">
      <c r="B55" t="s">
        <v>15</v>
      </c>
      <c r="C55" s="135">
        <f>IFERROR('Data Sheet'!B64,0)</f>
        <v>2690.74</v>
      </c>
      <c r="D55" s="135">
        <f>IFERROR('Data Sheet'!C64,0)</f>
        <v>3240.16</v>
      </c>
      <c r="E55" s="135">
        <f>IFERROR('Data Sheet'!D64,0)</f>
        <v>3805.17</v>
      </c>
      <c r="F55" s="135">
        <f>IFERROR('Data Sheet'!E64,0)</f>
        <v>3358.76</v>
      </c>
      <c r="G55" s="135">
        <f>IFERROR('Data Sheet'!F64,0)</f>
        <v>2800.26</v>
      </c>
      <c r="H55" s="135">
        <f>IFERROR('Data Sheet'!G64,0)</f>
        <v>4159.63</v>
      </c>
      <c r="I55" s="135">
        <f>IFERROR('Data Sheet'!H64,0)</f>
        <v>6219.62</v>
      </c>
      <c r="J55" s="135">
        <f>IFERROR('Data Sheet'!I64,0)</f>
        <v>6265.26</v>
      </c>
      <c r="K55" s="135">
        <f>IFERROR('Data Sheet'!J64,0)</f>
        <v>6932.69</v>
      </c>
      <c r="L55" s="135">
        <f>IFERROR('Data Sheet'!K64,0)</f>
        <v>7467.86</v>
      </c>
      <c r="M55" s="135">
        <f>IFERROR('Data Sheet'!L64,0)</f>
        <v>0</v>
      </c>
    </row>
    <row r="56" spans="2:13" x14ac:dyDescent="0.35">
      <c r="B56" t="s">
        <v>37</v>
      </c>
      <c r="C56" s="135">
        <f>IFERROR('Data Sheet'!B65-SUM('Data Sheet'!B67:B69),0)</f>
        <v>403.84000000000015</v>
      </c>
      <c r="D56" s="135">
        <f>IFERROR('Data Sheet'!C65-SUM('Data Sheet'!C67:C69),0)</f>
        <v>429.63999999999987</v>
      </c>
      <c r="E56" s="135">
        <f>IFERROR('Data Sheet'!D65-SUM('Data Sheet'!D67:D69),0)</f>
        <v>558.52</v>
      </c>
      <c r="F56" s="135">
        <f>IFERROR('Data Sheet'!E65-SUM('Data Sheet'!E67:E69),0)</f>
        <v>582.80999999999995</v>
      </c>
      <c r="G56" s="135">
        <f>IFERROR('Data Sheet'!F65-SUM('Data Sheet'!F67:F69),0)</f>
        <v>1132.2399999999998</v>
      </c>
      <c r="H56" s="135">
        <f>IFERROR('Data Sheet'!G65-SUM('Data Sheet'!G67:G69),0)</f>
        <v>658.47999999999956</v>
      </c>
      <c r="I56" s="135">
        <f>IFERROR('Data Sheet'!H65-SUM('Data Sheet'!H67:H69),0)</f>
        <v>461.18000000000029</v>
      </c>
      <c r="J56" s="135">
        <f>IFERROR('Data Sheet'!I65-SUM('Data Sheet'!I67:I69),0)</f>
        <v>434.36999999999989</v>
      </c>
      <c r="K56" s="135">
        <f>IFERROR('Data Sheet'!J65-SUM('Data Sheet'!J67:J69),0)</f>
        <v>624.38999999999942</v>
      </c>
      <c r="L56" s="135">
        <f>IFERROR('Data Sheet'!K65-SUM('Data Sheet'!K67:K69),0)</f>
        <v>839.11999999999989</v>
      </c>
      <c r="M56" s="135">
        <f>IFERROR('Data Sheet'!L65-SUM('Data Sheet'!L67:L69),0)</f>
        <v>0</v>
      </c>
    </row>
    <row r="57" spans="2:13" x14ac:dyDescent="0.35">
      <c r="B57" s="39" t="s">
        <v>84</v>
      </c>
      <c r="C57" s="186">
        <f>SUM(C53:C56)</f>
        <v>4806.78</v>
      </c>
      <c r="D57" s="186">
        <f t="shared" ref="D57:M57" si="18">SUM(D53:D56)</f>
        <v>5670.2999999999993</v>
      </c>
      <c r="E57" s="186">
        <f t="shared" si="18"/>
        <v>6433.3099999999995</v>
      </c>
      <c r="F57" s="186">
        <f t="shared" si="18"/>
        <v>5974.3899999999994</v>
      </c>
      <c r="G57" s="186">
        <f t="shared" si="18"/>
        <v>6331.75</v>
      </c>
      <c r="H57" s="186">
        <f t="shared" si="18"/>
        <v>7208.33</v>
      </c>
      <c r="I57" s="186">
        <f t="shared" si="18"/>
        <v>9156.2000000000007</v>
      </c>
      <c r="J57" s="186">
        <f t="shared" si="18"/>
        <v>10453.41</v>
      </c>
      <c r="K57" s="186">
        <f t="shared" si="18"/>
        <v>11604.31</v>
      </c>
      <c r="L57" s="186">
        <f t="shared" si="18"/>
        <v>12465.66</v>
      </c>
      <c r="M57" s="186">
        <f t="shared" si="18"/>
        <v>0</v>
      </c>
    </row>
    <row r="58" spans="2:13" x14ac:dyDescent="0.35">
      <c r="B58" s="2"/>
    </row>
    <row r="59" spans="2:13" x14ac:dyDescent="0.35">
      <c r="B59" t="s">
        <v>42</v>
      </c>
      <c r="C59" s="135">
        <f>IFERROR('Data Sheet'!B67,0)</f>
        <v>809.2</v>
      </c>
      <c r="D59" s="135">
        <f>IFERROR('Data Sheet'!C67,0)</f>
        <v>650.41999999999996</v>
      </c>
      <c r="E59" s="135">
        <f>IFERROR('Data Sheet'!D67,0)</f>
        <v>706.08</v>
      </c>
      <c r="F59" s="135">
        <f>IFERROR('Data Sheet'!E67,0)</f>
        <v>833.56</v>
      </c>
      <c r="G59" s="135">
        <f>IFERROR('Data Sheet'!F67,0)</f>
        <v>813.89</v>
      </c>
      <c r="H59" s="135">
        <f>IFERROR('Data Sheet'!G67,0)</f>
        <v>561.58000000000004</v>
      </c>
      <c r="I59" s="135">
        <f>IFERROR('Data Sheet'!H67,0)</f>
        <v>646.15</v>
      </c>
      <c r="J59" s="135">
        <f>IFERROR('Data Sheet'!I67,0)</f>
        <v>848.75</v>
      </c>
      <c r="K59" s="135">
        <f>IFERROR('Data Sheet'!J67,0)</f>
        <v>898.72</v>
      </c>
      <c r="L59" s="135">
        <f>IFERROR('Data Sheet'!K67,0)</f>
        <v>888.5</v>
      </c>
      <c r="M59" s="135">
        <f>IFERROR('Data Sheet'!L67,0)</f>
        <v>0</v>
      </c>
    </row>
    <row r="60" spans="2:13" x14ac:dyDescent="0.35">
      <c r="B60" t="s">
        <v>29</v>
      </c>
      <c r="C60" s="135">
        <f>IFERROR('Data Sheet'!B68,0)</f>
        <v>1096.5</v>
      </c>
      <c r="D60" s="135">
        <f>IFERROR('Data Sheet'!C68,0)</f>
        <v>1106.71</v>
      </c>
      <c r="E60" s="135">
        <f>IFERROR('Data Sheet'!D68,0)</f>
        <v>1256.18</v>
      </c>
      <c r="F60" s="135">
        <f>IFERROR('Data Sheet'!E68,0)</f>
        <v>1300.53</v>
      </c>
      <c r="G60" s="135">
        <f>IFERROR('Data Sheet'!F68,0)</f>
        <v>1379.57</v>
      </c>
      <c r="H60" s="135">
        <f>IFERROR('Data Sheet'!G68,0)</f>
        <v>1734.28</v>
      </c>
      <c r="I60" s="135">
        <f>IFERROR('Data Sheet'!H68,0)</f>
        <v>1911.37</v>
      </c>
      <c r="J60" s="135">
        <f>IFERROR('Data Sheet'!I68,0)</f>
        <v>2024.2</v>
      </c>
      <c r="K60" s="135">
        <f>IFERROR('Data Sheet'!J68,0)</f>
        <v>1946.97</v>
      </c>
      <c r="L60" s="135">
        <f>IFERROR('Data Sheet'!K68,0)</f>
        <v>2300.11</v>
      </c>
      <c r="M60" s="135">
        <f>IFERROR('Data Sheet'!L68,0)</f>
        <v>0</v>
      </c>
    </row>
    <row r="61" spans="2:13" x14ac:dyDescent="0.35">
      <c r="B61" t="s">
        <v>51</v>
      </c>
      <c r="C61" s="135">
        <f>IFERROR('Data Sheet'!B69,0)</f>
        <v>219.82</v>
      </c>
      <c r="D61" s="135">
        <f>IFERROR('Data Sheet'!C69,0)</f>
        <v>304.81</v>
      </c>
      <c r="E61" s="135">
        <f>IFERROR('Data Sheet'!D69,0)</f>
        <v>306.06</v>
      </c>
      <c r="F61" s="135">
        <f>IFERROR('Data Sheet'!E69,0)</f>
        <v>328.16</v>
      </c>
      <c r="G61" s="135">
        <f>IFERROR('Data Sheet'!F69,0)</f>
        <v>811.37</v>
      </c>
      <c r="H61" s="135">
        <f>IFERROR('Data Sheet'!G69,0)</f>
        <v>1329.03</v>
      </c>
      <c r="I61" s="135">
        <f>IFERROR('Data Sheet'!H69,0)</f>
        <v>570.14</v>
      </c>
      <c r="J61" s="135">
        <f>IFERROR('Data Sheet'!I69,0)</f>
        <v>325.92</v>
      </c>
      <c r="K61" s="135">
        <f>IFERROR('Data Sheet'!J69,0)</f>
        <v>666.36</v>
      </c>
      <c r="L61" s="135">
        <f>IFERROR('Data Sheet'!K69,0)</f>
        <v>578.01</v>
      </c>
      <c r="M61" s="135">
        <f>IFERROR('Data Sheet'!L69,0)</f>
        <v>0</v>
      </c>
    </row>
    <row r="62" spans="2:13" x14ac:dyDescent="0.35">
      <c r="B62" s="39" t="s">
        <v>85</v>
      </c>
      <c r="C62" s="186">
        <f>IFERROR(SUM(C59:C61),0)</f>
        <v>2125.52</v>
      </c>
      <c r="D62" s="186">
        <f t="shared" ref="D62:M62" si="19">IFERROR(SUM(D59:D61),0)</f>
        <v>2061.94</v>
      </c>
      <c r="E62" s="186">
        <f t="shared" si="19"/>
        <v>2268.3200000000002</v>
      </c>
      <c r="F62" s="186">
        <f t="shared" si="19"/>
        <v>2462.25</v>
      </c>
      <c r="G62" s="186">
        <f t="shared" si="19"/>
        <v>3004.83</v>
      </c>
      <c r="H62" s="186">
        <f t="shared" si="19"/>
        <v>3624.8900000000003</v>
      </c>
      <c r="I62" s="186">
        <f t="shared" si="19"/>
        <v>3127.66</v>
      </c>
      <c r="J62" s="186">
        <f t="shared" si="19"/>
        <v>3198.87</v>
      </c>
      <c r="K62" s="186">
        <f t="shared" si="19"/>
        <v>3512.05</v>
      </c>
      <c r="L62" s="186">
        <f t="shared" si="19"/>
        <v>3766.62</v>
      </c>
      <c r="M62" s="186">
        <f t="shared" si="19"/>
        <v>0</v>
      </c>
    </row>
    <row r="63" spans="2:13" x14ac:dyDescent="0.35"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</row>
    <row r="64" spans="2:13" x14ac:dyDescent="0.35">
      <c r="B64" s="39" t="s">
        <v>86</v>
      </c>
      <c r="C64" s="186">
        <f>IFERROR(SUM(C62,C57),0)</f>
        <v>6932.2999999999993</v>
      </c>
      <c r="D64" s="186">
        <f t="shared" ref="D64:M64" si="20">IFERROR(SUM(D62,D57),0)</f>
        <v>7732.24</v>
      </c>
      <c r="E64" s="186">
        <f t="shared" si="20"/>
        <v>8701.6299999999992</v>
      </c>
      <c r="F64" s="186">
        <f t="shared" si="20"/>
        <v>8436.64</v>
      </c>
      <c r="G64" s="186">
        <f t="shared" si="20"/>
        <v>9336.58</v>
      </c>
      <c r="H64" s="186">
        <f t="shared" si="20"/>
        <v>10833.220000000001</v>
      </c>
      <c r="I64" s="186">
        <f t="shared" si="20"/>
        <v>12283.86</v>
      </c>
      <c r="J64" s="186">
        <f t="shared" si="20"/>
        <v>13652.279999999999</v>
      </c>
      <c r="K64" s="186">
        <f t="shared" si="20"/>
        <v>15116.36</v>
      </c>
      <c r="L64" s="186">
        <f t="shared" si="20"/>
        <v>16232.279999999999</v>
      </c>
      <c r="M64" s="186">
        <f t="shared" si="20"/>
        <v>0</v>
      </c>
    </row>
    <row r="66" spans="1:13" x14ac:dyDescent="0.35">
      <c r="B66" s="17" t="s">
        <v>87</v>
      </c>
      <c r="C66" s="17" t="b">
        <f>C64=C51</f>
        <v>1</v>
      </c>
      <c r="D66" s="17" t="b">
        <f t="shared" ref="D66:M66" si="21">D64=D51</f>
        <v>1</v>
      </c>
      <c r="E66" s="17" t="b">
        <f t="shared" si="21"/>
        <v>1</v>
      </c>
      <c r="F66" s="17" t="b">
        <f t="shared" si="21"/>
        <v>1</v>
      </c>
      <c r="G66" s="17" t="b">
        <f t="shared" si="21"/>
        <v>1</v>
      </c>
      <c r="H66" s="17" t="b">
        <f t="shared" si="21"/>
        <v>1</v>
      </c>
      <c r="I66" s="17" t="b">
        <f t="shared" si="21"/>
        <v>1</v>
      </c>
      <c r="J66" s="17" t="b">
        <f t="shared" si="21"/>
        <v>1</v>
      </c>
      <c r="K66" s="17" t="b">
        <f t="shared" si="21"/>
        <v>1</v>
      </c>
      <c r="L66" s="17" t="b">
        <f t="shared" si="21"/>
        <v>1</v>
      </c>
      <c r="M66" s="17" t="b">
        <f t="shared" si="21"/>
        <v>1</v>
      </c>
    </row>
    <row r="68" spans="1:13" x14ac:dyDescent="0.35">
      <c r="A68" t="s">
        <v>56</v>
      </c>
      <c r="B68" s="18" t="s">
        <v>110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</row>
    <row r="69" spans="1:13" x14ac:dyDescent="0.35">
      <c r="B69" s="2" t="s">
        <v>112</v>
      </c>
    </row>
    <row r="70" spans="1:13" x14ac:dyDescent="0.35">
      <c r="B70" t="s">
        <v>89</v>
      </c>
      <c r="C70" s="135">
        <f>IFERROR('Cashflow Data'!E4,0)</f>
        <v>1543</v>
      </c>
      <c r="D70" s="135">
        <f>IFERROR('Cashflow Data'!F4,0)</f>
        <v>1462</v>
      </c>
      <c r="E70" s="135">
        <f>IFERROR('Cashflow Data'!G4,0)</f>
        <v>1678</v>
      </c>
      <c r="F70" s="135">
        <f>IFERROR('Cashflow Data'!H4,0)</f>
        <v>1868</v>
      </c>
      <c r="G70" s="135">
        <f>IFERROR('Cashflow Data'!I4,0)</f>
        <v>1981</v>
      </c>
      <c r="H70" s="135">
        <f>IFERROR('Cashflow Data'!J4,0)</f>
        <v>2048</v>
      </c>
      <c r="I70" s="135">
        <f>IFERROR('Cashflow Data'!K4,0)</f>
        <v>2287</v>
      </c>
      <c r="J70" s="135">
        <f>IFERROR('Cashflow Data'!L4,0)</f>
        <v>2143</v>
      </c>
      <c r="K70" s="135">
        <f>IFERROR('Cashflow Data'!M4,0)</f>
        <v>2406</v>
      </c>
      <c r="L70" s="135">
        <f>IFERROR('Cashflow Data'!N4,0)</f>
        <v>2402</v>
      </c>
      <c r="M70" s="135">
        <f>IFERROR('Cashflow Data'!O4,0)</f>
        <v>0</v>
      </c>
    </row>
    <row r="71" spans="1:13" x14ac:dyDescent="0.35">
      <c r="B71" t="s">
        <v>42</v>
      </c>
      <c r="C71" s="135">
        <f>IFERROR('Cashflow Data'!E5,0)</f>
        <v>-14</v>
      </c>
      <c r="D71" s="135">
        <f>IFERROR('Cashflow Data'!F5,0)</f>
        <v>115</v>
      </c>
      <c r="E71" s="135">
        <f>IFERROR('Cashflow Data'!G5,0)</f>
        <v>-60</v>
      </c>
      <c r="F71" s="135">
        <f>IFERROR('Cashflow Data'!H5,0)</f>
        <v>-130</v>
      </c>
      <c r="G71" s="135">
        <f>IFERROR('Cashflow Data'!I5,0)</f>
        <v>14</v>
      </c>
      <c r="H71" s="135">
        <f>IFERROR('Cashflow Data'!J5,0)</f>
        <v>248</v>
      </c>
      <c r="I71" s="135">
        <f>IFERROR('Cashflow Data'!K5,0)</f>
        <v>-78</v>
      </c>
      <c r="J71" s="135">
        <f>IFERROR('Cashflow Data'!L5,0)</f>
        <v>-191</v>
      </c>
      <c r="K71" s="135">
        <f>IFERROR('Cashflow Data'!M5,0)</f>
        <v>-55</v>
      </c>
      <c r="L71" s="135">
        <f>IFERROR('Cashflow Data'!N5,0)</f>
        <v>12</v>
      </c>
      <c r="M71" s="135">
        <f>IFERROR('Cashflow Data'!O5,0)</f>
        <v>0</v>
      </c>
    </row>
    <row r="72" spans="1:13" x14ac:dyDescent="0.35">
      <c r="B72" t="s">
        <v>29</v>
      </c>
      <c r="C72" s="135">
        <f>IFERROR('Cashflow Data'!E6,0)</f>
        <v>-123</v>
      </c>
      <c r="D72" s="135">
        <f>IFERROR('Cashflow Data'!F6,0)</f>
        <v>-10</v>
      </c>
      <c r="E72" s="135">
        <f>IFERROR('Cashflow Data'!G6,0)</f>
        <v>-149</v>
      </c>
      <c r="F72" s="135">
        <f>IFERROR('Cashflow Data'!H6,0)</f>
        <v>-44</v>
      </c>
      <c r="G72" s="135">
        <f>IFERROR('Cashflow Data'!I6,0)</f>
        <v>-79</v>
      </c>
      <c r="H72" s="135">
        <f>IFERROR('Cashflow Data'!J6,0)</f>
        <v>-355</v>
      </c>
      <c r="I72" s="135">
        <f>IFERROR('Cashflow Data'!K6,0)</f>
        <v>-177</v>
      </c>
      <c r="J72" s="135">
        <f>IFERROR('Cashflow Data'!L6,0)</f>
        <v>-96</v>
      </c>
      <c r="K72" s="135">
        <f>IFERROR('Cashflow Data'!M6,0)</f>
        <v>77</v>
      </c>
      <c r="L72" s="135">
        <f>IFERROR('Cashflow Data'!N6,0)</f>
        <v>-353</v>
      </c>
      <c r="M72" s="135">
        <f>IFERROR('Cashflow Data'!O6,0)</f>
        <v>0</v>
      </c>
    </row>
    <row r="73" spans="1:13" x14ac:dyDescent="0.35">
      <c r="B73" t="s">
        <v>90</v>
      </c>
      <c r="C73" s="135">
        <f>IFERROR('Cashflow Data'!E7,0)</f>
        <v>62</v>
      </c>
      <c r="D73" s="135">
        <f>IFERROR('Cashflow Data'!F7,0)</f>
        <v>-16</v>
      </c>
      <c r="E73" s="135">
        <f>IFERROR('Cashflow Data'!G7,0)</f>
        <v>86</v>
      </c>
      <c r="F73" s="135">
        <f>IFERROR('Cashflow Data'!H7,0)</f>
        <v>45</v>
      </c>
      <c r="G73" s="135">
        <f>IFERROR('Cashflow Data'!I7,0)</f>
        <v>26</v>
      </c>
      <c r="H73" s="135">
        <f>IFERROR('Cashflow Data'!J7,0)</f>
        <v>434</v>
      </c>
      <c r="I73" s="135">
        <f>IFERROR('Cashflow Data'!K7,0)</f>
        <v>108</v>
      </c>
      <c r="J73" s="135">
        <f>IFERROR('Cashflow Data'!L7,0)</f>
        <v>141</v>
      </c>
      <c r="K73" s="135">
        <f>IFERROR('Cashflow Data'!M7,0)</f>
        <v>217</v>
      </c>
      <c r="L73" s="135">
        <f>IFERROR('Cashflow Data'!N7,0)</f>
        <v>407</v>
      </c>
      <c r="M73" s="135">
        <f>IFERROR('Cashflow Data'!O7,0)</f>
        <v>0</v>
      </c>
    </row>
    <row r="74" spans="1:13" x14ac:dyDescent="0.35">
      <c r="B74" t="s">
        <v>91</v>
      </c>
      <c r="C74" s="135">
        <f>IFERROR('Cashflow Data'!E8,0)</f>
        <v>0</v>
      </c>
      <c r="D74" s="135">
        <f>IFERROR('Cashflow Data'!F8,0)</f>
        <v>-1</v>
      </c>
      <c r="E74" s="135">
        <f>IFERROR('Cashflow Data'!G8,0)</f>
        <v>-138</v>
      </c>
      <c r="F74" s="135">
        <f>IFERROR('Cashflow Data'!H8,0)</f>
        <v>111</v>
      </c>
      <c r="G74" s="135">
        <f>IFERROR('Cashflow Data'!I8,0)</f>
        <v>-19</v>
      </c>
      <c r="H74" s="135">
        <f>IFERROR('Cashflow Data'!J8,0)</f>
        <v>62</v>
      </c>
      <c r="I74" s="135">
        <f>IFERROR('Cashflow Data'!K8,0)</f>
        <v>51</v>
      </c>
      <c r="J74" s="135">
        <f>IFERROR('Cashflow Data'!L8,0)</f>
        <v>-15</v>
      </c>
      <c r="K74" s="135">
        <f>IFERROR('Cashflow Data'!M8,0)</f>
        <v>-137</v>
      </c>
      <c r="L74" s="135">
        <f>IFERROR('Cashflow Data'!N8,0)</f>
        <v>-77</v>
      </c>
      <c r="M74" s="135">
        <f>IFERROR('Cashflow Data'!O8,0)</f>
        <v>0</v>
      </c>
    </row>
    <row r="75" spans="1:13" x14ac:dyDescent="0.35">
      <c r="B75" t="s">
        <v>92</v>
      </c>
      <c r="C75" s="135">
        <f>IFERROR('Cashflow Data'!E9,0)</f>
        <v>-75</v>
      </c>
      <c r="D75" s="135">
        <f>IFERROR('Cashflow Data'!F9,0)</f>
        <v>87</v>
      </c>
      <c r="E75" s="135">
        <f>IFERROR('Cashflow Data'!G9,0)</f>
        <v>-262</v>
      </c>
      <c r="F75" s="135">
        <f>IFERROR('Cashflow Data'!H9,0)</f>
        <v>-18</v>
      </c>
      <c r="G75" s="135">
        <f>IFERROR('Cashflow Data'!I9,0)</f>
        <v>-58</v>
      </c>
      <c r="H75" s="135">
        <f>IFERROR('Cashflow Data'!J9,0)</f>
        <v>388</v>
      </c>
      <c r="I75" s="135">
        <f>IFERROR('Cashflow Data'!K9,0)</f>
        <v>-97</v>
      </c>
      <c r="J75" s="135">
        <f>IFERROR('Cashflow Data'!L9,0)</f>
        <v>-160</v>
      </c>
      <c r="K75" s="135">
        <f>IFERROR('Cashflow Data'!M9,0)</f>
        <v>101</v>
      </c>
      <c r="L75" s="135">
        <f>IFERROR('Cashflow Data'!N9,0)</f>
        <v>-11</v>
      </c>
      <c r="M75" s="135">
        <f>IFERROR('Cashflow Data'!O9,0)</f>
        <v>0</v>
      </c>
    </row>
    <row r="76" spans="1:13" x14ac:dyDescent="0.35">
      <c r="B76" t="s">
        <v>93</v>
      </c>
      <c r="C76" s="135">
        <f>IFERROR('Cashflow Data'!E10,0)</f>
        <v>-281</v>
      </c>
      <c r="D76" s="135">
        <f>IFERROR('Cashflow Data'!F10,0)</f>
        <v>-322</v>
      </c>
      <c r="E76" s="135">
        <f>IFERROR('Cashflow Data'!G10,0)</f>
        <v>-325</v>
      </c>
      <c r="F76" s="135">
        <f>IFERROR('Cashflow Data'!H10,0)</f>
        <v>-351</v>
      </c>
      <c r="G76" s="135">
        <f>IFERROR('Cashflow Data'!I10,0)</f>
        <v>-309</v>
      </c>
      <c r="H76" s="135">
        <f>IFERROR('Cashflow Data'!J10,0)</f>
        <v>-321</v>
      </c>
      <c r="I76" s="135">
        <f>IFERROR('Cashflow Data'!K10,0)</f>
        <v>-388</v>
      </c>
      <c r="J76" s="135">
        <f>IFERROR('Cashflow Data'!L10,0)</f>
        <v>-494</v>
      </c>
      <c r="K76" s="135">
        <f>IFERROR('Cashflow Data'!M10,0)</f>
        <v>-494</v>
      </c>
      <c r="L76" s="135">
        <f>IFERROR('Cashflow Data'!N10,0)</f>
        <v>-405</v>
      </c>
      <c r="M76" s="135">
        <f>IFERROR('Cashflow Data'!O10,0)</f>
        <v>0</v>
      </c>
    </row>
    <row r="77" spans="1:13" x14ac:dyDescent="0.35">
      <c r="B77" s="2" t="s">
        <v>111</v>
      </c>
      <c r="C77" s="135">
        <f>IFERROR(SUM(C70:C76),0)</f>
        <v>1112</v>
      </c>
      <c r="D77" s="135">
        <f t="shared" ref="D77:M77" si="22">IFERROR(SUM(D70:D76),0)</f>
        <v>1315</v>
      </c>
      <c r="E77" s="135">
        <f t="shared" si="22"/>
        <v>830</v>
      </c>
      <c r="F77" s="135">
        <f t="shared" si="22"/>
        <v>1481</v>
      </c>
      <c r="G77" s="135">
        <f t="shared" si="22"/>
        <v>1556</v>
      </c>
      <c r="H77" s="135">
        <f t="shared" si="22"/>
        <v>2504</v>
      </c>
      <c r="I77" s="135">
        <f t="shared" si="22"/>
        <v>1706</v>
      </c>
      <c r="J77" s="135">
        <f t="shared" si="22"/>
        <v>1328</v>
      </c>
      <c r="K77" s="135">
        <f t="shared" si="22"/>
        <v>2115</v>
      </c>
      <c r="L77" s="135">
        <f t="shared" si="22"/>
        <v>1975</v>
      </c>
      <c r="M77" s="135">
        <f t="shared" si="22"/>
        <v>0</v>
      </c>
    </row>
    <row r="79" spans="1:13" x14ac:dyDescent="0.35">
      <c r="B79" s="2" t="s">
        <v>113</v>
      </c>
    </row>
    <row r="80" spans="1:13" x14ac:dyDescent="0.35">
      <c r="B80" t="s">
        <v>95</v>
      </c>
      <c r="C80" s="135">
        <f>IFERROR('Cashflow Data'!E12,0)</f>
        <v>-200</v>
      </c>
      <c r="D80" s="135">
        <f>IFERROR('Cashflow Data'!F12,0)</f>
        <v>-490</v>
      </c>
      <c r="E80" s="135">
        <f>IFERROR('Cashflow Data'!G12,0)</f>
        <v>-207</v>
      </c>
      <c r="F80" s="135">
        <f>IFERROR('Cashflow Data'!H12,0)</f>
        <v>-234</v>
      </c>
      <c r="G80" s="135">
        <f>IFERROR('Cashflow Data'!I12,0)</f>
        <v>-417</v>
      </c>
      <c r="H80" s="135">
        <f>IFERROR('Cashflow Data'!J12,0)</f>
        <v>-311</v>
      </c>
      <c r="I80" s="135">
        <f>IFERROR('Cashflow Data'!K12,0)</f>
        <v>-374</v>
      </c>
      <c r="J80" s="135">
        <f>IFERROR('Cashflow Data'!L12,0)</f>
        <v>-509</v>
      </c>
      <c r="K80" s="135">
        <f>IFERROR('Cashflow Data'!M12,0)</f>
        <v>-564</v>
      </c>
      <c r="L80" s="135">
        <f>IFERROR('Cashflow Data'!N12,0)</f>
        <v>-570</v>
      </c>
      <c r="M80" s="135">
        <f>IFERROR('Cashflow Data'!O12,0)</f>
        <v>0</v>
      </c>
    </row>
    <row r="81" spans="2:13" x14ac:dyDescent="0.35">
      <c r="B81" t="s">
        <v>96</v>
      </c>
      <c r="C81" s="135">
        <f>IFERROR('Cashflow Data'!E13,0)</f>
        <v>11</v>
      </c>
      <c r="D81" s="135">
        <f>IFERROR('Cashflow Data'!F13,0)</f>
        <v>4</v>
      </c>
      <c r="E81" s="135">
        <f>IFERROR('Cashflow Data'!G13,0)</f>
        <v>7</v>
      </c>
      <c r="F81" s="135">
        <f>IFERROR('Cashflow Data'!H13,0)</f>
        <v>9</v>
      </c>
      <c r="G81" s="135">
        <f>IFERROR('Cashflow Data'!I13,0)</f>
        <v>17</v>
      </c>
      <c r="H81" s="135">
        <f>IFERROR('Cashflow Data'!J13,0)</f>
        <v>5</v>
      </c>
      <c r="I81" s="135">
        <f>IFERROR('Cashflow Data'!K13,0)</f>
        <v>5</v>
      </c>
      <c r="J81" s="135">
        <f>IFERROR('Cashflow Data'!L13,0)</f>
        <v>23</v>
      </c>
      <c r="K81" s="135">
        <f>IFERROR('Cashflow Data'!M13,0)</f>
        <v>3</v>
      </c>
      <c r="L81" s="135">
        <f>IFERROR('Cashflow Data'!N13,0)</f>
        <v>30</v>
      </c>
      <c r="M81" s="135">
        <f>IFERROR('Cashflow Data'!O13,0)</f>
        <v>0</v>
      </c>
    </row>
    <row r="82" spans="2:13" x14ac:dyDescent="0.35">
      <c r="B82" t="s">
        <v>97</v>
      </c>
      <c r="C82" s="135">
        <f>IFERROR('Cashflow Data'!E14,0)</f>
        <v>-7341</v>
      </c>
      <c r="D82" s="135">
        <f>IFERROR('Cashflow Data'!F14,0)</f>
        <v>-9111</v>
      </c>
      <c r="E82" s="135">
        <f>IFERROR('Cashflow Data'!G14,0)</f>
        <v>-9001</v>
      </c>
      <c r="F82" s="135">
        <f>IFERROR('Cashflow Data'!H14,0)</f>
        <v>-5393</v>
      </c>
      <c r="G82" s="135">
        <f>IFERROR('Cashflow Data'!I14,0)</f>
        <v>-8479</v>
      </c>
      <c r="H82" s="135">
        <f>IFERROR('Cashflow Data'!J14,0)</f>
        <v>-7635</v>
      </c>
      <c r="I82" s="135">
        <f>IFERROR('Cashflow Data'!K14,0)</f>
        <v>-7507</v>
      </c>
      <c r="J82" s="135">
        <f>IFERROR('Cashflow Data'!L14,0)</f>
        <v>-4177</v>
      </c>
      <c r="K82" s="135">
        <f>IFERROR('Cashflow Data'!M14,0)</f>
        <v>-5142</v>
      </c>
      <c r="L82" s="135">
        <f>IFERROR('Cashflow Data'!N14,0)</f>
        <v>-6188</v>
      </c>
      <c r="M82" s="135">
        <f>IFERROR('Cashflow Data'!O14,0)</f>
        <v>0</v>
      </c>
    </row>
    <row r="83" spans="2:13" x14ac:dyDescent="0.35">
      <c r="B83" t="s">
        <v>98</v>
      </c>
      <c r="C83" s="135">
        <f>IFERROR('Cashflow Data'!E15,0)</f>
        <v>6653</v>
      </c>
      <c r="D83" s="135">
        <f>IFERROR('Cashflow Data'!F15,0)</f>
        <v>8600</v>
      </c>
      <c r="E83" s="135">
        <f>IFERROR('Cashflow Data'!G15,0)</f>
        <v>8418</v>
      </c>
      <c r="F83" s="135">
        <f>IFERROR('Cashflow Data'!H15,0)</f>
        <v>5710</v>
      </c>
      <c r="G83" s="135">
        <f>IFERROR('Cashflow Data'!I15,0)</f>
        <v>8114</v>
      </c>
      <c r="H83" s="135">
        <f>IFERROR('Cashflow Data'!J15,0)</f>
        <v>6274</v>
      </c>
      <c r="I83" s="135">
        <f>IFERROR('Cashflow Data'!K15,0)</f>
        <v>6234</v>
      </c>
      <c r="J83" s="135">
        <f>IFERROR('Cashflow Data'!L15,0)</f>
        <v>4164</v>
      </c>
      <c r="K83" s="135">
        <f>IFERROR('Cashflow Data'!M15,0)</f>
        <v>4344</v>
      </c>
      <c r="L83" s="135">
        <f>IFERROR('Cashflow Data'!N15,0)</f>
        <v>5879</v>
      </c>
      <c r="M83" s="135">
        <f>IFERROR('Cashflow Data'!O15,0)</f>
        <v>0</v>
      </c>
    </row>
    <row r="84" spans="2:13" x14ac:dyDescent="0.35">
      <c r="B84" t="s">
        <v>99</v>
      </c>
      <c r="C84" s="135">
        <f>IFERROR('Cashflow Data'!E16,0)</f>
        <v>148</v>
      </c>
      <c r="D84" s="135">
        <f>IFERROR('Cashflow Data'!F16,0)</f>
        <v>190</v>
      </c>
      <c r="E84" s="135">
        <f>IFERROR('Cashflow Data'!G16,0)</f>
        <v>244</v>
      </c>
      <c r="F84" s="135">
        <f>IFERROR('Cashflow Data'!H16,0)</f>
        <v>244</v>
      </c>
      <c r="G84" s="135">
        <f>IFERROR('Cashflow Data'!I16,0)</f>
        <v>248</v>
      </c>
      <c r="H84" s="135">
        <f>IFERROR('Cashflow Data'!J16,0)</f>
        <v>262</v>
      </c>
      <c r="I84" s="135">
        <f>IFERROR('Cashflow Data'!K16,0)</f>
        <v>367</v>
      </c>
      <c r="J84" s="135">
        <f>IFERROR('Cashflow Data'!L16,0)</f>
        <v>394</v>
      </c>
      <c r="K84" s="135">
        <f>IFERROR('Cashflow Data'!M16,0)</f>
        <v>387</v>
      </c>
      <c r="L84" s="135">
        <f>IFERROR('Cashflow Data'!N16,0)</f>
        <v>399</v>
      </c>
      <c r="M84" s="135">
        <f>IFERROR('Cashflow Data'!O16,0)</f>
        <v>0</v>
      </c>
    </row>
    <row r="85" spans="2:13" x14ac:dyDescent="0.35">
      <c r="B85" t="s">
        <v>100</v>
      </c>
      <c r="C85" s="135">
        <f>IFERROR('Cashflow Data'!E17,0)</f>
        <v>0</v>
      </c>
      <c r="D85" s="135">
        <f>IFERROR('Cashflow Data'!F17,0)</f>
        <v>0</v>
      </c>
      <c r="E85" s="135">
        <f>IFERROR('Cashflow Data'!G17,0)</f>
        <v>0</v>
      </c>
      <c r="F85" s="135">
        <f>IFERROR('Cashflow Data'!H17,0)</f>
        <v>0</v>
      </c>
      <c r="G85" s="135">
        <f>IFERROR('Cashflow Data'!I17,0)</f>
        <v>0</v>
      </c>
      <c r="H85" s="135">
        <f>IFERROR('Cashflow Data'!J17,0)</f>
        <v>0</v>
      </c>
      <c r="I85" s="135">
        <f>IFERROR('Cashflow Data'!K17,0)</f>
        <v>0</v>
      </c>
      <c r="J85" s="135">
        <f>IFERROR('Cashflow Data'!L17,0)</f>
        <v>-481</v>
      </c>
      <c r="K85" s="135">
        <f>IFERROR('Cashflow Data'!M17,0)</f>
        <v>0</v>
      </c>
      <c r="L85" s="135">
        <f>IFERROR('Cashflow Data'!N17,0)</f>
        <v>0</v>
      </c>
      <c r="M85" s="135">
        <f>IFERROR('Cashflow Data'!O17,0)</f>
        <v>0</v>
      </c>
    </row>
    <row r="86" spans="2:13" x14ac:dyDescent="0.35">
      <c r="B86" t="s">
        <v>101</v>
      </c>
      <c r="C86" s="135">
        <f>IFERROR('Cashflow Data'!E18,0)</f>
        <v>-1</v>
      </c>
      <c r="D86" s="135">
        <f>IFERROR('Cashflow Data'!F18,0)</f>
        <v>0</v>
      </c>
      <c r="E86" s="135">
        <f>IFERROR('Cashflow Data'!G18,0)</f>
        <v>-1</v>
      </c>
      <c r="F86" s="135">
        <f>IFERROR('Cashflow Data'!H18,0)</f>
        <v>1</v>
      </c>
      <c r="G86" s="135">
        <f>IFERROR('Cashflow Data'!I18,0)</f>
        <v>0</v>
      </c>
      <c r="H86" s="135">
        <f>IFERROR('Cashflow Data'!J18,0)</f>
        <v>2</v>
      </c>
      <c r="I86" s="135">
        <f>IFERROR('Cashflow Data'!K18,0)</f>
        <v>2</v>
      </c>
      <c r="J86" s="135">
        <f>IFERROR('Cashflow Data'!L18,0)</f>
        <v>4</v>
      </c>
      <c r="K86" s="135">
        <f>IFERROR('Cashflow Data'!M18,0)</f>
        <v>1</v>
      </c>
      <c r="L86" s="135">
        <f>IFERROR('Cashflow Data'!N18,0)</f>
        <v>0</v>
      </c>
      <c r="M86" s="135">
        <f>IFERROR('Cashflow Data'!O18,0)</f>
        <v>0</v>
      </c>
    </row>
    <row r="87" spans="2:13" x14ac:dyDescent="0.35">
      <c r="B87" s="2" t="s">
        <v>114</v>
      </c>
      <c r="C87" s="135">
        <f>SUM(C80:C86)</f>
        <v>-730</v>
      </c>
      <c r="D87" s="135">
        <f t="shared" ref="D87:M87" si="23">SUM(D80:D86)</f>
        <v>-807</v>
      </c>
      <c r="E87" s="135">
        <f t="shared" si="23"/>
        <v>-540</v>
      </c>
      <c r="F87" s="135">
        <f t="shared" si="23"/>
        <v>337</v>
      </c>
      <c r="G87" s="135">
        <f t="shared" si="23"/>
        <v>-517</v>
      </c>
      <c r="H87" s="135">
        <f t="shared" si="23"/>
        <v>-1403</v>
      </c>
      <c r="I87" s="135">
        <f t="shared" si="23"/>
        <v>-1273</v>
      </c>
      <c r="J87" s="135">
        <f t="shared" si="23"/>
        <v>-582</v>
      </c>
      <c r="K87" s="135">
        <f t="shared" si="23"/>
        <v>-971</v>
      </c>
      <c r="L87" s="135">
        <f t="shared" si="23"/>
        <v>-450</v>
      </c>
      <c r="M87" s="135">
        <f t="shared" si="23"/>
        <v>0</v>
      </c>
    </row>
    <row r="88" spans="2:13" x14ac:dyDescent="0.35"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</row>
    <row r="89" spans="2:13" x14ac:dyDescent="0.35">
      <c r="B89" s="2" t="s">
        <v>115</v>
      </c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</row>
    <row r="90" spans="2:13" x14ac:dyDescent="0.35">
      <c r="B90" t="s">
        <v>103</v>
      </c>
      <c r="C90" s="135">
        <f>IFERROR('Cashflow Data'!E20,0)</f>
        <v>17</v>
      </c>
      <c r="D90" s="135">
        <f>IFERROR('Cashflow Data'!F20,0)</f>
        <v>15</v>
      </c>
      <c r="E90" s="135">
        <f>IFERROR('Cashflow Data'!G20,0)</f>
        <v>0</v>
      </c>
      <c r="F90" s="135">
        <f>IFERROR('Cashflow Data'!H20,0)</f>
        <v>0</v>
      </c>
      <c r="G90" s="135">
        <f>IFERROR('Cashflow Data'!I20,0)</f>
        <v>0</v>
      </c>
      <c r="H90" s="135">
        <f>IFERROR('Cashflow Data'!J20,0)</f>
        <v>0</v>
      </c>
      <c r="I90" s="135">
        <f>IFERROR('Cashflow Data'!K20,0)</f>
        <v>0</v>
      </c>
      <c r="J90" s="135">
        <f>IFERROR('Cashflow Data'!L20,0)</f>
        <v>0</v>
      </c>
      <c r="K90" s="135">
        <f>IFERROR('Cashflow Data'!M20,0)</f>
        <v>0</v>
      </c>
      <c r="L90" s="135">
        <f>IFERROR('Cashflow Data'!N20,0)</f>
        <v>0</v>
      </c>
      <c r="M90" s="135">
        <f>IFERROR('Cashflow Data'!O20,0)</f>
        <v>0</v>
      </c>
    </row>
    <row r="91" spans="2:13" x14ac:dyDescent="0.35">
      <c r="B91" t="s">
        <v>104</v>
      </c>
      <c r="C91" s="135">
        <f>IFERROR('Cashflow Data'!E21,0)</f>
        <v>131</v>
      </c>
      <c r="D91" s="135">
        <f>IFERROR('Cashflow Data'!F21,0)</f>
        <v>168</v>
      </c>
      <c r="E91" s="135">
        <f>IFERROR('Cashflow Data'!G21,0)</f>
        <v>4</v>
      </c>
      <c r="F91" s="135">
        <f>IFERROR('Cashflow Data'!H21,0)</f>
        <v>32</v>
      </c>
      <c r="G91" s="135">
        <f>IFERROR('Cashflow Data'!I21,0)</f>
        <v>0</v>
      </c>
      <c r="H91" s="135">
        <f>IFERROR('Cashflow Data'!J21,0)</f>
        <v>65</v>
      </c>
      <c r="I91" s="135">
        <f>IFERROR('Cashflow Data'!K21,0)</f>
        <v>541</v>
      </c>
      <c r="J91" s="135">
        <f>IFERROR('Cashflow Data'!L21,0)</f>
        <v>935</v>
      </c>
      <c r="K91" s="135">
        <f>IFERROR('Cashflow Data'!M21,0)</f>
        <v>631</v>
      </c>
      <c r="L91" s="135">
        <f>IFERROR('Cashflow Data'!N21,0)</f>
        <v>638</v>
      </c>
      <c r="M91" s="135">
        <f>IFERROR('Cashflow Data'!O21,0)</f>
        <v>0</v>
      </c>
    </row>
    <row r="92" spans="2:13" x14ac:dyDescent="0.35">
      <c r="B92" t="s">
        <v>105</v>
      </c>
      <c r="C92" s="135">
        <f>IFERROR('Cashflow Data'!E22,0)</f>
        <v>-60</v>
      </c>
      <c r="D92" s="135">
        <f>IFERROR('Cashflow Data'!F22,0)</f>
        <v>0</v>
      </c>
      <c r="E92" s="135">
        <f>IFERROR('Cashflow Data'!G22,0)</f>
        <v>-62</v>
      </c>
      <c r="F92" s="135">
        <f>IFERROR('Cashflow Data'!H22,0)</f>
        <v>-272</v>
      </c>
      <c r="G92" s="135">
        <f>IFERROR('Cashflow Data'!I22,0)</f>
        <v>-358</v>
      </c>
      <c r="H92" s="135">
        <f>IFERROR('Cashflow Data'!J22,0)</f>
        <v>-28</v>
      </c>
      <c r="I92" s="135">
        <f>IFERROR('Cashflow Data'!K22,0)</f>
        <v>0</v>
      </c>
      <c r="J92" s="135">
        <f>IFERROR('Cashflow Data'!L22,0)</f>
        <v>-886</v>
      </c>
      <c r="K92" s="135">
        <f>IFERROR('Cashflow Data'!M22,0)</f>
        <v>-678</v>
      </c>
      <c r="L92" s="135">
        <f>IFERROR('Cashflow Data'!N22,0)</f>
        <v>-756</v>
      </c>
      <c r="M92" s="135">
        <f>IFERROR('Cashflow Data'!O22,0)</f>
        <v>0</v>
      </c>
    </row>
    <row r="93" spans="2:13" x14ac:dyDescent="0.35">
      <c r="B93" t="s">
        <v>106</v>
      </c>
      <c r="C93" s="135">
        <f>IFERROR('Cashflow Data'!E23,0)</f>
        <v>-40</v>
      </c>
      <c r="D93" s="135">
        <f>IFERROR('Cashflow Data'!F23,0)</f>
        <v>-45</v>
      </c>
      <c r="E93" s="135">
        <f>IFERROR('Cashflow Data'!G23,0)</f>
        <v>-43</v>
      </c>
      <c r="F93" s="135">
        <f>IFERROR('Cashflow Data'!H23,0)</f>
        <v>-52</v>
      </c>
      <c r="G93" s="135">
        <f>IFERROR('Cashflow Data'!I23,0)</f>
        <v>-42</v>
      </c>
      <c r="H93" s="135">
        <f>IFERROR('Cashflow Data'!J23,0)</f>
        <v>-31</v>
      </c>
      <c r="I93" s="135">
        <f>IFERROR('Cashflow Data'!K23,0)</f>
        <v>-33</v>
      </c>
      <c r="J93" s="135">
        <f>IFERROR('Cashflow Data'!L23,0)</f>
        <v>-89</v>
      </c>
      <c r="K93" s="135">
        <f>IFERROR('Cashflow Data'!M23,0)</f>
        <v>-119</v>
      </c>
      <c r="L93" s="135">
        <f>IFERROR('Cashflow Data'!N23,0)</f>
        <v>-279</v>
      </c>
      <c r="M93" s="135">
        <f>IFERROR('Cashflow Data'!O23,0)</f>
        <v>0</v>
      </c>
    </row>
    <row r="94" spans="2:13" x14ac:dyDescent="0.35">
      <c r="B94" t="s">
        <v>107</v>
      </c>
      <c r="C94" s="135">
        <f>IFERROR('Cashflow Data'!E24,0)</f>
        <v>-352</v>
      </c>
      <c r="D94" s="135">
        <f>IFERROR('Cashflow Data'!F24,0)</f>
        <v>-396</v>
      </c>
      <c r="E94" s="135">
        <f>IFERROR('Cashflow Data'!G24,0)</f>
        <v>-396</v>
      </c>
      <c r="F94" s="135">
        <f>IFERROR('Cashflow Data'!H24,0)</f>
        <v>-1325</v>
      </c>
      <c r="G94" s="135">
        <f>IFERROR('Cashflow Data'!I24,0)</f>
        <v>-512</v>
      </c>
      <c r="H94" s="135">
        <f>IFERROR('Cashflow Data'!J24,0)</f>
        <v>-592</v>
      </c>
      <c r="I94" s="135">
        <f>IFERROR('Cashflow Data'!K24,0)</f>
        <v>-972</v>
      </c>
      <c r="J94" s="135">
        <f>IFERROR('Cashflow Data'!L24,0)</f>
        <v>-921</v>
      </c>
      <c r="K94" s="135">
        <f>IFERROR('Cashflow Data'!M24,0)</f>
        <v>-966</v>
      </c>
      <c r="L94" s="135">
        <f>IFERROR('Cashflow Data'!N24,0)</f>
        <v>-975</v>
      </c>
      <c r="M94" s="135">
        <f>IFERROR('Cashflow Data'!O24,0)</f>
        <v>0</v>
      </c>
    </row>
    <row r="95" spans="2:13" x14ac:dyDescent="0.35">
      <c r="B95" t="s">
        <v>108</v>
      </c>
      <c r="C95" s="135">
        <f>IFERROR('Cashflow Data'!E25,0)</f>
        <v>0</v>
      </c>
      <c r="D95" s="135">
        <f>IFERROR('Cashflow Data'!F25,0)</f>
        <v>0</v>
      </c>
      <c r="E95" s="135">
        <f>IFERROR('Cashflow Data'!G25,0)</f>
        <v>0</v>
      </c>
      <c r="F95" s="135">
        <f>IFERROR('Cashflow Data'!H25,0)</f>
        <v>0</v>
      </c>
      <c r="G95" s="135">
        <f>IFERROR('Cashflow Data'!I25,0)</f>
        <v>-25</v>
      </c>
      <c r="H95" s="135">
        <f>IFERROR('Cashflow Data'!J25,0)</f>
        <v>-28</v>
      </c>
      <c r="I95" s="135">
        <f>IFERROR('Cashflow Data'!K25,0)</f>
        <v>-26</v>
      </c>
      <c r="J95" s="135">
        <f>IFERROR('Cashflow Data'!L25,0)</f>
        <v>-25</v>
      </c>
      <c r="K95" s="135">
        <f>IFERROR('Cashflow Data'!M25,0)</f>
        <v>-29</v>
      </c>
      <c r="L95" s="135">
        <f>IFERROR('Cashflow Data'!N25,0)</f>
        <v>-68</v>
      </c>
      <c r="M95" s="135">
        <f>IFERROR('Cashflow Data'!O25,0)</f>
        <v>0</v>
      </c>
    </row>
    <row r="96" spans="2:13" x14ac:dyDescent="0.35">
      <c r="B96" t="s">
        <v>109</v>
      </c>
      <c r="C96" s="135">
        <f>IFERROR('Cashflow Data'!E26,0)</f>
        <v>-72</v>
      </c>
      <c r="D96" s="135">
        <f>IFERROR('Cashflow Data'!F26,0)</f>
        <v>-81</v>
      </c>
      <c r="E96" s="135">
        <f>IFERROR('Cashflow Data'!G26,0)</f>
        <v>-81</v>
      </c>
      <c r="F96" s="135">
        <f>IFERROR('Cashflow Data'!H26,0)</f>
        <v>-272</v>
      </c>
      <c r="G96" s="135">
        <f>IFERROR('Cashflow Data'!I26,0)</f>
        <v>-105</v>
      </c>
      <c r="H96" s="135">
        <f>IFERROR('Cashflow Data'!J26,0)</f>
        <v>0</v>
      </c>
      <c r="I96" s="135">
        <f>IFERROR('Cashflow Data'!K26,0)</f>
        <v>0</v>
      </c>
      <c r="J96" s="135">
        <f>IFERROR('Cashflow Data'!L26,0)</f>
        <v>-49</v>
      </c>
      <c r="K96" s="135">
        <f>IFERROR('Cashflow Data'!M26,0)</f>
        <v>0</v>
      </c>
      <c r="L96" s="135">
        <f>IFERROR('Cashflow Data'!N26,0)</f>
        <v>34</v>
      </c>
      <c r="M96" s="135">
        <f>IFERROR('Cashflow Data'!O26,0)</f>
        <v>0</v>
      </c>
    </row>
    <row r="97" spans="2:13" x14ac:dyDescent="0.35">
      <c r="B97" s="2" t="s">
        <v>116</v>
      </c>
      <c r="C97" s="135">
        <f>SUM(C90:C96)</f>
        <v>-376</v>
      </c>
      <c r="D97" s="135">
        <f t="shared" ref="D97:M97" si="24">SUM(D90:D96)</f>
        <v>-339</v>
      </c>
      <c r="E97" s="135">
        <f t="shared" si="24"/>
        <v>-578</v>
      </c>
      <c r="F97" s="135">
        <f t="shared" si="24"/>
        <v>-1889</v>
      </c>
      <c r="G97" s="135">
        <f t="shared" si="24"/>
        <v>-1042</v>
      </c>
      <c r="H97" s="135">
        <f t="shared" si="24"/>
        <v>-614</v>
      </c>
      <c r="I97" s="135">
        <f t="shared" si="24"/>
        <v>-490</v>
      </c>
      <c r="J97" s="135">
        <f t="shared" si="24"/>
        <v>-1035</v>
      </c>
      <c r="K97" s="135">
        <f t="shared" si="24"/>
        <v>-1161</v>
      </c>
      <c r="L97" s="135">
        <f t="shared" si="24"/>
        <v>-1406</v>
      </c>
      <c r="M97" s="135">
        <f t="shared" si="24"/>
        <v>0</v>
      </c>
    </row>
    <row r="98" spans="2:13" x14ac:dyDescent="0.35"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</row>
    <row r="99" spans="2:13" x14ac:dyDescent="0.35">
      <c r="B99" t="s">
        <v>20</v>
      </c>
      <c r="C99" s="135">
        <f>IFERROR(C77+C87+C97,0)</f>
        <v>6</v>
      </c>
      <c r="D99" s="135">
        <f t="shared" ref="D99:M99" si="25">IFERROR(D77+D87+D97,0)</f>
        <v>169</v>
      </c>
      <c r="E99" s="135">
        <f t="shared" si="25"/>
        <v>-288</v>
      </c>
      <c r="F99" s="135">
        <f t="shared" si="25"/>
        <v>-71</v>
      </c>
      <c r="G99" s="135">
        <f t="shared" si="25"/>
        <v>-3</v>
      </c>
      <c r="H99" s="135">
        <f t="shared" si="25"/>
        <v>487</v>
      </c>
      <c r="I99" s="135">
        <f t="shared" si="25"/>
        <v>-57</v>
      </c>
      <c r="J99" s="135">
        <f t="shared" si="25"/>
        <v>-289</v>
      </c>
      <c r="K99" s="135">
        <f t="shared" si="25"/>
        <v>-17</v>
      </c>
      <c r="L99" s="135">
        <f t="shared" si="25"/>
        <v>119</v>
      </c>
      <c r="M99" s="135">
        <f t="shared" si="25"/>
        <v>0</v>
      </c>
    </row>
  </sheetData>
  <mergeCells count="1">
    <mergeCell ref="B2:M2"/>
  </mergeCells>
  <pageMargins left="0.7" right="0.7" top="0.75" bottom="0.75" header="0.3" footer="0.3"/>
  <pageSetup paperSize="9" orientation="portrait" r:id="rId1"/>
  <ignoredErrors>
    <ignoredError sqref="M6 M9 C15:L15 M21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E4BA-59C3-4658-B509-A4EACFC8AC7F}">
  <dimension ref="B2:O46"/>
  <sheetViews>
    <sheetView showGridLines="0" topLeftCell="A19" workbookViewId="0">
      <selection activeCell="C5" sqref="C5:L21"/>
    </sheetView>
  </sheetViews>
  <sheetFormatPr defaultRowHeight="14.5" x14ac:dyDescent="0.35"/>
  <cols>
    <col min="1" max="1" width="1.81640625" customWidth="1"/>
    <col min="2" max="2" width="18.54296875" bestFit="1" customWidth="1"/>
  </cols>
  <sheetData>
    <row r="2" spans="2:15" x14ac:dyDescent="0.35">
      <c r="B2" s="192" t="str">
        <f>" Common Size Statement - "&amp; 'Data Sheet'!B1</f>
        <v xml:space="preserve"> Common Size Statement - DABUR INDIA LTD</v>
      </c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20"/>
      <c r="N2" s="20"/>
      <c r="O2" s="20"/>
    </row>
    <row r="3" spans="2:15" x14ac:dyDescent="0.35">
      <c r="B3" s="9" t="s">
        <v>54</v>
      </c>
      <c r="C3" s="10">
        <f>'Data Sheet'!B16</f>
        <v>42460</v>
      </c>
      <c r="D3" s="10">
        <f>'Data Sheet'!C16</f>
        <v>42825</v>
      </c>
      <c r="E3" s="10">
        <f>'Data Sheet'!D16</f>
        <v>43190</v>
      </c>
      <c r="F3" s="10">
        <f>'Data Sheet'!E16</f>
        <v>43555</v>
      </c>
      <c r="G3" s="10">
        <f>'Data Sheet'!F16</f>
        <v>43921</v>
      </c>
      <c r="H3" s="10">
        <f>'Data Sheet'!G16</f>
        <v>44286</v>
      </c>
      <c r="I3" s="10">
        <f>'Data Sheet'!H16</f>
        <v>44651</v>
      </c>
      <c r="J3" s="10">
        <f>'Data Sheet'!I16</f>
        <v>45016</v>
      </c>
      <c r="K3" s="10">
        <f>'Data Sheet'!J16</f>
        <v>45382</v>
      </c>
      <c r="L3" s="10">
        <f>'Data Sheet'!K16</f>
        <v>45747</v>
      </c>
      <c r="M3" s="11"/>
      <c r="N3" s="11"/>
      <c r="O3" s="11"/>
    </row>
    <row r="5" spans="2:15" x14ac:dyDescent="0.35">
      <c r="B5" s="125" t="str">
        <f>'Data Sheet'!A17</f>
        <v>Sales</v>
      </c>
      <c r="C5" s="13">
        <f>'Data Sheet'!B17/'Data Sheet'!B$17</f>
        <v>1</v>
      </c>
      <c r="D5" s="13">
        <f>'Data Sheet'!C17/'Data Sheet'!C$17</f>
        <v>1</v>
      </c>
      <c r="E5" s="13">
        <f>'Data Sheet'!D17/'Data Sheet'!D$17</f>
        <v>1</v>
      </c>
      <c r="F5" s="13">
        <f>'Data Sheet'!E17/'Data Sheet'!E$17</f>
        <v>1</v>
      </c>
      <c r="G5" s="13">
        <f>'Data Sheet'!F17/'Data Sheet'!F$17</f>
        <v>1</v>
      </c>
      <c r="H5" s="13">
        <f>'Data Sheet'!G17/'Data Sheet'!G$17</f>
        <v>1</v>
      </c>
      <c r="I5" s="13">
        <f>'Data Sheet'!H17/'Data Sheet'!H$17</f>
        <v>1</v>
      </c>
      <c r="J5" s="13">
        <f>'Data Sheet'!I17/'Data Sheet'!I$17</f>
        <v>1</v>
      </c>
      <c r="K5" s="13">
        <f>'Data Sheet'!J17/'Data Sheet'!J$17</f>
        <v>1</v>
      </c>
      <c r="L5" s="13">
        <f>'Data Sheet'!K17/'Data Sheet'!K$17</f>
        <v>1</v>
      </c>
    </row>
    <row r="6" spans="2:15" x14ac:dyDescent="0.35">
      <c r="B6" s="125" t="str">
        <f>'Data Sheet'!A18</f>
        <v>Raw Material Cost</v>
      </c>
      <c r="C6" s="13">
        <f>'Data Sheet'!B18/'Data Sheet'!B$17</f>
        <v>0.35217091749510904</v>
      </c>
      <c r="D6" s="13">
        <f>'Data Sheet'!C18/'Data Sheet'!C$17</f>
        <v>0.3493161570297324</v>
      </c>
      <c r="E6" s="13">
        <f>'Data Sheet'!D18/'Data Sheet'!D$17</f>
        <v>0.35941516605476664</v>
      </c>
      <c r="F6" s="13">
        <f>'Data Sheet'!E18/'Data Sheet'!E$17</f>
        <v>0.36029989465636481</v>
      </c>
      <c r="G6" s="13">
        <f>'Data Sheet'!F18/'Data Sheet'!F$17</f>
        <v>0.36138400670609261</v>
      </c>
      <c r="H6" s="13">
        <f>'Data Sheet'!G18/'Data Sheet'!G$17</f>
        <v>0.39368728200676667</v>
      </c>
      <c r="I6" s="13">
        <f>'Data Sheet'!H18/'Data Sheet'!H$17</f>
        <v>0.37990830844510076</v>
      </c>
      <c r="J6" s="13">
        <f>'Data Sheet'!I18/'Data Sheet'!I$17</f>
        <v>0.41301608254718825</v>
      </c>
      <c r="K6" s="13">
        <f>'Data Sheet'!J18/'Data Sheet'!J$17</f>
        <v>0.38010933561001642</v>
      </c>
      <c r="L6" s="13">
        <f>'Data Sheet'!K18/'Data Sheet'!K$17</f>
        <v>0.52470849130269703</v>
      </c>
    </row>
    <row r="7" spans="2:15" x14ac:dyDescent="0.35">
      <c r="B7" s="125" t="str">
        <f>'Data Sheet'!A19</f>
        <v>Change in Inventory</v>
      </c>
      <c r="C7" s="13">
        <f>'Data Sheet'!B19/'Data Sheet'!B$17</f>
        <v>9.0659488975096594E-3</v>
      </c>
      <c r="D7" s="13">
        <f>'Data Sheet'!C19/'Data Sheet'!C$17</f>
        <v>3.0235408000693497E-3</v>
      </c>
      <c r="E7" s="13">
        <f>'Data Sheet'!D19/'Data Sheet'!D$17</f>
        <v>8.5381093908843096E-3</v>
      </c>
      <c r="F7" s="13">
        <f>'Data Sheet'!E19/'Data Sheet'!E$17</f>
        <v>-1.4844409682219239E-3</v>
      </c>
      <c r="G7" s="13">
        <f>'Data Sheet'!F19/'Data Sheet'!F$17</f>
        <v>7.4890841762007415E-3</v>
      </c>
      <c r="H7" s="13">
        <f>'Data Sheet'!G19/'Data Sheet'!G$17</f>
        <v>2.1669900069548664E-2</v>
      </c>
      <c r="I7" s="13">
        <f>'Data Sheet'!H19/'Data Sheet'!H$17</f>
        <v>7.8521914502033307E-4</v>
      </c>
      <c r="J7" s="13">
        <f>'Data Sheet'!I19/'Data Sheet'!I$17</f>
        <v>7.8743162337194892E-3</v>
      </c>
      <c r="K7" s="13">
        <f>'Data Sheet'!J19/'Data Sheet'!J$17</f>
        <v>-3.9463044612185897E-3</v>
      </c>
      <c r="L7" s="13">
        <f>'Data Sheet'!K19/'Data Sheet'!K$17</f>
        <v>4.5450601722983753E-3</v>
      </c>
    </row>
    <row r="8" spans="2:15" x14ac:dyDescent="0.35">
      <c r="B8" s="125" t="str">
        <f>'Data Sheet'!A20</f>
        <v>Power and Fuel</v>
      </c>
      <c r="C8" s="13">
        <f>'Data Sheet'!B20/'Data Sheet'!B$17</f>
        <v>1.0797387032338174E-2</v>
      </c>
      <c r="D8" s="13">
        <f>'Data Sheet'!C20/'Data Sheet'!C$17</f>
        <v>1.1489980416597163E-2</v>
      </c>
      <c r="E8" s="13">
        <f>'Data Sheet'!D20/'Data Sheet'!D$17</f>
        <v>1.2161593400545205E-2</v>
      </c>
      <c r="F8" s="13">
        <f>'Data Sheet'!E20/'Data Sheet'!E$17</f>
        <v>1.2361729138848079E-2</v>
      </c>
      <c r="G8" s="13">
        <f>'Data Sheet'!F20/'Data Sheet'!F$17</f>
        <v>1.2334420309880434E-2</v>
      </c>
      <c r="H8" s="13">
        <f>'Data Sheet'!G20/'Data Sheet'!G$17</f>
        <v>1.0877829663290333E-2</v>
      </c>
      <c r="I8" s="13">
        <f>'Data Sheet'!H20/'Data Sheet'!H$17</f>
        <v>1.1815940958867373E-2</v>
      </c>
      <c r="J8" s="13">
        <f>'Data Sheet'!I20/'Data Sheet'!I$17</f>
        <v>1.3060835792882674E-2</v>
      </c>
      <c r="K8" s="13">
        <f>'Data Sheet'!J20/'Data Sheet'!J$17</f>
        <v>1.2370193187525646E-2</v>
      </c>
      <c r="L8" s="13">
        <f>'Data Sheet'!K20/'Data Sheet'!K$17</f>
        <v>0</v>
      </c>
    </row>
    <row r="9" spans="2:15" x14ac:dyDescent="0.35">
      <c r="B9" s="125" t="str">
        <f>'Data Sheet'!A21</f>
        <v>Other Mfr. Exp</v>
      </c>
      <c r="C9" s="13">
        <f>'Data Sheet'!B21/'Data Sheet'!B$17</f>
        <v>0.15171742723975085</v>
      </c>
      <c r="D9" s="13">
        <f>'Data Sheet'!C21/'Data Sheet'!C$17</f>
        <v>0.16384123652573884</v>
      </c>
      <c r="E9" s="13">
        <f>'Data Sheet'!D21/'Data Sheet'!D$17</f>
        <v>0.15786372436657017</v>
      </c>
      <c r="F9" s="13">
        <f>'Data Sheet'!E21/'Data Sheet'!E$17</f>
        <v>0.15591680084180959</v>
      </c>
      <c r="G9" s="13">
        <f>'Data Sheet'!F21/'Data Sheet'!F$17</f>
        <v>0.15982009616978943</v>
      </c>
      <c r="H9" s="13">
        <f>'Data Sheet'!G21/'Data Sheet'!G$17</f>
        <v>0.14091082606035568</v>
      </c>
      <c r="I9" s="13">
        <f>'Data Sheet'!H21/'Data Sheet'!H$17</f>
        <v>0.15213322459655348</v>
      </c>
      <c r="J9" s="13">
        <f>'Data Sheet'!I21/'Data Sheet'!I$17</f>
        <v>0.15437354562792882</v>
      </c>
      <c r="K9" s="13">
        <f>'Data Sheet'!J21/'Data Sheet'!J$17</f>
        <v>0.14966934080188585</v>
      </c>
      <c r="L9" s="13">
        <f>'Data Sheet'!K21/'Data Sheet'!K$17</f>
        <v>0</v>
      </c>
    </row>
    <row r="10" spans="2:15" x14ac:dyDescent="0.35">
      <c r="B10" s="125" t="str">
        <f>'Data Sheet'!A22</f>
        <v>Employee Cost</v>
      </c>
      <c r="C10" s="13">
        <f>'Data Sheet'!B22/'Data Sheet'!B$17</f>
        <v>0.10207386955213982</v>
      </c>
      <c r="D10" s="13">
        <f>'Data Sheet'!C22/'Data Sheet'!C$17</f>
        <v>0.10380122911793253</v>
      </c>
      <c r="E10" s="13">
        <f>'Data Sheet'!D22/'Data Sheet'!D$17</f>
        <v>0.10274221850981306</v>
      </c>
      <c r="F10" s="13">
        <f>'Data Sheet'!E22/'Data Sheet'!E$17</f>
        <v>0.11022326508897838</v>
      </c>
      <c r="G10" s="13">
        <f>'Data Sheet'!F22/'Data Sheet'!F$17</f>
        <v>0.10929180714456789</v>
      </c>
      <c r="H10" s="13">
        <f>'Data Sheet'!G22/'Data Sheet'!G$17</f>
        <v>0.10823445744196872</v>
      </c>
      <c r="I10" s="13">
        <f>'Data Sheet'!H22/'Data Sheet'!H$17</f>
        <v>9.9313231723220818E-2</v>
      </c>
      <c r="J10" s="13">
        <f>'Data Sheet'!I22/'Data Sheet'!I$17</f>
        <v>9.8737281968865276E-2</v>
      </c>
      <c r="K10" s="13">
        <f>'Data Sheet'!J22/'Data Sheet'!J$17</f>
        <v>0.10005312798038699</v>
      </c>
      <c r="L10" s="13">
        <f>'Data Sheet'!K22/'Data Sheet'!K$17</f>
        <v>0.10277965054775537</v>
      </c>
    </row>
    <row r="11" spans="2:15" x14ac:dyDescent="0.35">
      <c r="B11" s="125" t="str">
        <f>'Data Sheet'!A23</f>
        <v>Selling and admin</v>
      </c>
      <c r="C11" s="13">
        <f>'Data Sheet'!B23/'Data Sheet'!B$17</f>
        <v>0.15649012938868795</v>
      </c>
      <c r="D11" s="13">
        <f>'Data Sheet'!C23/'Data Sheet'!C$17</f>
        <v>0.15254301847091845</v>
      </c>
      <c r="E11" s="13">
        <f>'Data Sheet'!D23/'Data Sheet'!D$17</f>
        <v>0.14703471318401679</v>
      </c>
      <c r="F11" s="13">
        <f>'Data Sheet'!E23/'Data Sheet'!E$17</f>
        <v>0.13899722724278007</v>
      </c>
      <c r="G11" s="13">
        <f>'Data Sheet'!F23/'Data Sheet'!F$17</f>
        <v>0.14100642053096041</v>
      </c>
      <c r="H11" s="13">
        <f>'Data Sheet'!G23/'Data Sheet'!G$17</f>
        <v>0.14519146799976992</v>
      </c>
      <c r="I11" s="13">
        <f>'Data Sheet'!H23/'Data Sheet'!H$17</f>
        <v>0.13598618014304764</v>
      </c>
      <c r="J11" s="13">
        <f>'Data Sheet'!I23/'Data Sheet'!I$17</f>
        <v>0.12376093787538303</v>
      </c>
      <c r="K11" s="13">
        <f>'Data Sheet'!J23/'Data Sheet'!J$17</f>
        <v>0.14350117421704756</v>
      </c>
      <c r="L11" s="13">
        <f>'Data Sheet'!K23/'Data Sheet'!K$17</f>
        <v>6.8823832353346187E-2</v>
      </c>
    </row>
    <row r="12" spans="2:15" x14ac:dyDescent="0.35">
      <c r="B12" s="125" t="str">
        <f>'Data Sheet'!A24</f>
        <v>Other Expenses</v>
      </c>
      <c r="C12" s="13">
        <f>'Data Sheet'!B24/'Data Sheet'!B$17</f>
        <v>4.0656018386407637E-2</v>
      </c>
      <c r="D12" s="13">
        <f>'Data Sheet'!C24/'Data Sheet'!C$17</f>
        <v>2.3490889317654352E-2</v>
      </c>
      <c r="E12" s="13">
        <f>'Data Sheet'!D24/'Data Sheet'!D$17</f>
        <v>1.9857935598334594E-2</v>
      </c>
      <c r="F12" s="13">
        <f>'Data Sheet'!E24/'Data Sheet'!E$17</f>
        <v>1.6422802610455211E-2</v>
      </c>
      <c r="G12" s="13">
        <f>'Data Sheet'!F24/'Data Sheet'!F$17</f>
        <v>1.7271873100093961E-2</v>
      </c>
      <c r="H12" s="13">
        <f>'Data Sheet'!G24/'Data Sheet'!G$17</f>
        <v>1.3424461259301482E-2</v>
      </c>
      <c r="I12" s="13">
        <f>'Data Sheet'!H24/'Data Sheet'!H$17</f>
        <v>1.4807120789664127E-2</v>
      </c>
      <c r="J12" s="13">
        <f>'Data Sheet'!I24/'Data Sheet'!I$17</f>
        <v>1.7370503968381312E-2</v>
      </c>
      <c r="K12" s="13">
        <f>'Data Sheet'!J24/'Data Sheet'!J$17</f>
        <v>1.6887280806771359E-2</v>
      </c>
      <c r="L12" s="13">
        <f>'Data Sheet'!K24/'Data Sheet'!K$17</f>
        <v>0.12385647161645741</v>
      </c>
    </row>
    <row r="13" spans="2:15" x14ac:dyDescent="0.35">
      <c r="B13" s="125" t="str">
        <f>'Data Sheet'!A25</f>
        <v>Other Income</v>
      </c>
      <c r="C13" s="13">
        <f>'Data Sheet'!B25/'Data Sheet'!B$17</f>
        <v>2.7917672494684857E-2</v>
      </c>
      <c r="D13" s="13">
        <f>'Data Sheet'!C25/'Data Sheet'!C$17</f>
        <v>3.8868654603150421E-2</v>
      </c>
      <c r="E13" s="13">
        <f>'Data Sheet'!D25/'Data Sheet'!D$17</f>
        <v>3.7669729404223078E-2</v>
      </c>
      <c r="F13" s="13">
        <f>'Data Sheet'!E25/'Data Sheet'!E$17</f>
        <v>2.6047006514394028E-2</v>
      </c>
      <c r="G13" s="13">
        <f>'Data Sheet'!F25/'Data Sheet'!F$17</f>
        <v>2.3638285524788593E-2</v>
      </c>
      <c r="H13" s="13">
        <f>'Data Sheet'!G25/'Data Sheet'!G$17</f>
        <v>3.4020278926754279E-2</v>
      </c>
      <c r="I13" s="13">
        <f>'Data Sheet'!H25/'Data Sheet'!H$17</f>
        <v>2.8300951079469689E-2</v>
      </c>
      <c r="J13" s="13">
        <f>'Data Sheet'!I25/'Data Sheet'!I$17</f>
        <v>3.8629162984208869E-2</v>
      </c>
      <c r="K13" s="13">
        <f>'Data Sheet'!J25/'Data Sheet'!J$17</f>
        <v>3.8891455263257609E-2</v>
      </c>
      <c r="L13" s="13">
        <f>'Data Sheet'!K25/'Data Sheet'!K$17</f>
        <v>4.383077730080736E-2</v>
      </c>
    </row>
    <row r="14" spans="2:15" x14ac:dyDescent="0.35">
      <c r="B14" s="125" t="str">
        <f>'Data Sheet'!A26</f>
        <v>Depreciation</v>
      </c>
      <c r="C14" s="13">
        <f>'Data Sheet'!B26/'Data Sheet'!B$17</f>
        <v>1.7120285462346684E-2</v>
      </c>
      <c r="D14" s="13">
        <f>'Data Sheet'!C26/'Data Sheet'!C$17</f>
        <v>1.8763815755773558E-2</v>
      </c>
      <c r="E14" s="13">
        <f>'Data Sheet'!D26/'Data Sheet'!D$17</f>
        <v>2.1002738980943687E-2</v>
      </c>
      <c r="F14" s="13">
        <f>'Data Sheet'!E26/'Data Sheet'!E$17</f>
        <v>2.0775127158105883E-2</v>
      </c>
      <c r="G14" s="13">
        <f>'Data Sheet'!F26/'Data Sheet'!F$17</f>
        <v>2.5383896166104754E-2</v>
      </c>
      <c r="H14" s="13">
        <f>'Data Sheet'!G26/'Data Sheet'!G$17</f>
        <v>2.5113866330601937E-2</v>
      </c>
      <c r="I14" s="13">
        <f>'Data Sheet'!H26/'Data Sheet'!H$17</f>
        <v>2.322503737826807E-2</v>
      </c>
      <c r="J14" s="13">
        <f>'Data Sheet'!I26/'Data Sheet'!I$17</f>
        <v>2.6969901707648555E-2</v>
      </c>
      <c r="K14" s="13">
        <f>'Data Sheet'!J26/'Data Sheet'!J$17</f>
        <v>3.2183946965537752E-2</v>
      </c>
      <c r="L14" s="13">
        <f>'Data Sheet'!K26/'Data Sheet'!K$17</f>
        <v>3.5468980959302211E-2</v>
      </c>
    </row>
    <row r="15" spans="2:15" x14ac:dyDescent="0.35">
      <c r="B15" s="125" t="str">
        <f>'Data Sheet'!A27</f>
        <v>Interest</v>
      </c>
      <c r="C15" s="13">
        <f>'Data Sheet'!B27/'Data Sheet'!B$17</f>
        <v>6.2316348015208885E-3</v>
      </c>
      <c r="D15" s="13">
        <f>'Data Sheet'!C27/'Data Sheet'!C$17</f>
        <v>7.0965208265745859E-3</v>
      </c>
      <c r="E15" s="13">
        <f>'Data Sheet'!D27/'Data Sheet'!D$17</f>
        <v>6.870115322105453E-3</v>
      </c>
      <c r="F15" s="13">
        <f>'Data Sheet'!E27/'Data Sheet'!E$17</f>
        <v>6.9970722220460621E-3</v>
      </c>
      <c r="G15" s="13">
        <f>'Data Sheet'!F27/'Data Sheet'!F$17</f>
        <v>5.7043239558576984E-3</v>
      </c>
      <c r="H15" s="13">
        <f>'Data Sheet'!G27/'Data Sheet'!G$17</f>
        <v>3.2222472062876178E-3</v>
      </c>
      <c r="I15" s="13">
        <f>'Data Sheet'!H27/'Data Sheet'!H$17</f>
        <v>3.5449659646531995E-3</v>
      </c>
      <c r="J15" s="13">
        <f>'Data Sheet'!I27/'Data Sheet'!I$17</f>
        <v>6.7858409750656771E-3</v>
      </c>
      <c r="K15" s="13">
        <f>'Data Sheet'!J27/'Data Sheet'!J$17</f>
        <v>1.0011278610707344E-2</v>
      </c>
      <c r="L15" s="13">
        <f>'Data Sheet'!K27/'Data Sheet'!K$17</f>
        <v>1.3014314153603931E-2</v>
      </c>
    </row>
    <row r="16" spans="2:15" x14ac:dyDescent="0.35">
      <c r="B16" s="125" t="str">
        <f>'Data Sheet'!A28</f>
        <v>Profit before tax</v>
      </c>
      <c r="C16" s="13">
        <f>'Data Sheet'!B28/'Data Sheet'!B$17</f>
        <v>0.19972595203389351</v>
      </c>
      <c r="D16" s="13">
        <f>'Data Sheet'!C28/'Data Sheet'!C$17</f>
        <v>0.21154934794229793</v>
      </c>
      <c r="E16" s="13">
        <f>'Data Sheet'!D28/'Data Sheet'!D$17</f>
        <v>0.21925963337801171</v>
      </c>
      <c r="F16" s="13">
        <f>'Data Sheet'!E28/'Data Sheet'!E$17</f>
        <v>0.202568646586784</v>
      </c>
      <c r="G16" s="13">
        <f>'Data Sheet'!F28/'Data Sheet'!F$17</f>
        <v>0.19893052561764221</v>
      </c>
      <c r="H16" s="13">
        <f>'Data Sheet'!G28/'Data Sheet'!G$17</f>
        <v>0.21502774102796066</v>
      </c>
      <c r="I16" s="13">
        <f>'Data Sheet'!H28/'Data Sheet'!H$17</f>
        <v>0.20835216022511449</v>
      </c>
      <c r="J16" s="13">
        <f>'Data Sheet'!I28/'Data Sheet'!I$17</f>
        <v>0.19242854875458482</v>
      </c>
      <c r="K16" s="13">
        <f>'Data Sheet'!J28/'Data Sheet'!J$17</f>
        <v>0.19015947262216007</v>
      </c>
      <c r="L16" s="13">
        <f>'Data Sheet'!K28/'Data Sheet'!K$17</f>
        <v>0.17972409653994359</v>
      </c>
    </row>
    <row r="17" spans="2:12" x14ac:dyDescent="0.35">
      <c r="B17" s="125" t="str">
        <f>'Data Sheet'!A29</f>
        <v>Tax</v>
      </c>
      <c r="C17" s="13">
        <f>'Data Sheet'!B29/'Data Sheet'!B$17</f>
        <v>3.8549242511883554E-2</v>
      </c>
      <c r="D17" s="13">
        <f>'Data Sheet'!C29/'Data Sheet'!C$17</f>
        <v>4.338820451324539E-2</v>
      </c>
      <c r="E17" s="13">
        <f>'Data Sheet'!D29/'Data Sheet'!D$17</f>
        <v>4.3428712031443245E-2</v>
      </c>
      <c r="F17" s="13">
        <f>'Data Sheet'!E29/'Data Sheet'!E$17</f>
        <v>3.2721118873891807E-2</v>
      </c>
      <c r="G17" s="13">
        <f>'Data Sheet'!F29/'Data Sheet'!F$17</f>
        <v>3.2208588957055223E-2</v>
      </c>
      <c r="H17" s="13">
        <f>'Data Sheet'!G29/'Data Sheet'!G$17</f>
        <v>3.7762310898223635E-2</v>
      </c>
      <c r="I17" s="13">
        <f>'Data Sheet'!H29/'Data Sheet'!H$17</f>
        <v>4.834194778430443E-2</v>
      </c>
      <c r="J17" s="13">
        <f>'Data Sheet'!I29/'Data Sheet'!I$17</f>
        <v>4.4870332674466107E-2</v>
      </c>
      <c r="K17" s="13">
        <f>'Data Sheet'!J29/'Data Sheet'!J$17</f>
        <v>4.4133308502653575E-2</v>
      </c>
      <c r="L17" s="13">
        <f>'Data Sheet'!K29/'Data Sheet'!K$17</f>
        <v>4.1189707309268658E-2</v>
      </c>
    </row>
    <row r="18" spans="2:12" x14ac:dyDescent="0.35">
      <c r="B18" s="125" t="str">
        <f>'Data Sheet'!A30</f>
        <v>Net profit</v>
      </c>
      <c r="C18" s="13">
        <f>'Data Sheet'!B30/'Data Sheet'!B$17</f>
        <v>0.1608232236370227</v>
      </c>
      <c r="D18" s="13">
        <f>'Data Sheet'!C30/'Data Sheet'!C$17</f>
        <v>0.16771851386796505</v>
      </c>
      <c r="E18" s="13">
        <f>'Data Sheet'!D30/'Data Sheet'!D$17</f>
        <v>0.17539708748551189</v>
      </c>
      <c r="F18" s="13">
        <f>'Data Sheet'!E30/'Data Sheet'!E$17</f>
        <v>0.16938716310882337</v>
      </c>
      <c r="G18" s="13">
        <f>'Data Sheet'!F30/'Data Sheet'!F$17</f>
        <v>0.16638110503141179</v>
      </c>
      <c r="H18" s="13">
        <f>'Data Sheet'!G30/'Data Sheet'!G$17</f>
        <v>0.17709286577107508</v>
      </c>
      <c r="I18" s="13">
        <f>'Data Sheet'!H30/'Data Sheet'!H$17</f>
        <v>0.15972734987160978</v>
      </c>
      <c r="J18" s="13">
        <f>'Data Sheet'!I30/'Data Sheet'!I$17</f>
        <v>0.14806299106062593</v>
      </c>
      <c r="K18" s="13">
        <f>'Data Sheet'!J30/'Data Sheet'!J$17</f>
        <v>0.14855518497647133</v>
      </c>
      <c r="L18" s="13">
        <f>'Data Sheet'!K30/'Data Sheet'!K$17</f>
        <v>0.14070025765954078</v>
      </c>
    </row>
    <row r="19" spans="2:12" x14ac:dyDescent="0.35">
      <c r="B19" s="125" t="str">
        <f>'Data Sheet'!A31</f>
        <v>Dividend Amount</v>
      </c>
      <c r="C19" s="13">
        <f>'Data Sheet'!B31/'Data Sheet'!B$17</f>
        <v>5.0876259373802968E-2</v>
      </c>
      <c r="D19" s="13">
        <f>'Data Sheet'!C31/'Data Sheet'!C$17</f>
        <v>5.2056914018222676E-2</v>
      </c>
      <c r="E19" s="13">
        <f>'Data Sheet'!D31/'Data Sheet'!D$17</f>
        <v>0.14257464208706463</v>
      </c>
      <c r="F19" s="13">
        <f>'Data Sheet'!E31/'Data Sheet'!E$17</f>
        <v>5.7044106922028097E-2</v>
      </c>
      <c r="G19" s="13">
        <f>'Data Sheet'!F31/'Data Sheet'!F$17</f>
        <v>6.1042253910352076E-2</v>
      </c>
      <c r="H19" s="13">
        <f>'Data Sheet'!G31/'Data Sheet'!G$17</f>
        <v>8.7800745687198339E-2</v>
      </c>
      <c r="I19" s="13">
        <f>'Data Sheet'!H31/'Data Sheet'!H$17</f>
        <v>8.4428048211537113E-2</v>
      </c>
      <c r="J19" s="13">
        <f>'Data Sheet'!I31/'Data Sheet'!I$17</f>
        <v>7.990882827156201E-2</v>
      </c>
      <c r="K19" s="13">
        <f>'Data Sheet'!J31/'Data Sheet'!J$17</f>
        <v>7.8571365227857765E-2</v>
      </c>
      <c r="L19" s="13">
        <f>'Data Sheet'!K31/'Data Sheet'!K$17</f>
        <v>0.11285758519599874</v>
      </c>
    </row>
    <row r="20" spans="2:12" x14ac:dyDescent="0.35">
      <c r="B20" s="125" t="str">
        <f>'Data Sheet'!A33</f>
        <v>EBITDA</v>
      </c>
      <c r="C20" s="13">
        <f>'Data Sheet'!B33/'Data Sheet'!B$17</f>
        <v>0.22272438641277387</v>
      </c>
      <c r="D20" s="13">
        <f>'Data Sheet'!C33/'Data Sheet'!C$17</f>
        <v>0.23696705496355858</v>
      </c>
      <c r="E20" s="13">
        <f>'Data Sheet'!D33/'Data Sheet'!D$17</f>
        <v>0.2466986538200043</v>
      </c>
      <c r="F20" s="13">
        <f>'Data Sheet'!E33/'Data Sheet'!E$17</f>
        <v>0.22988048136286712</v>
      </c>
      <c r="G20" s="13">
        <f>'Data Sheet'!F33/'Data Sheet'!F$17</f>
        <v>0.22967791411042948</v>
      </c>
      <c r="H20" s="13">
        <f>'Data Sheet'!G33/'Data Sheet'!G$17</f>
        <v>0.24319129020618827</v>
      </c>
      <c r="I20" s="13">
        <f>'Data Sheet'!H33/'Data Sheet'!H$17</f>
        <v>0.23483930099883546</v>
      </c>
      <c r="J20" s="13">
        <f>'Data Sheet'!I33/'Data Sheet'!I$17</f>
        <v>0.22668906641780623</v>
      </c>
      <c r="K20" s="13">
        <f>'Data Sheet'!J33/'Data Sheet'!J$17</f>
        <v>0.23488371905537</v>
      </c>
      <c r="L20" s="13">
        <f>'Data Sheet'!K33/'Data Sheet'!K$17</f>
        <v>0.23037326008171558</v>
      </c>
    </row>
    <row r="21" spans="2:12" x14ac:dyDescent="0.35">
      <c r="B21" s="125"/>
    </row>
    <row r="22" spans="2:12" x14ac:dyDescent="0.35">
      <c r="B22" s="192" t="str">
        <f>" Common Size Statement - "&amp; 'Data Sheet'!B1</f>
        <v xml:space="preserve"> Common Size Statement - DABUR INDIA LTD</v>
      </c>
      <c r="C22" s="192"/>
      <c r="D22" s="192"/>
      <c r="E22" s="192"/>
      <c r="F22" s="192"/>
      <c r="G22" s="192"/>
      <c r="H22" s="192"/>
      <c r="I22" s="192"/>
      <c r="J22" s="192"/>
      <c r="K22" s="192"/>
      <c r="L22" s="192"/>
    </row>
    <row r="23" spans="2:12" x14ac:dyDescent="0.35">
      <c r="B23" s="9" t="s">
        <v>54</v>
      </c>
      <c r="C23" s="10">
        <f>'Data Sheet'!B16</f>
        <v>42460</v>
      </c>
      <c r="D23" s="10">
        <f>'Data Sheet'!C16</f>
        <v>42825</v>
      </c>
      <c r="E23" s="10">
        <f>'Data Sheet'!D16</f>
        <v>43190</v>
      </c>
      <c r="F23" s="10">
        <f>'Data Sheet'!E16</f>
        <v>43555</v>
      </c>
      <c r="G23" s="10">
        <f>'Data Sheet'!F16</f>
        <v>43921</v>
      </c>
      <c r="H23" s="10">
        <f>'Data Sheet'!G16</f>
        <v>44286</v>
      </c>
      <c r="I23" s="10">
        <f>'Data Sheet'!H16</f>
        <v>44651</v>
      </c>
      <c r="J23" s="10">
        <f>'Data Sheet'!I16</f>
        <v>45016</v>
      </c>
      <c r="K23" s="10">
        <f>'Data Sheet'!J16</f>
        <v>45382</v>
      </c>
      <c r="L23" s="10">
        <f>'Data Sheet'!K16</f>
        <v>45747</v>
      </c>
    </row>
    <row r="24" spans="2:12" x14ac:dyDescent="0.35">
      <c r="B24" s="20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2:12" x14ac:dyDescent="0.35">
      <c r="B25" s="126" t="s">
        <v>82</v>
      </c>
      <c r="C25" s="128">
        <f>'Data Sheet'!B61/'Data Sheet'!B$61</f>
        <v>1</v>
      </c>
      <c r="D25" s="128">
        <f>'Data Sheet'!C61/'Data Sheet'!C$61</f>
        <v>1</v>
      </c>
      <c r="E25" s="128">
        <f>'Data Sheet'!D61/'Data Sheet'!D$61</f>
        <v>1</v>
      </c>
      <c r="F25" s="128">
        <f>'Data Sheet'!E61/'Data Sheet'!E$61</f>
        <v>1</v>
      </c>
      <c r="G25" s="128">
        <f>'Data Sheet'!F61/'Data Sheet'!F$61</f>
        <v>1</v>
      </c>
      <c r="H25" s="128">
        <f>'Data Sheet'!G61/'Data Sheet'!G$61</f>
        <v>1</v>
      </c>
      <c r="I25" s="128">
        <f>'Data Sheet'!H61/'Data Sheet'!H$61</f>
        <v>1</v>
      </c>
      <c r="J25" s="128">
        <f>'Data Sheet'!I61/'Data Sheet'!I$61</f>
        <v>1</v>
      </c>
      <c r="K25" s="128">
        <f>'Data Sheet'!J61/'Data Sheet'!J$61</f>
        <v>1</v>
      </c>
      <c r="L25" s="128">
        <f>'Data Sheet'!K61/'Data Sheet'!K$61</f>
        <v>1</v>
      </c>
    </row>
    <row r="26" spans="2:12" x14ac:dyDescent="0.35">
      <c r="B26" s="125" t="str">
        <f>'Data Sheet'!A57</f>
        <v>Equity Share Capital</v>
      </c>
      <c r="C26" s="13">
        <f>'Data Sheet'!B57/'Data Sheet'!B$61</f>
        <v>2.5375416528424909E-2</v>
      </c>
      <c r="D26" s="13">
        <f>'Data Sheet'!C57/'Data Sheet'!C$61</f>
        <v>2.27812380371018E-2</v>
      </c>
      <c r="E26" s="13">
        <f>'Data Sheet'!D57/'Data Sheet'!D$61</f>
        <v>2.0243333720234027E-2</v>
      </c>
      <c r="F26" s="13">
        <f>'Data Sheet'!E57/'Data Sheet'!E$61</f>
        <v>2.0936059853211706E-2</v>
      </c>
      <c r="G26" s="13">
        <f>'Data Sheet'!F57/'Data Sheet'!F$61</f>
        <v>1.8926630522096956E-2</v>
      </c>
      <c r="H26" s="13">
        <f>'Data Sheet'!G57/'Data Sheet'!G$61</f>
        <v>1.631463221461394E-2</v>
      </c>
      <c r="I26" s="13">
        <f>'Data Sheet'!H57/'Data Sheet'!H$61</f>
        <v>1.4392055917276816E-2</v>
      </c>
      <c r="J26" s="13">
        <f>'Data Sheet'!I57/'Data Sheet'!I$61</f>
        <v>1.2978052017684958E-2</v>
      </c>
      <c r="K26" s="13">
        <f>'Data Sheet'!J57/'Data Sheet'!J$61</f>
        <v>1.1722398778541922E-2</v>
      </c>
      <c r="L26" s="13">
        <f>'Data Sheet'!K57/'Data Sheet'!K$61</f>
        <v>1.0918367598390367E-2</v>
      </c>
    </row>
    <row r="27" spans="2:12" x14ac:dyDescent="0.35">
      <c r="B27" s="125" t="str">
        <f>'Data Sheet'!A58</f>
        <v>Reserves</v>
      </c>
      <c r="C27" s="13">
        <f>'Data Sheet'!B58/'Data Sheet'!B$61</f>
        <v>0.57624453644533558</v>
      </c>
      <c r="D27" s="13">
        <f>'Data Sheet'!C58/'Data Sheet'!C$61</f>
        <v>0.60412506595760085</v>
      </c>
      <c r="E27" s="13">
        <f>'Data Sheet'!D58/'Data Sheet'!D$61</f>
        <v>0.63555563727715392</v>
      </c>
      <c r="F27" s="13">
        <f>'Data Sheet'!E58/'Data Sheet'!E$61</f>
        <v>0.64659034876443711</v>
      </c>
      <c r="G27" s="13">
        <f>'Data Sheet'!F58/'Data Sheet'!F$61</f>
        <v>0.68858618466290655</v>
      </c>
      <c r="H27" s="13">
        <f>'Data Sheet'!G58/'Data Sheet'!G$61</f>
        <v>0.69109553761485509</v>
      </c>
      <c r="I27" s="13">
        <f>'Data Sheet'!H58/'Data Sheet'!H$61</f>
        <v>0.66790976126396751</v>
      </c>
      <c r="J27" s="13">
        <f>'Data Sheet'!I58/'Data Sheet'!I$61</f>
        <v>0.64429384688857827</v>
      </c>
      <c r="K27" s="13">
        <f>'Data Sheet'!J58/'Data Sheet'!J$61</f>
        <v>0.64096779912624469</v>
      </c>
      <c r="L27" s="13">
        <f>'Data Sheet'!K58/'Data Sheet'!K$61</f>
        <v>0.65446505358458573</v>
      </c>
    </row>
    <row r="28" spans="2:12" x14ac:dyDescent="0.35">
      <c r="B28" s="125" t="str">
        <f>'Data Sheet'!A59</f>
        <v>Borrowings</v>
      </c>
      <c r="C28" s="13">
        <f>'Data Sheet'!B59/'Data Sheet'!B$61</f>
        <v>0.11615481153441137</v>
      </c>
      <c r="D28" s="13">
        <f>'Data Sheet'!C59/'Data Sheet'!C$61</f>
        <v>0.12609541348949335</v>
      </c>
      <c r="E28" s="13">
        <f>'Data Sheet'!D59/'Data Sheet'!D$61</f>
        <v>0.10774877810249345</v>
      </c>
      <c r="F28" s="13">
        <f>'Data Sheet'!E59/'Data Sheet'!E$61</f>
        <v>8.2896745623850257E-2</v>
      </c>
      <c r="G28" s="13">
        <f>'Data Sheet'!F59/'Data Sheet'!F$61</f>
        <v>5.5908051984773867E-2</v>
      </c>
      <c r="H28" s="13">
        <f>'Data Sheet'!G59/'Data Sheet'!G$61</f>
        <v>4.6990645440598458E-2</v>
      </c>
      <c r="I28" s="13">
        <f>'Data Sheet'!H59/'Data Sheet'!H$61</f>
        <v>8.385800554548814E-2</v>
      </c>
      <c r="J28" s="13">
        <f>'Data Sheet'!I59/'Data Sheet'!I$61</f>
        <v>8.5977580301605294E-2</v>
      </c>
      <c r="K28" s="13">
        <f>'Data Sheet'!J59/'Data Sheet'!J$61</f>
        <v>9.030547036455866E-2</v>
      </c>
      <c r="L28" s="13">
        <f>'Data Sheet'!K59/'Data Sheet'!K$61</f>
        <v>5.8548152200430255E-2</v>
      </c>
    </row>
    <row r="29" spans="2:12" x14ac:dyDescent="0.35">
      <c r="B29" s="125" t="str">
        <f>'Data Sheet'!A60</f>
        <v>Other Liabilities</v>
      </c>
      <c r="C29" s="13">
        <f>'Data Sheet'!B60/'Data Sheet'!B$61</f>
        <v>0.2822252354918281</v>
      </c>
      <c r="D29" s="13">
        <f>'Data Sheet'!C60/'Data Sheet'!C$61</f>
        <v>0.24699828251580394</v>
      </c>
      <c r="E29" s="13">
        <f>'Data Sheet'!D60/'Data Sheet'!D$61</f>
        <v>0.23645225090011873</v>
      </c>
      <c r="F29" s="13">
        <f>'Data Sheet'!E60/'Data Sheet'!E$61</f>
        <v>0.24957684575850106</v>
      </c>
      <c r="G29" s="13">
        <f>'Data Sheet'!F60/'Data Sheet'!F$61</f>
        <v>0.23657913283022264</v>
      </c>
      <c r="H29" s="13">
        <f>'Data Sheet'!G60/'Data Sheet'!G$61</f>
        <v>0.24559918472993258</v>
      </c>
      <c r="I29" s="13">
        <f>'Data Sheet'!H60/'Data Sheet'!H$61</f>
        <v>0.2338401772732675</v>
      </c>
      <c r="J29" s="13">
        <f>'Data Sheet'!I60/'Data Sheet'!I$61</f>
        <v>0.2567505207921314</v>
      </c>
      <c r="K29" s="13">
        <f>'Data Sheet'!J60/'Data Sheet'!J$61</f>
        <v>0.25700433173065473</v>
      </c>
      <c r="L29" s="13">
        <f>'Data Sheet'!K60/'Data Sheet'!K$61</f>
        <v>0.27606842661659359</v>
      </c>
    </row>
    <row r="31" spans="2:12" x14ac:dyDescent="0.35">
      <c r="B31" s="126" t="s">
        <v>272</v>
      </c>
      <c r="C31" s="127">
        <f>'Data Sheet'!B75/'Data Sheet'!B$75</f>
        <v>1</v>
      </c>
      <c r="D31" s="127">
        <f>'Data Sheet'!C75/'Data Sheet'!C$75</f>
        <v>1</v>
      </c>
      <c r="E31" s="127">
        <f>'Data Sheet'!D75/'Data Sheet'!D$75</f>
        <v>1</v>
      </c>
      <c r="F31" s="127">
        <f>'Data Sheet'!E75/'Data Sheet'!E$75</f>
        <v>1</v>
      </c>
      <c r="G31" s="127">
        <f>'Data Sheet'!F75/'Data Sheet'!F$75</f>
        <v>1</v>
      </c>
      <c r="H31" s="127">
        <f>'Data Sheet'!G75/'Data Sheet'!G$75</f>
        <v>1</v>
      </c>
      <c r="I31" s="127">
        <f>'Data Sheet'!H75/'Data Sheet'!H$75</f>
        <v>1</v>
      </c>
      <c r="J31" s="127">
        <f>'Data Sheet'!I75/'Data Sheet'!I$75</f>
        <v>1</v>
      </c>
      <c r="K31" s="127">
        <f>'Data Sheet'!J75/'Data Sheet'!J$75</f>
        <v>1</v>
      </c>
      <c r="L31" s="127">
        <f>'Data Sheet'!K75/'Data Sheet'!K$75</f>
        <v>1</v>
      </c>
    </row>
    <row r="32" spans="2:12" x14ac:dyDescent="0.35">
      <c r="B32" s="125" t="str">
        <f>'Data Sheet'!A62</f>
        <v>Net Block</v>
      </c>
      <c r="C32" s="13">
        <f>'Data Sheet'!B63/'Data Sheet'!B$75</f>
        <v>6.4625016228380188E-3</v>
      </c>
      <c r="D32" s="13">
        <f>'Data Sheet'!C63/'Data Sheet'!C$75</f>
        <v>5.4447352901617133E-3</v>
      </c>
      <c r="E32" s="13">
        <f>'Data Sheet'!D63/'Data Sheet'!D$75</f>
        <v>4.7703706087250325E-3</v>
      </c>
      <c r="F32" s="13">
        <f>'Data Sheet'!E63/'Data Sheet'!E$75</f>
        <v>7.5575110470519069E-3</v>
      </c>
      <c r="G32" s="13">
        <f>'Data Sheet'!F63/'Data Sheet'!F$75</f>
        <v>1.5698467747290765E-2</v>
      </c>
      <c r="H32" s="13">
        <f>'Data Sheet'!G63/'Data Sheet'!G$75</f>
        <v>1.3597065323144921E-2</v>
      </c>
      <c r="I32" s="13">
        <f>'Data Sheet'!H63/'Data Sheet'!H$75</f>
        <v>1.363577898152535E-2</v>
      </c>
      <c r="J32" s="13">
        <f>'Data Sheet'!I63/'Data Sheet'!I$75</f>
        <v>1.2827893948849568E-2</v>
      </c>
      <c r="K32" s="13">
        <f>'Data Sheet'!J63/'Data Sheet'!J$75</f>
        <v>1.5362825442103786E-2</v>
      </c>
      <c r="L32" s="13">
        <f>'Data Sheet'!K63/'Data Sheet'!K$75</f>
        <v>1.0251794572296682E-2</v>
      </c>
    </row>
    <row r="33" spans="2:12" x14ac:dyDescent="0.35">
      <c r="B33" s="125" t="str">
        <f>'Data Sheet'!A63</f>
        <v>Capital Work in Progress</v>
      </c>
      <c r="C33" s="13">
        <f>'Data Sheet'!B64/'Data Sheet'!B$75</f>
        <v>0.38814534858560645</v>
      </c>
      <c r="D33" s="13">
        <f>'Data Sheet'!C64/'Data Sheet'!C$75</f>
        <v>0.41904545125345305</v>
      </c>
      <c r="E33" s="13">
        <f>'Data Sheet'!D64/'Data Sheet'!D$75</f>
        <v>0.43729393228624985</v>
      </c>
      <c r="F33" s="13">
        <f>'Data Sheet'!E64/'Data Sheet'!E$75</f>
        <v>0.39811583758463093</v>
      </c>
      <c r="G33" s="13">
        <f>'Data Sheet'!F64/'Data Sheet'!F$75</f>
        <v>0.29992352660181781</v>
      </c>
      <c r="H33" s="13">
        <f>'Data Sheet'!G64/'Data Sheet'!G$75</f>
        <v>0.38396986306933678</v>
      </c>
      <c r="I33" s="13">
        <f>'Data Sheet'!H64/'Data Sheet'!H$75</f>
        <v>0.5063245592183564</v>
      </c>
      <c r="J33" s="13">
        <f>'Data Sheet'!I64/'Data Sheet'!I$75</f>
        <v>0.45891675236663765</v>
      </c>
      <c r="K33" s="13">
        <f>'Data Sheet'!J64/'Data Sheet'!J$75</f>
        <v>0.45862165230253837</v>
      </c>
      <c r="L33" s="13">
        <f>'Data Sheet'!K64/'Data Sheet'!K$75</f>
        <v>0.46006229562328887</v>
      </c>
    </row>
    <row r="34" spans="2:12" x14ac:dyDescent="0.35">
      <c r="B34" s="125" t="str">
        <f>'Data Sheet'!A64</f>
        <v>Investments</v>
      </c>
      <c r="C34" s="13">
        <f>'Data Sheet'!B65/'Data Sheet'!B$75</f>
        <v>0.36486591751655295</v>
      </c>
      <c r="D34" s="13">
        <f>'Data Sheet'!C65/'Data Sheet'!C$75</f>
        <v>0.32223262599195057</v>
      </c>
      <c r="E34" s="13">
        <f>'Data Sheet'!D65/'Data Sheet'!D$75</f>
        <v>0.32486327274315274</v>
      </c>
      <c r="F34" s="13">
        <f>'Data Sheet'!E65/'Data Sheet'!E$75</f>
        <v>0.36093278840865561</v>
      </c>
      <c r="G34" s="13">
        <f>'Data Sheet'!F65/'Data Sheet'!F$75</f>
        <v>0.44310336333004158</v>
      </c>
      <c r="H34" s="13">
        <f>'Data Sheet'!G65/'Data Sheet'!G$75</f>
        <v>0.39539213641004245</v>
      </c>
      <c r="I34" s="13">
        <f>'Data Sheet'!H65/'Data Sheet'!H$75</f>
        <v>0.2921589793436265</v>
      </c>
      <c r="J34" s="13">
        <f>'Data Sheet'!I65/'Data Sheet'!I$75</f>
        <v>0.26612697659292073</v>
      </c>
      <c r="K34" s="13">
        <f>'Data Sheet'!J65/'Data Sheet'!J$75</f>
        <v>0.27363995035841959</v>
      </c>
      <c r="L34" s="13">
        <f>'Data Sheet'!K65/'Data Sheet'!K$75</f>
        <v>0.28373956092428171</v>
      </c>
    </row>
    <row r="35" spans="2:12" x14ac:dyDescent="0.35">
      <c r="B35" s="125" t="s">
        <v>273</v>
      </c>
      <c r="C35" s="13">
        <f>'Data Sheet'!B74/'Data Sheet'!B$75</f>
        <v>5.8254836057297019E-2</v>
      </c>
      <c r="D35" s="13">
        <f>'Data Sheet'!C74/'Data Sheet'!C$75</f>
        <v>5.5564752258077853E-2</v>
      </c>
      <c r="E35" s="13">
        <f>'Data Sheet'!D74/'Data Sheet'!D$75</f>
        <v>6.4185675557338118E-2</v>
      </c>
      <c r="F35" s="13">
        <f>'Data Sheet'!E74/'Data Sheet'!E$75</f>
        <v>6.9080818904208308E-2</v>
      </c>
      <c r="G35" s="13">
        <f>'Data Sheet'!F74/'Data Sheet'!F$75</f>
        <v>0.12126924419862517</v>
      </c>
      <c r="H35" s="13">
        <f>'Data Sheet'!G74/'Data Sheet'!G$75</f>
        <v>6.0783405118699667E-2</v>
      </c>
      <c r="I35" s="13">
        <f>'Data Sheet'!H74/'Data Sheet'!H$75</f>
        <v>3.7543573437014123E-2</v>
      </c>
      <c r="J35" s="13">
        <f>'Data Sheet'!I74/'Data Sheet'!I$75</f>
        <v>3.1816663590257442E-2</v>
      </c>
      <c r="K35" s="13">
        <f>'Data Sheet'!J74/'Data Sheet'!J$75</f>
        <v>4.1305578856285469E-2</v>
      </c>
      <c r="L35" s="13">
        <f>'Data Sheet'!K74/'Data Sheet'!K$75</f>
        <v>5.1694524737128725E-2</v>
      </c>
    </row>
    <row r="36" spans="2:12" x14ac:dyDescent="0.35">
      <c r="B36" s="125" t="str">
        <f>'Data Sheet'!A67</f>
        <v>Receivables</v>
      </c>
      <c r="C36" s="13">
        <f>'Data Sheet'!B67/'Data Sheet'!B$75</f>
        <v>0.11672893556251172</v>
      </c>
      <c r="D36" s="13">
        <f>'Data Sheet'!C67/'Data Sheet'!C$75</f>
        <v>8.411792701726796E-2</v>
      </c>
      <c r="E36" s="13">
        <f>'Data Sheet'!D67/'Data Sheet'!D$75</f>
        <v>8.1143417957325242E-2</v>
      </c>
      <c r="F36" s="13">
        <f>'Data Sheet'!E67/'Data Sheet'!E$75</f>
        <v>9.8802366819017995E-2</v>
      </c>
      <c r="G36" s="13">
        <f>'Data Sheet'!F67/'Data Sheet'!F$75</f>
        <v>8.7172176535733642E-2</v>
      </c>
      <c r="H36" s="13">
        <f>'Data Sheet'!G67/'Data Sheet'!G$75</f>
        <v>5.1838696158667513E-2</v>
      </c>
      <c r="I36" s="13">
        <f>'Data Sheet'!H67/'Data Sheet'!H$75</f>
        <v>5.2601543814403615E-2</v>
      </c>
      <c r="J36" s="13">
        <f>'Data Sheet'!I67/'Data Sheet'!I$75</f>
        <v>6.2169102889773717E-2</v>
      </c>
      <c r="K36" s="13">
        <f>'Data Sheet'!J67/'Data Sheet'!J$75</f>
        <v>5.9453466310672672E-2</v>
      </c>
      <c r="L36" s="13">
        <f>'Data Sheet'!K67/'Data Sheet'!K$75</f>
        <v>5.4736611246232809E-2</v>
      </c>
    </row>
    <row r="37" spans="2:12" x14ac:dyDescent="0.35">
      <c r="B37" s="125" t="str">
        <f>'Data Sheet'!A68</f>
        <v>Inventory</v>
      </c>
      <c r="C37" s="13">
        <f>'Data Sheet'!B68/'Data Sheet'!B$75</f>
        <v>0.15817261226432786</v>
      </c>
      <c r="D37" s="13">
        <f>'Data Sheet'!C68/'Data Sheet'!C$75</f>
        <v>0.14312928724405866</v>
      </c>
      <c r="E37" s="13">
        <f>'Data Sheet'!D68/'Data Sheet'!D$75</f>
        <v>0.14436145871520625</v>
      </c>
      <c r="F37" s="13">
        <f>'Data Sheet'!E68/'Data Sheet'!E$75</f>
        <v>0.15415260103548334</v>
      </c>
      <c r="G37" s="13">
        <f>'Data Sheet'!F68/'Data Sheet'!F$75</f>
        <v>0.14775967217118044</v>
      </c>
      <c r="H37" s="13">
        <f>'Data Sheet'!G68/'Data Sheet'!G$75</f>
        <v>0.16008905939323673</v>
      </c>
      <c r="I37" s="13">
        <f>'Data Sheet'!H68/'Data Sheet'!H$75</f>
        <v>0.15560011266816781</v>
      </c>
      <c r="J37" s="13">
        <f>'Data Sheet'!I68/'Data Sheet'!I$75</f>
        <v>0.14826827460321645</v>
      </c>
      <c r="K37" s="13">
        <f>'Data Sheet'!J68/'Data Sheet'!J$75</f>
        <v>0.12879886427684972</v>
      </c>
      <c r="L37" s="13">
        <f>'Data Sheet'!K68/'Data Sheet'!K$75</f>
        <v>0.14169974889541087</v>
      </c>
    </row>
    <row r="38" spans="2:12" x14ac:dyDescent="0.35">
      <c r="B38" s="125" t="str">
        <f>'Data Sheet'!A69</f>
        <v>Cash &amp; Bank</v>
      </c>
      <c r="C38" s="13">
        <f>'Data Sheet'!B69/'Data Sheet'!B$75</f>
        <v>3.1709533632416367E-2</v>
      </c>
      <c r="D38" s="13">
        <f>'Data Sheet'!C69/'Data Sheet'!C$75</f>
        <v>3.9420659472546117E-2</v>
      </c>
      <c r="E38" s="13">
        <f>'Data Sheet'!D69/'Data Sheet'!D$75</f>
        <v>3.517272051328315E-2</v>
      </c>
      <c r="F38" s="13">
        <f>'Data Sheet'!E69/'Data Sheet'!E$75</f>
        <v>3.8897001649945959E-2</v>
      </c>
      <c r="G38" s="13">
        <f>'Data Sheet'!F69/'Data Sheet'!F$75</f>
        <v>8.690227042450234E-2</v>
      </c>
      <c r="H38" s="13">
        <f>'Data Sheet'!G69/'Data Sheet'!G$75</f>
        <v>0.12268097573943851</v>
      </c>
      <c r="I38" s="13">
        <f>'Data Sheet'!H69/'Data Sheet'!H$75</f>
        <v>4.6413749424040973E-2</v>
      </c>
      <c r="J38" s="13">
        <f>'Data Sheet'!I69/'Data Sheet'!I$75</f>
        <v>2.3872935509673111E-2</v>
      </c>
      <c r="K38" s="13">
        <f>'Data Sheet'!J69/'Data Sheet'!J$75</f>
        <v>4.4082040914611716E-2</v>
      </c>
      <c r="L38" s="13">
        <f>'Data Sheet'!K69/'Data Sheet'!K$75</f>
        <v>3.5608676045509317E-2</v>
      </c>
    </row>
    <row r="39" spans="2:12" x14ac:dyDescent="0.35">
      <c r="B39" s="125"/>
    </row>
    <row r="40" spans="2:12" x14ac:dyDescent="0.35">
      <c r="B40" s="125"/>
    </row>
    <row r="41" spans="2:12" x14ac:dyDescent="0.35">
      <c r="B41" s="125"/>
    </row>
    <row r="42" spans="2:12" x14ac:dyDescent="0.35">
      <c r="B42" s="125"/>
    </row>
    <row r="43" spans="2:12" x14ac:dyDescent="0.35">
      <c r="B43" s="125"/>
    </row>
    <row r="44" spans="2:12" x14ac:dyDescent="0.35">
      <c r="B44" s="125"/>
    </row>
    <row r="45" spans="2:12" x14ac:dyDescent="0.35">
      <c r="B45" s="125"/>
    </row>
    <row r="46" spans="2:12" x14ac:dyDescent="0.35">
      <c r="B46" s="125"/>
    </row>
  </sheetData>
  <mergeCells count="2">
    <mergeCell ref="B2:L2"/>
    <mergeCell ref="B22:L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9B8E-80C8-4022-9DB6-C9172404C01E}">
  <dimension ref="B2:O41"/>
  <sheetViews>
    <sheetView showGridLines="0" topLeftCell="A14" workbookViewId="0">
      <selection activeCell="D31" sqref="D31"/>
    </sheetView>
  </sheetViews>
  <sheetFormatPr defaultRowHeight="14.5" x14ac:dyDescent="0.35"/>
  <cols>
    <col min="1" max="1" width="1.81640625" customWidth="1"/>
    <col min="2" max="2" width="24.26953125" bestFit="1" customWidth="1"/>
    <col min="3" max="3" width="12.08984375" bestFit="1" customWidth="1"/>
    <col min="4" max="5" width="7.90625" bestFit="1" customWidth="1"/>
    <col min="6" max="7" width="7.81640625" bestFit="1" customWidth="1"/>
    <col min="8" max="8" width="8.26953125" bestFit="1" customWidth="1"/>
    <col min="9" max="9" width="7.90625" bestFit="1" customWidth="1"/>
    <col min="10" max="11" width="8.26953125" bestFit="1" customWidth="1"/>
    <col min="12" max="12" width="8.54296875" bestFit="1" customWidth="1"/>
    <col min="13" max="13" width="11.7265625" customWidth="1"/>
    <col min="14" max="14" width="9.81640625" bestFit="1" customWidth="1"/>
  </cols>
  <sheetData>
    <row r="2" spans="2:15" x14ac:dyDescent="0.35">
      <c r="B2" s="192" t="str">
        <f>"Ratio Analysis - "&amp; 'Data Sheet'!B1</f>
        <v>Ratio Analysis - DABUR INDIA LTD</v>
      </c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</row>
    <row r="3" spans="2:15" x14ac:dyDescent="0.35">
      <c r="B3" s="9" t="s">
        <v>54</v>
      </c>
      <c r="C3" s="10">
        <f>'Data Sheet'!B16</f>
        <v>42460</v>
      </c>
      <c r="D3" s="10">
        <f>'Data Sheet'!C16</f>
        <v>42825</v>
      </c>
      <c r="E3" s="10">
        <f>'Data Sheet'!D16</f>
        <v>43190</v>
      </c>
      <c r="F3" s="10">
        <f>'Data Sheet'!E16</f>
        <v>43555</v>
      </c>
      <c r="G3" s="10">
        <f>'Data Sheet'!F16</f>
        <v>43921</v>
      </c>
      <c r="H3" s="10">
        <f>'Data Sheet'!G16</f>
        <v>44286</v>
      </c>
      <c r="I3" s="10">
        <f>'Data Sheet'!H16</f>
        <v>44651</v>
      </c>
      <c r="J3" s="10">
        <f>'Data Sheet'!I16</f>
        <v>45016</v>
      </c>
      <c r="K3" s="10">
        <f>'Data Sheet'!J16</f>
        <v>45382</v>
      </c>
      <c r="L3" s="10">
        <f>'Data Sheet'!K16</f>
        <v>45747</v>
      </c>
      <c r="M3" s="10" t="s">
        <v>149</v>
      </c>
      <c r="N3" s="10" t="s">
        <v>147</v>
      </c>
      <c r="O3" s="10" t="s">
        <v>148</v>
      </c>
    </row>
    <row r="4" spans="2:15" x14ac:dyDescent="0.35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2:15" x14ac:dyDescent="0.35">
      <c r="B5" s="41" t="s">
        <v>121</v>
      </c>
      <c r="C5" s="42"/>
      <c r="D5" s="43">
        <f>IFERROR(HistoricalFS!D7,0)</f>
        <v>-2.1346691243576132E-2</v>
      </c>
      <c r="E5" s="43">
        <f>IFERROR(HistoricalFS!E7,0)</f>
        <v>1.4219310469830937E-2</v>
      </c>
      <c r="F5" s="43">
        <f>IFERROR(HistoricalFS!F7,0)</f>
        <v>0.10271372792789291</v>
      </c>
      <c r="G5" s="43">
        <f>IFERROR(HistoricalFS!G7,0)</f>
        <v>1.9923687520478461E-2</v>
      </c>
      <c r="H5" s="43">
        <f>IFERROR(HistoricalFS!H7,0)</f>
        <v>0.10098403618342267</v>
      </c>
      <c r="I5" s="43">
        <f>IFERROR(HistoricalFS!I7,0)</f>
        <v>0.13878671568191692</v>
      </c>
      <c r="J5" s="43">
        <f>IFERROR(HistoricalFS!J7,0)</f>
        <v>5.8887762336665261E-2</v>
      </c>
      <c r="K5" s="43">
        <f>IFERROR(HistoricalFS!K7,0)</f>
        <v>7.5813385903941821E-2</v>
      </c>
      <c r="L5" s="43">
        <f>IFERROR(HistoricalFS!L7,0)</f>
        <v>1.2824884855784591E-2</v>
      </c>
      <c r="M5" s="42"/>
      <c r="N5" s="44">
        <f>IFERROR(AVERAGE(D5:L5),0)</f>
        <v>5.5867424404039717E-2</v>
      </c>
      <c r="O5" s="44">
        <f>IFERROR(MEDIAN(C5:L5),0)</f>
        <v>5.8887762336665261E-2</v>
      </c>
    </row>
    <row r="6" spans="2:15" x14ac:dyDescent="0.35">
      <c r="B6" s="45" t="s">
        <v>117</v>
      </c>
      <c r="D6" s="46">
        <f>IFERROR(HistoricalFS!D18/HistoricalFS!C18-1,0)</f>
        <v>-4.3931290671014311E-3</v>
      </c>
      <c r="E6" s="46">
        <f>IFERROR(HistoricalFS!E18/HistoricalFS!D18-1,0)</f>
        <v>7.0011444750960994E-2</v>
      </c>
      <c r="F6" s="46">
        <f>IFERROR(HistoricalFS!F18/HistoricalFS!E18-1,0)</f>
        <v>7.5502027895933299E-2</v>
      </c>
      <c r="G6" s="46">
        <f>IFERROR(HistoricalFS!G18/HistoricalFS!F18-1,0)</f>
        <v>3.0341005771574503E-2</v>
      </c>
      <c r="H6" s="46">
        <f>IFERROR(HistoricalFS!H18/HistoricalFS!G18-1,0)</f>
        <v>0.11679145697802817</v>
      </c>
      <c r="I6" s="46">
        <f>IFERROR(HistoricalFS!I18/HistoricalFS!H18-1,0)</f>
        <v>0.12506557024884346</v>
      </c>
      <c r="J6" s="46">
        <f>IFERROR(HistoricalFS!J18/HistoricalFS!I18-1,0)</f>
        <v>-3.975115563430065E-2</v>
      </c>
      <c r="K6" s="46">
        <f>IFERROR(HistoricalFS!K18/HistoricalFS!J18-1,0)</f>
        <v>0.10970224139764895</v>
      </c>
      <c r="L6" s="46">
        <f>IFERROR(HistoricalFS!L18/HistoricalFS!K18-1,0)</f>
        <v>-3.4745720334039332E-2</v>
      </c>
      <c r="N6" s="47">
        <f t="shared" ref="N6:N9" si="0">IFERROR(AVERAGE(D6:L6),0)</f>
        <v>4.9835971334171995E-2</v>
      </c>
      <c r="O6" s="47">
        <f t="shared" ref="O6:O31" si="1">IFERROR(MEDIAN(C6:L6),0)</f>
        <v>7.0011444750960994E-2</v>
      </c>
    </row>
    <row r="7" spans="2:15" x14ac:dyDescent="0.35">
      <c r="B7" s="45" t="s">
        <v>118</v>
      </c>
      <c r="D7" s="46">
        <f>IFERROR(HistoricalFS!D27/HistoricalFS!C27-1,0)</f>
        <v>-1.6377252900994899E-2</v>
      </c>
      <c r="E7" s="46">
        <f>IFERROR(HistoricalFS!E27/HistoricalFS!D27-1,0)</f>
        <v>6.6546488986248153E-2</v>
      </c>
      <c r="F7" s="46">
        <f>IFERROR(HistoricalFS!F27/HistoricalFS!E27-1,0)</f>
        <v>7.1936443186112253E-2</v>
      </c>
      <c r="G7" s="46">
        <f>IFERROR(HistoricalFS!G27/HistoricalFS!F27-1,0)</f>
        <v>1.2820342230619897E-2</v>
      </c>
      <c r="H7" s="46">
        <f>IFERROR(HistoricalFS!H27/HistoricalFS!G27-1,0)</f>
        <v>0.13688048083554949</v>
      </c>
      <c r="I7" s="46">
        <f>IFERROR(HistoricalFS!I27/HistoricalFS!H27-1,0)</f>
        <v>0.13277056502169771</v>
      </c>
      <c r="J7" s="46">
        <f>IFERROR(HistoricalFS!J27/HistoricalFS!I27-1,0)</f>
        <v>-9.5500173423378132E-2</v>
      </c>
      <c r="K7" s="46">
        <f>IFERROR(HistoricalFS!K27/HistoricalFS!J27-1,0)</f>
        <v>5.8106683058045894E-2</v>
      </c>
      <c r="L7" s="46">
        <f>IFERROR(HistoricalFS!L27/HistoricalFS!K27-1,0)</f>
        <v>-9.0117410050471358E-2</v>
      </c>
      <c r="N7" s="47">
        <f t="shared" si="0"/>
        <v>3.0785129660381001E-2</v>
      </c>
      <c r="O7" s="47">
        <f t="shared" si="1"/>
        <v>5.8106683058045894E-2</v>
      </c>
    </row>
    <row r="8" spans="2:15" x14ac:dyDescent="0.35">
      <c r="B8" s="45" t="s">
        <v>119</v>
      </c>
      <c r="D8" s="46">
        <f>IFERROR(HistoricalFS!D33/HistoricalFS!C33-1,0)</f>
        <v>-5.0476989707824327E-2</v>
      </c>
      <c r="E8" s="46">
        <f>IFERROR(HistoricalFS!E33/HistoricalFS!D33-1,0)</f>
        <v>8.3788780755399417E-2</v>
      </c>
      <c r="F8" s="46">
        <f>IFERROR(HistoricalFS!F33/HistoricalFS!E33-1,0)</f>
        <v>0.14772322516543723</v>
      </c>
      <c r="G8" s="46">
        <f>IFERROR(HistoricalFS!G33/HistoricalFS!F33-1,0)</f>
        <v>1.4839194420397828E-2</v>
      </c>
      <c r="H8" s="46">
        <f>IFERROR(HistoricalFS!H33/HistoricalFS!G33-1,0)</f>
        <v>0.10222672879296235</v>
      </c>
      <c r="I8" s="46">
        <f>IFERROR(HistoricalFS!I33/HistoricalFS!H33-1,0)</f>
        <v>4.7077376867253662E-2</v>
      </c>
      <c r="J8" s="46">
        <f>IFERROR(HistoricalFS!J33/HistoricalFS!I33-1,0)</f>
        <v>-0.12425565147056883</v>
      </c>
      <c r="K8" s="46">
        <f>IFERROR(HistoricalFS!K33/HistoricalFS!J33-1,0)</f>
        <v>5.8091947067536953E-2</v>
      </c>
      <c r="L8" s="46">
        <f>IFERROR(HistoricalFS!L33/HistoricalFS!K33-1,0)</f>
        <v>-0.10469561291293639</v>
      </c>
      <c r="N8" s="47">
        <f t="shared" si="0"/>
        <v>1.9368777664184211E-2</v>
      </c>
      <c r="O8" s="47">
        <f t="shared" si="1"/>
        <v>4.7077376867253662E-2</v>
      </c>
    </row>
    <row r="9" spans="2:15" x14ac:dyDescent="0.35">
      <c r="B9" s="48" t="s">
        <v>120</v>
      </c>
      <c r="C9" s="49"/>
      <c r="D9" s="50">
        <f>IFERROR(HistoricalFS!D41/HistoricalFS!C41-1,0)</f>
        <v>-8.6058312698256145E-9</v>
      </c>
      <c r="E9" s="50">
        <f>IFERROR(HistoricalFS!E41/HistoricalFS!D41-1,0)</f>
        <v>1.7777665640611602</v>
      </c>
      <c r="F9" s="50">
        <f>IFERROR(HistoricalFS!F41/HistoricalFS!E41-1,0)</f>
        <v>-0.56000326376200071</v>
      </c>
      <c r="G9" s="50">
        <f>IFERROR(HistoricalFS!G41/HistoricalFS!F41-1,0)</f>
        <v>9.0914705700697818E-2</v>
      </c>
      <c r="H9" s="50">
        <f>IFERROR(HistoricalFS!H41/HistoricalFS!G41-1,0)</f>
        <v>0.58334276338123803</v>
      </c>
      <c r="I9" s="50">
        <f>IFERROR(HistoricalFS!I41/HistoricalFS!H41-1,0)</f>
        <v>9.4732703728746426E-2</v>
      </c>
      <c r="J9" s="50">
        <f>IFERROR(HistoricalFS!J41/HistoricalFS!I41-1,0)</f>
        <v>2.1659672955198772E-6</v>
      </c>
      <c r="K9" s="50">
        <f>IFERROR(HistoricalFS!K41/HistoricalFS!J41-1,0)</f>
        <v>5.768771571841036E-2</v>
      </c>
      <c r="L9" s="50">
        <f>IFERROR(HistoricalFS!L41/HistoricalFS!K41-1,0)</f>
        <v>0.45454545454545436</v>
      </c>
      <c r="M9" s="49"/>
      <c r="N9" s="51">
        <f t="shared" si="0"/>
        <v>0.27766542230390784</v>
      </c>
      <c r="O9" s="51">
        <f t="shared" si="1"/>
        <v>9.0914705700697818E-2</v>
      </c>
    </row>
    <row r="10" spans="2:15" x14ac:dyDescent="0.35">
      <c r="B10" s="52"/>
      <c r="C10" s="52"/>
    </row>
    <row r="11" spans="2:15" x14ac:dyDescent="0.35">
      <c r="B11" s="41" t="s">
        <v>122</v>
      </c>
      <c r="C11" s="43">
        <f>IFERROR(HistoricalFS!C13,0)</f>
        <v>0.39230634757817173</v>
      </c>
      <c r="D11" s="43">
        <f>IFERROR(HistoricalFS!D13,0)</f>
        <v>0.3745749377100685</v>
      </c>
      <c r="E11" s="43">
        <f>IFERROR(HistoricalFS!E13,0)</f>
        <v>0.37635540705918924</v>
      </c>
      <c r="F11" s="43">
        <f>IFERROR(HistoricalFS!F13,0)</f>
        <v>0.35971386930577715</v>
      </c>
      <c r="G11" s="43">
        <f>IFERROR(HistoricalFS!G13,0)</f>
        <v>0.36465875384587038</v>
      </c>
      <c r="H11" s="43">
        <f>IFERROR(HistoricalFS!H13,0)</f>
        <v>0.36795950489716717</v>
      </c>
      <c r="I11" s="43">
        <f>IFERROR(HistoricalFS!I13,0)</f>
        <v>0.35761451342127792</v>
      </c>
      <c r="J11" s="43">
        <f>IFERROR(HistoricalFS!J13,0)</f>
        <v>0.3286865702968545</v>
      </c>
      <c r="K11" s="43">
        <f>IFERROR(HistoricalFS!K13,0)</f>
        <v>0.35385169795896659</v>
      </c>
      <c r="L11" s="43">
        <f>IFERROR(HistoricalFS!L13,0)</f>
        <v>0.37705691832184596</v>
      </c>
      <c r="M11" s="42"/>
      <c r="N11" s="44">
        <f>IFERROR(AVERAGE(C11:L11),0)</f>
        <v>0.3652778520395189</v>
      </c>
      <c r="O11" s="44">
        <f t="shared" si="1"/>
        <v>0.36630912937151877</v>
      </c>
    </row>
    <row r="12" spans="2:15" x14ac:dyDescent="0.35">
      <c r="B12" s="45" t="s">
        <v>123</v>
      </c>
      <c r="C12" s="46">
        <f>IFERROR(HistoricalFS!C19,0)</f>
        <v>0.19516019980307614</v>
      </c>
      <c r="D12" s="46">
        <f>IFERROR(HistoricalFS!D19,0)</f>
        <v>0.19854102992149572</v>
      </c>
      <c r="E12" s="46">
        <f>IFERROR(HistoricalFS!E19,0)</f>
        <v>0.20946275827683788</v>
      </c>
      <c r="F12" s="46">
        <f>IFERROR(HistoricalFS!F19,0)</f>
        <v>0.20429383945254184</v>
      </c>
      <c r="G12" s="46">
        <f>IFERROR(HistoricalFS!G19,0)</f>
        <v>0.20638046021481599</v>
      </c>
      <c r="H12" s="46">
        <f>IFERROR(HistoricalFS!H19,0)</f>
        <v>0.20934357563809575</v>
      </c>
      <c r="I12" s="46">
        <f>IFERROR(HistoricalFS!I19,0)</f>
        <v>0.20682121248856616</v>
      </c>
      <c r="J12" s="46">
        <f>IFERROR(HistoricalFS!J19,0)</f>
        <v>0.18755512845309014</v>
      </c>
      <c r="K12" s="46">
        <f>IFERROR(HistoricalFS!K19,0)</f>
        <v>0.19346324293514769</v>
      </c>
      <c r="L12" s="46">
        <f>IFERROR(HistoricalFS!L19,0)</f>
        <v>0.18437661435204239</v>
      </c>
      <c r="N12" s="47">
        <f t="shared" ref="N12:N15" si="2">IFERROR(AVERAGE(C12:L12),0)</f>
        <v>0.19953980615357098</v>
      </c>
      <c r="O12" s="47">
        <f t="shared" si="1"/>
        <v>0.20141743468701878</v>
      </c>
    </row>
    <row r="13" spans="2:15" x14ac:dyDescent="0.35">
      <c r="B13" s="45" t="s">
        <v>124</v>
      </c>
      <c r="C13" s="46">
        <f>IFERROR((HistoricalFS!C18-HistoricalFS!C24)/HistoricalFS!C6,0)</f>
        <v>0.17803991434072944</v>
      </c>
      <c r="D13" s="46">
        <f>IFERROR((HistoricalFS!D18-HistoricalFS!D24)/HistoricalFS!D6,0)</f>
        <v>0.17977721416572215</v>
      </c>
      <c r="E13" s="46">
        <f>IFERROR((HistoricalFS!E18-HistoricalFS!E24)/HistoricalFS!E6,0)</f>
        <v>0.1884600192958942</v>
      </c>
      <c r="F13" s="46">
        <f>IFERROR((HistoricalFS!F18-HistoricalFS!F24)/HistoricalFS!F6,0)</f>
        <v>0.18351871229443595</v>
      </c>
      <c r="G13" s="46">
        <f>IFERROR((HistoricalFS!G18-HistoricalFS!G24)/HistoricalFS!G6,0)</f>
        <v>0.18099656404871123</v>
      </c>
      <c r="H13" s="46">
        <f>IFERROR((HistoricalFS!H18-HistoricalFS!H24)/HistoricalFS!H6,0)</f>
        <v>0.1842297093074938</v>
      </c>
      <c r="I13" s="46">
        <f>IFERROR((HistoricalFS!I18-HistoricalFS!I24)/HistoricalFS!I6,0)</f>
        <v>0.1835961751102981</v>
      </c>
      <c r="J13" s="46">
        <f>IFERROR((HistoricalFS!J18-HistoricalFS!J24)/HistoricalFS!J6,0)</f>
        <v>0.16058522674544157</v>
      </c>
      <c r="K13" s="46">
        <f>IFERROR((HistoricalFS!K18-HistoricalFS!K24)/HistoricalFS!K6,0)</f>
        <v>0.16127929596960991</v>
      </c>
      <c r="L13" s="46">
        <f>IFERROR((HistoricalFS!L18-HistoricalFS!L24)/HistoricalFS!L6,0)</f>
        <v>0.14890763339274019</v>
      </c>
      <c r="N13" s="47">
        <f t="shared" si="2"/>
        <v>0.17493904646710765</v>
      </c>
      <c r="O13" s="47">
        <f t="shared" si="1"/>
        <v>0.18038688910721667</v>
      </c>
    </row>
    <row r="14" spans="2:15" x14ac:dyDescent="0.35">
      <c r="B14" s="45" t="s">
        <v>125</v>
      </c>
      <c r="C14" s="46">
        <f>IFERROR(HistoricalFS!C28,0)</f>
        <v>0.17180827953920855</v>
      </c>
      <c r="D14" s="46">
        <f>IFERROR(HistoricalFS!D28,0)</f>
        <v>0.17268069333914757</v>
      </c>
      <c r="E14" s="46">
        <f>IFERROR(HistoricalFS!E28,0)</f>
        <v>0.18158990397378874</v>
      </c>
      <c r="F14" s="46">
        <f>IFERROR(HistoricalFS!F28,0)</f>
        <v>0.17652164007238991</v>
      </c>
      <c r="G14" s="46">
        <f>IFERROR(HistoricalFS!G28,0)</f>
        <v>0.17529224009285355</v>
      </c>
      <c r="H14" s="46">
        <f>IFERROR(HistoricalFS!H28,0)</f>
        <v>0.18100746210120619</v>
      </c>
      <c r="I14" s="46">
        <f>IFERROR(HistoricalFS!I28,0)</f>
        <v>0.1800512091456449</v>
      </c>
      <c r="J14" s="46">
        <f>IFERROR(HistoricalFS!J28,0)</f>
        <v>0.15379938577037588</v>
      </c>
      <c r="K14" s="46">
        <f>IFERROR(HistoricalFS!K28,0)</f>
        <v>0.15126801735890258</v>
      </c>
      <c r="L14" s="46">
        <f>IFERROR(HistoricalFS!L28,0)</f>
        <v>0.13589331923913625</v>
      </c>
      <c r="N14" s="47">
        <f t="shared" si="2"/>
        <v>0.16799121506326539</v>
      </c>
      <c r="O14" s="47">
        <f t="shared" si="1"/>
        <v>0.17398646671600054</v>
      </c>
    </row>
    <row r="15" spans="2:15" x14ac:dyDescent="0.35">
      <c r="B15" s="48" t="s">
        <v>126</v>
      </c>
      <c r="C15" s="50">
        <f>IFERROR(HistoricalFS!C34,0)</f>
        <v>0.133259037027325</v>
      </c>
      <c r="D15" s="50">
        <f>IFERROR(HistoricalFS!D34,0)</f>
        <v>0.12929248882590216</v>
      </c>
      <c r="E15" s="50">
        <f>IFERROR(HistoricalFS!E34,0)</f>
        <v>0.1381611919423455</v>
      </c>
      <c r="F15" s="50">
        <f>IFERROR(HistoricalFS!F34,0)</f>
        <v>0.14380052119849807</v>
      </c>
      <c r="G15" s="50">
        <f>IFERROR(HistoricalFS!G34,0)</f>
        <v>0.14308365113579832</v>
      </c>
      <c r="H15" s="50">
        <f>IFERROR(HistoricalFS!H34,0)</f>
        <v>0.14324515120298256</v>
      </c>
      <c r="I15" s="50">
        <f>IFERROR(HistoricalFS!I34,0)</f>
        <v>0.13170926136134048</v>
      </c>
      <c r="J15" s="50">
        <f>IFERROR(HistoricalFS!J34,0)</f>
        <v>0.10892905309590978</v>
      </c>
      <c r="K15" s="50">
        <f>IFERROR(HistoricalFS!K34,0)</f>
        <v>0.10713470885624903</v>
      </c>
      <c r="L15" s="50">
        <f>IFERROR(HistoricalFS!L34,0)</f>
        <v>9.4703611929867593E-2</v>
      </c>
      <c r="M15" s="49"/>
      <c r="N15" s="51">
        <f t="shared" si="2"/>
        <v>0.12733186765762186</v>
      </c>
      <c r="O15" s="51">
        <f t="shared" si="1"/>
        <v>0.13248414919433274</v>
      </c>
    </row>
    <row r="16" spans="2:15" x14ac:dyDescent="0.35">
      <c r="B16" s="52"/>
      <c r="C16" s="52"/>
    </row>
    <row r="17" spans="2:15" x14ac:dyDescent="0.35">
      <c r="B17" s="41" t="s">
        <v>144</v>
      </c>
      <c r="C17" s="43">
        <f>IFERROR(HistoricalFS!C16,0)</f>
        <v>0.19714614777509556</v>
      </c>
      <c r="D17" s="43">
        <f>IFERROR(HistoricalFS!D16,0)</f>
        <v>0.17603390778857281</v>
      </c>
      <c r="E17" s="43">
        <f>IFERROR(HistoricalFS!E16,0)</f>
        <v>0.16689264878235138</v>
      </c>
      <c r="F17" s="43">
        <f>IFERROR(HistoricalFS!F16,0)</f>
        <v>0.15542002985323528</v>
      </c>
      <c r="G17" s="43">
        <f>IFERROR(HistoricalFS!G16,0)</f>
        <v>0.15827829363105436</v>
      </c>
      <c r="H17" s="43">
        <f>IFERROR(HistoricalFS!H16,0)</f>
        <v>0.15861592925907142</v>
      </c>
      <c r="I17" s="43">
        <f>IFERROR(HistoricalFS!I16,0)</f>
        <v>0.15079330093271176</v>
      </c>
      <c r="J17" s="43">
        <f>IFERROR(HistoricalFS!J16,0)</f>
        <v>0.14113144184376436</v>
      </c>
      <c r="K17" s="43">
        <f>IFERROR(HistoricalFS!K16,0)</f>
        <v>0.1603884550238189</v>
      </c>
      <c r="L17" s="43">
        <f>IFERROR(HistoricalFS!L16,0)</f>
        <v>0.1926803039698036</v>
      </c>
      <c r="M17" s="42"/>
      <c r="N17" s="44">
        <f t="shared" ref="N17:N19" si="3">IFERROR(AVERAGE(C17:L17),0)</f>
        <v>0.16573804588594793</v>
      </c>
      <c r="O17" s="44">
        <f t="shared" si="1"/>
        <v>0.15950219214144518</v>
      </c>
    </row>
    <row r="18" spans="2:15" x14ac:dyDescent="0.35">
      <c r="B18" s="45" t="s">
        <v>68</v>
      </c>
      <c r="C18" s="46">
        <f>IFERROR(HistoricalFS!C25,0)</f>
        <v>1.7120285462346684E-2</v>
      </c>
      <c r="D18" s="46">
        <f>IFERROR(HistoricalFS!D25,0)</f>
        <v>1.8763815755773558E-2</v>
      </c>
      <c r="E18" s="46">
        <f>IFERROR(HistoricalFS!E25,0)</f>
        <v>2.1002738980943687E-2</v>
      </c>
      <c r="F18" s="46">
        <f>IFERROR(HistoricalFS!F25,0)</f>
        <v>2.0775127158105883E-2</v>
      </c>
      <c r="G18" s="46">
        <f>IFERROR(HistoricalFS!G25,0)</f>
        <v>2.5383896166104754E-2</v>
      </c>
      <c r="H18" s="46">
        <f>IFERROR(HistoricalFS!H25,0)</f>
        <v>2.5113866330601937E-2</v>
      </c>
      <c r="I18" s="46">
        <f>IFERROR(HistoricalFS!I25,0)</f>
        <v>2.322503737826807E-2</v>
      </c>
      <c r="J18" s="46">
        <f>IFERROR(HistoricalFS!J25,0)</f>
        <v>2.6969901707648555E-2</v>
      </c>
      <c r="K18" s="46">
        <f>IFERROR(HistoricalFS!K25,0)</f>
        <v>3.2183946965537752E-2</v>
      </c>
      <c r="L18" s="46">
        <f>IFERROR(HistoricalFS!L25,0)</f>
        <v>3.5468980959302211E-2</v>
      </c>
      <c r="N18" s="47">
        <f t="shared" si="3"/>
        <v>2.460075968646331E-2</v>
      </c>
      <c r="O18" s="47">
        <f t="shared" si="1"/>
        <v>2.4169451854435003E-2</v>
      </c>
    </row>
    <row r="19" spans="2:15" x14ac:dyDescent="0.35">
      <c r="B19" s="48" t="s">
        <v>145</v>
      </c>
      <c r="C19" s="50">
        <f>C13</f>
        <v>0.17803991434072944</v>
      </c>
      <c r="D19" s="50">
        <f t="shared" ref="D19:L19" si="4">D13</f>
        <v>0.17977721416572215</v>
      </c>
      <c r="E19" s="50">
        <f t="shared" si="4"/>
        <v>0.1884600192958942</v>
      </c>
      <c r="F19" s="50">
        <f t="shared" si="4"/>
        <v>0.18351871229443595</v>
      </c>
      <c r="G19" s="50">
        <f t="shared" si="4"/>
        <v>0.18099656404871123</v>
      </c>
      <c r="H19" s="50">
        <f t="shared" si="4"/>
        <v>0.1842297093074938</v>
      </c>
      <c r="I19" s="50">
        <f t="shared" si="4"/>
        <v>0.1835961751102981</v>
      </c>
      <c r="J19" s="50">
        <f t="shared" si="4"/>
        <v>0.16058522674544157</v>
      </c>
      <c r="K19" s="50">
        <f t="shared" si="4"/>
        <v>0.16127929596960991</v>
      </c>
      <c r="L19" s="50">
        <f t="shared" si="4"/>
        <v>0.14890763339274019</v>
      </c>
      <c r="M19" s="49"/>
      <c r="N19" s="51">
        <f t="shared" si="3"/>
        <v>0.17493904646710765</v>
      </c>
      <c r="O19" s="51">
        <f t="shared" si="1"/>
        <v>0.18038688910721667</v>
      </c>
    </row>
    <row r="20" spans="2:15" x14ac:dyDescent="0.35">
      <c r="B20" s="52"/>
      <c r="C20" s="52"/>
    </row>
    <row r="21" spans="2:15" x14ac:dyDescent="0.35">
      <c r="B21" s="41" t="s">
        <v>127</v>
      </c>
      <c r="C21" s="43">
        <f>IFERROR((HistoricalFS!C18-HistoricalFS!C24)/(SUM(HistoricalFS!C47:C49)),0)</f>
        <v>0.27836360968923762</v>
      </c>
      <c r="D21" s="43">
        <f>IFERROR((HistoricalFS!D18-HistoricalFS!D24)/(SUM(HistoricalFS!D47:D49)),0)</f>
        <v>0.23508387449140311</v>
      </c>
      <c r="E21" s="43">
        <f>IFERROR((HistoricalFS!E18-HistoricalFS!E24)/(SUM(HistoricalFS!E47:E49)),0)</f>
        <v>0.21903008830377593</v>
      </c>
      <c r="F21" s="43">
        <f>IFERROR((HistoricalFS!F18-HistoricalFS!F24)/(SUM(HistoricalFS!F47:F49)),0)</f>
        <v>0.24682477630092942</v>
      </c>
      <c r="G21" s="43">
        <f>IFERROR((HistoricalFS!G18-HistoricalFS!G24)/(SUM(HistoricalFS!G47:G49)),0)</f>
        <v>0.22053133251212859</v>
      </c>
      <c r="H21" s="43">
        <f>IFERROR((HistoricalFS!H18-HistoricalFS!H24)/(SUM(HistoricalFS!H47:H49)),0)</f>
        <v>0.21554244125791189</v>
      </c>
      <c r="I21" s="43">
        <f>IFERROR((HistoricalFS!I18-HistoricalFS!I24)/(SUM(HistoricalFS!I47:I49)),0)</f>
        <v>0.21241473107082906</v>
      </c>
      <c r="J21" s="43">
        <f>IFERROR((HistoricalFS!J18-HistoricalFS!J24)/(SUM(HistoricalFS!J47:J49)),0)</f>
        <v>0.18246978185778126</v>
      </c>
      <c r="K21" s="43">
        <f>IFERROR((HistoricalFS!K18-HistoricalFS!K24)/(SUM(HistoricalFS!K47:K49)),0)</f>
        <v>0.17811775746368</v>
      </c>
      <c r="L21" s="43">
        <f>IFERROR((HistoricalFS!L18-HistoricalFS!L24)/(SUM(HistoricalFS!L47:L49)),0)</f>
        <v>0.15919755324200544</v>
      </c>
      <c r="M21" s="42"/>
      <c r="N21" s="44">
        <f t="shared" ref="N21:N25" si="5">IFERROR(AVERAGE(C21:L21),0)</f>
        <v>0.21475759461896823</v>
      </c>
      <c r="O21" s="44">
        <f t="shared" si="1"/>
        <v>0.2172862647808439</v>
      </c>
    </row>
    <row r="22" spans="2:15" x14ac:dyDescent="0.35">
      <c r="B22" s="45" t="s">
        <v>128</v>
      </c>
      <c r="C22" s="46">
        <f>IFERROR(HistoricalFS!C44,0)</f>
        <v>0.61821531575850486</v>
      </c>
      <c r="D22" s="46">
        <f>IFERROR(HistoricalFS!D44,0)</f>
        <v>0.59737093398890706</v>
      </c>
      <c r="E22" s="46">
        <f>IFERROR(HistoricalFS!E44,0)</f>
        <v>0</v>
      </c>
      <c r="F22" s="46">
        <f>IFERROR(HistoricalFS!F44,0)</f>
        <v>0.60331084723061568</v>
      </c>
      <c r="G22" s="46">
        <f>IFERROR(HistoricalFS!G44,0)</f>
        <v>0.57338065232611446</v>
      </c>
      <c r="H22" s="46">
        <f>IFERROR(HistoricalFS!H44,0)</f>
        <v>0.38705956222712123</v>
      </c>
      <c r="I22" s="46">
        <f>IFERROR(HistoricalFS!I44,0)</f>
        <v>0.35898168937481745</v>
      </c>
      <c r="J22" s="46">
        <f>IFERROR(HistoricalFS!J44,0)</f>
        <v>0.26641400066882126</v>
      </c>
      <c r="K22" s="46">
        <f>IFERROR(HistoricalFS!K44,0)</f>
        <v>0.26661148318157946</v>
      </c>
      <c r="L22" s="46">
        <f>IFERROR(HistoricalFS!L44,0)</f>
        <v>0</v>
      </c>
      <c r="N22" s="47">
        <f t="shared" si="5"/>
        <v>0.36713444847564813</v>
      </c>
      <c r="O22" s="47">
        <f t="shared" si="1"/>
        <v>0.37302062580096934</v>
      </c>
    </row>
    <row r="23" spans="2:15" x14ac:dyDescent="0.35">
      <c r="B23" s="45" t="s">
        <v>129</v>
      </c>
      <c r="C23" s="46">
        <f>IFERROR(HistoricalFS!C33/SUM(HistoricalFS!C47:C48),0)</f>
        <v>0.24857514847947884</v>
      </c>
      <c r="D23" s="46">
        <f>IFERROR(HistoricalFS!D33/SUM(HistoricalFS!D47:D48),0)</f>
        <v>0.20307423169994587</v>
      </c>
      <c r="E23" s="46">
        <f>IFERROR(HistoricalFS!E33/SUM(HistoricalFS!E47:E48),0)</f>
        <v>0.18695457126234563</v>
      </c>
      <c r="F23" s="46">
        <f>IFERROR(HistoricalFS!F33/SUM(HistoricalFS!F47:F48),0)</f>
        <v>0.21742357520313638</v>
      </c>
      <c r="G23" s="46">
        <f>IFERROR(HistoricalFS!G33/SUM(HistoricalFS!G47:G48),0)</f>
        <v>0.18811338606517042</v>
      </c>
      <c r="H23" s="46">
        <f>IFERROR(HistoricalFS!H33/SUM(HistoricalFS!H47:H48),0)</f>
        <v>0.17872442594992102</v>
      </c>
      <c r="I23" s="46">
        <f>IFERROR(HistoricalFS!I33/SUM(HistoricalFS!I47:I48),0)</f>
        <v>0.17111188001861294</v>
      </c>
      <c r="J23" s="46">
        <f>IFERROR(HistoricalFS!J33/SUM(HistoricalFS!J47:J48),0)</f>
        <v>0.13996473968212211</v>
      </c>
      <c r="K23" s="46">
        <f>IFERROR(HistoricalFS!K33/SUM(HistoricalFS!K47:K48),0)</f>
        <v>0.1346908162127648</v>
      </c>
      <c r="L23" s="46">
        <f>IFERROR(HistoricalFS!L33/SUM(HistoricalFS!L47:L48),0)</f>
        <v>0.11015685109006927</v>
      </c>
      <c r="N23" s="47">
        <f t="shared" si="5"/>
        <v>0.17787896256635671</v>
      </c>
      <c r="O23" s="47">
        <f t="shared" si="1"/>
        <v>0.18283949860613333</v>
      </c>
    </row>
    <row r="24" spans="2:15" x14ac:dyDescent="0.35">
      <c r="B24" s="45" t="s">
        <v>130</v>
      </c>
      <c r="C24" s="46">
        <f>IFERROR(C22*C23,0)</f>
        <v>0.15367296390695825</v>
      </c>
      <c r="D24" s="46">
        <f t="shared" ref="D24:L24" si="6">IFERROR(D22*D23,0)</f>
        <v>0.12131064345967639</v>
      </c>
      <c r="E24" s="46">
        <f t="shared" si="6"/>
        <v>0</v>
      </c>
      <c r="F24" s="46">
        <f t="shared" si="6"/>
        <v>0.13117400136371368</v>
      </c>
      <c r="G24" s="46">
        <f t="shared" si="6"/>
        <v>0.10786057601332162</v>
      </c>
      <c r="H24" s="46">
        <f t="shared" si="6"/>
        <v>6.9176998067469977E-2</v>
      </c>
      <c r="I24" s="46">
        <f t="shared" si="6"/>
        <v>6.1426031761182741E-2</v>
      </c>
      <c r="J24" s="46">
        <f t="shared" si="6"/>
        <v>3.7288566251284273E-2</v>
      </c>
      <c r="K24" s="46">
        <f t="shared" si="6"/>
        <v>3.5910118281422751E-2</v>
      </c>
      <c r="L24" s="46">
        <f t="shared" si="6"/>
        <v>0</v>
      </c>
      <c r="N24" s="47">
        <f t="shared" si="5"/>
        <v>7.1781989910502983E-2</v>
      </c>
      <c r="O24" s="47">
        <f t="shared" si="1"/>
        <v>6.5301514914326356E-2</v>
      </c>
    </row>
    <row r="25" spans="2:15" x14ac:dyDescent="0.35">
      <c r="B25" s="48" t="s">
        <v>131</v>
      </c>
      <c r="C25" s="53">
        <f>(HistoricalFS!C18-HistoricalFS!C24)/HistoricalFS!C21</f>
        <v>28.57033828382837</v>
      </c>
      <c r="D25" s="53">
        <f>(HistoricalFS!D18-HistoricalFS!D24)/HistoricalFS!D21</f>
        <v>25.333148250971689</v>
      </c>
      <c r="E25" s="53">
        <f>(HistoricalFS!E18-HistoricalFS!E24)/HistoricalFS!E21</f>
        <v>27.431856738925557</v>
      </c>
      <c r="F25" s="53">
        <f>(HistoricalFS!F18-HistoricalFS!F24)/HistoricalFS!F21</f>
        <v>26.227928835179576</v>
      </c>
      <c r="G25" s="53">
        <f>(HistoricalFS!G18-HistoricalFS!G24)/HistoricalFS!G21</f>
        <v>31.729713362939027</v>
      </c>
      <c r="H25" s="53">
        <f>(HistoricalFS!H18-HistoricalFS!H24)/HistoricalFS!H21</f>
        <v>57.174294060369952</v>
      </c>
      <c r="I25" s="53">
        <f>(HistoricalFS!I18-HistoricalFS!I24)/HistoricalFS!I21</f>
        <v>51.790673575129553</v>
      </c>
      <c r="J25" s="53">
        <f>(HistoricalFS!J18-HistoricalFS!J24)/HistoricalFS!J21</f>
        <v>23.664749488752548</v>
      </c>
      <c r="K25" s="53">
        <f>(HistoricalFS!K18-HistoricalFS!K24)/HistoricalFS!K21</f>
        <v>16.109760025769052</v>
      </c>
      <c r="L25" s="53">
        <f>(HistoricalFS!L18-HistoricalFS!L24)/HistoricalFS!L21</f>
        <v>11.441834862385322</v>
      </c>
      <c r="M25" s="49"/>
      <c r="N25" s="51">
        <f t="shared" si="5"/>
        <v>29.947429748425066</v>
      </c>
      <c r="O25" s="51">
        <f t="shared" si="1"/>
        <v>26.829892787052565</v>
      </c>
    </row>
    <row r="26" spans="2:15" x14ac:dyDescent="0.35">
      <c r="B26" s="52"/>
      <c r="C26" s="52"/>
    </row>
    <row r="27" spans="2:15" x14ac:dyDescent="0.35">
      <c r="B27" s="41" t="s">
        <v>132</v>
      </c>
      <c r="C27" s="54">
        <f>IFERROR(HistoricalFS!C6/HistoricalFS!C59,0)</f>
        <v>9.6140138408304487</v>
      </c>
      <c r="D27" s="54">
        <f>HistoricalFS!D6/HistoricalFS!D59</f>
        <v>11.705651732726547</v>
      </c>
      <c r="E27" s="54">
        <f>HistoricalFS!E6/HistoricalFS!E59</f>
        <v>10.936225356900067</v>
      </c>
      <c r="F27" s="54">
        <f>HistoricalFS!F6/HistoricalFS!F59</f>
        <v>10.215209463026058</v>
      </c>
      <c r="G27" s="54">
        <f>HistoricalFS!G6/HistoricalFS!G59</f>
        <v>10.670532872992665</v>
      </c>
      <c r="H27" s="54">
        <f>HistoricalFS!H6/HistoricalFS!H59</f>
        <v>17.026336407991735</v>
      </c>
      <c r="I27" s="54">
        <f>HistoricalFS!I6/HistoricalFS!I59</f>
        <v>16.851628878743327</v>
      </c>
      <c r="J27" s="54">
        <f>HistoricalFS!J6/HistoricalFS!J59</f>
        <v>13.584553755522826</v>
      </c>
      <c r="K27" s="54">
        <f>HistoricalFS!K6/HistoricalFS!K59</f>
        <v>13.801862649100944</v>
      </c>
      <c r="L27" s="54">
        <f>HistoricalFS!L6/HistoricalFS!L59</f>
        <v>14.139662352279123</v>
      </c>
      <c r="M27" s="42"/>
      <c r="N27" s="54">
        <f t="shared" ref="N27:N31" si="7">IFERROR(AVERAGE(C27:L27),0)</f>
        <v>12.854567731011372</v>
      </c>
      <c r="O27" s="54">
        <f t="shared" si="1"/>
        <v>12.645102744124687</v>
      </c>
    </row>
    <row r="28" spans="2:15" x14ac:dyDescent="0.35">
      <c r="B28" s="45" t="s">
        <v>133</v>
      </c>
      <c r="C28" s="55">
        <f>IFERROR(HistoricalFS!C6/HistoricalFS!C50,0)</f>
        <v>3.9763758197161212</v>
      </c>
      <c r="D28" s="55">
        <f>HistoricalFS!D6/HistoricalFS!D50</f>
        <v>3.9864858496740583</v>
      </c>
      <c r="E28" s="55">
        <f>HistoricalFS!E6/HistoricalFS!E50</f>
        <v>3.7529890353435205</v>
      </c>
      <c r="F28" s="55">
        <f>HistoricalFS!F6/HistoricalFS!F50</f>
        <v>4.0439924201767674</v>
      </c>
      <c r="G28" s="55">
        <f>HistoricalFS!G6/HistoricalFS!G50</f>
        <v>3.9317650893681746</v>
      </c>
      <c r="H28" s="55">
        <f>HistoricalFS!H6/HistoricalFS!H50</f>
        <v>3.5937541108684781</v>
      </c>
      <c r="I28" s="55">
        <f>HistoricalFS!I6/HistoricalFS!I50</f>
        <v>3.7907159716758461</v>
      </c>
      <c r="J28" s="55">
        <f>HistoricalFS!J6/HistoricalFS!J50</f>
        <v>3.2893390733275703</v>
      </c>
      <c r="K28" s="55">
        <f>HistoricalFS!K6/HistoricalFS!K50</f>
        <v>3.1928200217762304</v>
      </c>
      <c r="L28" s="55">
        <f>HistoricalFS!L6/HistoricalFS!L50</f>
        <v>2.8034977082133881</v>
      </c>
      <c r="N28" s="55">
        <f t="shared" si="7"/>
        <v>3.6361735100140153</v>
      </c>
      <c r="O28" s="55">
        <f t="shared" si="1"/>
        <v>3.7718525035096833</v>
      </c>
    </row>
    <row r="29" spans="2:15" x14ac:dyDescent="0.35">
      <c r="B29" s="45" t="s">
        <v>134</v>
      </c>
      <c r="C29" s="55">
        <f>IFERROR(HistoricalFS!C6/HistoricalFS!C60,0)</f>
        <v>7.0949931600547194</v>
      </c>
      <c r="D29" s="55">
        <f>IFERROR(HistoricalFS!D6/HistoricalFS!D60,0)</f>
        <v>6.8794806227466996</v>
      </c>
      <c r="E29" s="55">
        <f>IFERROR(HistoricalFS!E6/HistoricalFS!E60,0)</f>
        <v>6.1470887930073719</v>
      </c>
      <c r="F29" s="55">
        <f>IFERROR(HistoricalFS!F6/HistoricalFS!F60,0)</f>
        <v>6.5473230144633341</v>
      </c>
      <c r="G29" s="55">
        <f>IFERROR(HistoricalFS!G6/HistoricalFS!G60,0)</f>
        <v>6.2951789325659444</v>
      </c>
      <c r="H29" s="55">
        <f>IFERROR(HistoricalFS!H6/HistoricalFS!H60,0)</f>
        <v>5.5133254145812671</v>
      </c>
      <c r="I29" s="55">
        <f>IFERROR(HistoricalFS!I6/HistoricalFS!I60,0)</f>
        <v>5.6967933994987892</v>
      </c>
      <c r="J29" s="55">
        <f>IFERROR(HistoricalFS!J6/HistoricalFS!J60,0)</f>
        <v>5.6960231202450347</v>
      </c>
      <c r="K29" s="55">
        <f>IFERROR(HistoricalFS!K6/HistoricalFS!K60,0)</f>
        <v>6.3709302146412119</v>
      </c>
      <c r="L29" s="55">
        <f>IFERROR(HistoricalFS!L6/HistoricalFS!L60,0)</f>
        <v>5.4619518196955799</v>
      </c>
      <c r="N29" s="55">
        <f t="shared" si="7"/>
        <v>6.1703088491499951</v>
      </c>
      <c r="O29" s="55">
        <f t="shared" si="1"/>
        <v>6.2211338627866581</v>
      </c>
    </row>
    <row r="30" spans="2:15" x14ac:dyDescent="0.35">
      <c r="B30" s="45" t="s">
        <v>135</v>
      </c>
      <c r="C30" s="55">
        <f>IFERROR(HistoricalFS!C6/HistoricalFS!C53,0)</f>
        <v>4.6657430730478584</v>
      </c>
      <c r="D30" s="55">
        <f>IFERROR(HistoricalFS!D6/HistoricalFS!D53,0)</f>
        <v>3.88765829248366</v>
      </c>
      <c r="E30" s="55">
        <f>IFERROR(HistoricalFS!E6/HistoricalFS!E53,0)</f>
        <v>3.8074118267746822</v>
      </c>
      <c r="F30" s="55">
        <f>IFERROR(HistoricalFS!F6/HistoricalFS!F53,0)</f>
        <v>4.3243933653621527</v>
      </c>
      <c r="G30" s="55">
        <f>IFERROR(HistoricalFS!G6/HistoricalFS!G53,0)</f>
        <v>3.8552479713052898</v>
      </c>
      <c r="H30" s="55">
        <f>IFERROR(HistoricalFS!H6/HistoricalFS!H53,0)</f>
        <v>4.2630365773188519</v>
      </c>
      <c r="I30" s="55">
        <f>IFERROR(HistoricalFS!I6/HistoricalFS!I53,0)</f>
        <v>4.7180033796958272</v>
      </c>
      <c r="J30" s="55">
        <f>IFERROR(HistoricalFS!J6/HistoricalFS!J53,0)</f>
        <v>3.2218546099786232</v>
      </c>
      <c r="K30" s="55">
        <f>IFERROR(HistoricalFS!K6/HistoricalFS!K53,0)</f>
        <v>3.2513787680209698</v>
      </c>
      <c r="L30" s="55">
        <f>IFERROR(HistoricalFS!L6/HistoricalFS!L53,0)</f>
        <v>3.1468537949587581</v>
      </c>
      <c r="N30" s="55">
        <f t="shared" si="7"/>
        <v>3.9141581658946678</v>
      </c>
      <c r="O30" s="55">
        <f t="shared" si="1"/>
        <v>3.8714531318944747</v>
      </c>
    </row>
    <row r="31" spans="2:15" x14ac:dyDescent="0.35">
      <c r="B31" s="48" t="s">
        <v>136</v>
      </c>
      <c r="C31" s="53">
        <f>IFERROR(HistoricalFS!C6/SUM(HistoricalFS!C47:C48),0)</f>
        <v>1.8653530298925098</v>
      </c>
      <c r="D31" s="53">
        <f>IFERROR(HistoricalFS!D6/SUM(HistoricalFS!D47:D48),0)</f>
        <v>1.5706576116219246</v>
      </c>
      <c r="E31" s="53">
        <f>IFERROR(HistoricalFS!E6/SUM(HistoricalFS!E47:E48),0)</f>
        <v>1.3531626981067273</v>
      </c>
      <c r="F31" s="53">
        <f>IFERROR(HistoricalFS!F6/SUM(HistoricalFS!F47:F48),0)</f>
        <v>1.5119804392295015</v>
      </c>
      <c r="G31" s="53">
        <f>IFERROR(HistoricalFS!G6/SUM(HistoricalFS!G47:G48),0)</f>
        <v>1.3147091549029255</v>
      </c>
      <c r="H31" s="53">
        <f>IFERROR(HistoricalFS!H6/SUM(HistoricalFS!H47:H48),0)</f>
        <v>1.247682203892984</v>
      </c>
      <c r="I31" s="53">
        <f>IFERROR(HistoricalFS!I6/SUM(HistoricalFS!I47:I48),0)</f>
        <v>1.2991636142364549</v>
      </c>
      <c r="J31" s="53">
        <f>IFERROR(HistoricalFS!J6/SUM(HistoricalFS!J47:J48),0)</f>
        <v>1.2849165186342533</v>
      </c>
      <c r="K31" s="53">
        <f>IFERROR(HistoricalFS!K6/SUM(HistoricalFS!K47:K48),0)</f>
        <v>1.2572098963137142</v>
      </c>
      <c r="L31" s="53">
        <f>IFERROR(HistoricalFS!L6/SUM(HistoricalFS!L47:L48),0)</f>
        <v>1.1631747601310658</v>
      </c>
      <c r="M31" s="49"/>
      <c r="N31" s="53">
        <f t="shared" si="7"/>
        <v>1.3868009926962062</v>
      </c>
      <c r="O31" s="53">
        <f t="shared" si="1"/>
        <v>1.3069363845696902</v>
      </c>
    </row>
    <row r="32" spans="2:15" x14ac:dyDescent="0.35">
      <c r="B32" s="52"/>
      <c r="C32" s="52"/>
    </row>
    <row r="33" spans="2:15" x14ac:dyDescent="0.35">
      <c r="B33" s="56" t="s">
        <v>146</v>
      </c>
      <c r="C33" s="56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</row>
    <row r="34" spans="2:15" x14ac:dyDescent="0.35">
      <c r="B34" s="45" t="s">
        <v>137</v>
      </c>
      <c r="C34" s="57">
        <f>IFERROR(365/C27,0)</f>
        <v>37.965412370206415</v>
      </c>
      <c r="D34" s="57">
        <f t="shared" ref="D34:L34" si="8">IFERROR(365/D27,0)</f>
        <v>31.181518836711717</v>
      </c>
      <c r="E34" s="57">
        <f t="shared" si="8"/>
        <v>33.375318090872007</v>
      </c>
      <c r="F34" s="57">
        <f t="shared" si="8"/>
        <v>35.731034328871786</v>
      </c>
      <c r="G34" s="57">
        <f t="shared" si="8"/>
        <v>34.206351673759649</v>
      </c>
      <c r="H34" s="57">
        <f t="shared" si="8"/>
        <v>21.437377440086181</v>
      </c>
      <c r="I34" s="57">
        <f t="shared" si="8"/>
        <v>21.659627245910432</v>
      </c>
      <c r="J34" s="57">
        <f t="shared" si="8"/>
        <v>26.868751566580428</v>
      </c>
      <c r="K34" s="57">
        <f t="shared" si="8"/>
        <v>26.445705864474473</v>
      </c>
      <c r="L34" s="57">
        <f t="shared" si="8"/>
        <v>25.81391202323632</v>
      </c>
      <c r="N34" s="57">
        <f t="shared" ref="N34:N37" si="9">IFERROR(AVERAGE(C34:L34),0)</f>
        <v>29.468500944070939</v>
      </c>
      <c r="O34" s="57">
        <f t="shared" ref="O34:O37" si="10">IFERROR(MEDIAN(C34:L34),0)</f>
        <v>29.025135201646073</v>
      </c>
    </row>
    <row r="35" spans="2:15" x14ac:dyDescent="0.35">
      <c r="B35" s="45" t="s">
        <v>138</v>
      </c>
      <c r="C35" s="57">
        <f>IFERROR(365/C28,0)</f>
        <v>91.792128447772782</v>
      </c>
      <c r="D35" s="57">
        <f t="shared" ref="D35:L35" si="11">IFERROR(365/D28,0)</f>
        <v>91.559336659841151</v>
      </c>
      <c r="E35" s="57">
        <f t="shared" si="11"/>
        <v>97.255813049981541</v>
      </c>
      <c r="F35" s="57">
        <f t="shared" si="11"/>
        <v>90.25734029047598</v>
      </c>
      <c r="G35" s="57">
        <f t="shared" si="11"/>
        <v>92.833623500801423</v>
      </c>
      <c r="H35" s="57">
        <f t="shared" si="11"/>
        <v>101.56510121161098</v>
      </c>
      <c r="I35" s="57">
        <f t="shared" si="11"/>
        <v>96.287878787878782</v>
      </c>
      <c r="J35" s="57">
        <f t="shared" si="11"/>
        <v>110.96454085858582</v>
      </c>
      <c r="K35" s="57">
        <f t="shared" si="11"/>
        <v>114.31900248387416</v>
      </c>
      <c r="L35" s="57">
        <f t="shared" si="11"/>
        <v>130.1945062878639</v>
      </c>
      <c r="N35" s="57">
        <f t="shared" si="9"/>
        <v>101.70292715786864</v>
      </c>
      <c r="O35" s="57">
        <f t="shared" si="10"/>
        <v>96.771845918930154</v>
      </c>
    </row>
    <row r="36" spans="2:15" x14ac:dyDescent="0.35">
      <c r="B36" s="45" t="s">
        <v>139</v>
      </c>
      <c r="C36" s="57">
        <f>IFERROR(365/C29,0)</f>
        <v>51.444728947023393</v>
      </c>
      <c r="D36" s="57">
        <f t="shared" ref="D36:L36" si="12">IFERROR(365/D29,0)</f>
        <v>53.056330850492344</v>
      </c>
      <c r="E36" s="57">
        <f t="shared" si="12"/>
        <v>59.37770093954169</v>
      </c>
      <c r="F36" s="57">
        <f t="shared" si="12"/>
        <v>55.747975041661824</v>
      </c>
      <c r="G36" s="57">
        <f t="shared" si="12"/>
        <v>57.980877733561783</v>
      </c>
      <c r="H36" s="57">
        <f t="shared" si="12"/>
        <v>66.20323898071986</v>
      </c>
      <c r="I36" s="57">
        <f t="shared" si="12"/>
        <v>64.071131670689184</v>
      </c>
      <c r="J36" s="57">
        <f t="shared" si="12"/>
        <v>64.079796077846368</v>
      </c>
      <c r="K36" s="57">
        <f t="shared" si="12"/>
        <v>57.29147670793558</v>
      </c>
      <c r="L36" s="57">
        <f t="shared" si="12"/>
        <v>66.82592817531355</v>
      </c>
      <c r="N36" s="57">
        <f t="shared" si="9"/>
        <v>59.607918512478548</v>
      </c>
      <c r="O36" s="57">
        <f t="shared" si="10"/>
        <v>58.679289336551733</v>
      </c>
    </row>
    <row r="37" spans="2:15" x14ac:dyDescent="0.35">
      <c r="B37" s="48" t="s">
        <v>140</v>
      </c>
      <c r="C37" s="58">
        <f>SUM(C34,C36)-C35</f>
        <v>-2.3819871305429814</v>
      </c>
      <c r="D37" s="58">
        <f t="shared" ref="D37:L37" si="13">SUM(D34,D36)-D35</f>
        <v>-7.3214869726370893</v>
      </c>
      <c r="E37" s="58">
        <f t="shared" si="13"/>
        <v>-4.502794019567844</v>
      </c>
      <c r="F37" s="58">
        <f t="shared" si="13"/>
        <v>1.2216690800576373</v>
      </c>
      <c r="G37" s="58">
        <f t="shared" si="13"/>
        <v>-0.64639409347998367</v>
      </c>
      <c r="H37" s="58">
        <f t="shared" si="13"/>
        <v>-13.924484790804939</v>
      </c>
      <c r="I37" s="58">
        <f t="shared" si="13"/>
        <v>-10.55711987127917</v>
      </c>
      <c r="J37" s="58">
        <f t="shared" si="13"/>
        <v>-20.015993214159025</v>
      </c>
      <c r="K37" s="58">
        <f t="shared" si="13"/>
        <v>-30.581819911464109</v>
      </c>
      <c r="L37" s="58">
        <f t="shared" si="13"/>
        <v>-37.554666089314026</v>
      </c>
      <c r="M37" s="49"/>
      <c r="N37" s="58">
        <f t="shared" si="9"/>
        <v>-12.626507701319152</v>
      </c>
      <c r="O37" s="58">
        <f t="shared" si="10"/>
        <v>-8.9393034219581295</v>
      </c>
    </row>
    <row r="38" spans="2:15" x14ac:dyDescent="0.35">
      <c r="B38" s="52"/>
      <c r="C38" s="52"/>
    </row>
    <row r="39" spans="2:15" x14ac:dyDescent="0.35">
      <c r="B39" s="41" t="s">
        <v>141</v>
      </c>
      <c r="C39" s="43">
        <f>IFERROR(HistoricalFS!C77/HistoricalFS!C6,0)</f>
        <v>0.14293683785666725</v>
      </c>
      <c r="D39" s="43">
        <f>IFERROR(HistoricalFS!D77/HistoricalFS!D6,0)</f>
        <v>0.17271746968250196</v>
      </c>
      <c r="E39" s="43">
        <f>IFERROR(HistoricalFS!E77/HistoricalFS!E6,0)</f>
        <v>0.10748719542596658</v>
      </c>
      <c r="F39" s="43">
        <f>IFERROR(HistoricalFS!F77/HistoricalFS!F6,0)</f>
        <v>0.17392856597600231</v>
      </c>
      <c r="G39" s="43">
        <f>IFERROR(HistoricalFS!G77/HistoricalFS!G6,0)</f>
        <v>0.17916689695830801</v>
      </c>
      <c r="H39" s="43">
        <f>IFERROR(HistoricalFS!H77/HistoricalFS!H6,0)</f>
        <v>0.26187948732697808</v>
      </c>
      <c r="I39" s="43">
        <f>IFERROR(HistoricalFS!I77/HistoricalFS!I6,0)</f>
        <v>0.15667647501809218</v>
      </c>
      <c r="J39" s="43">
        <f>IFERROR(HistoricalFS!J77/HistoricalFS!J6,0)</f>
        <v>0.1151788958957978</v>
      </c>
      <c r="K39" s="43">
        <f>IFERROR(HistoricalFS!K77/HistoricalFS!K6,0)</f>
        <v>0.17050937559708512</v>
      </c>
      <c r="L39" s="43">
        <f>IFERROR(HistoricalFS!L77/HistoricalFS!L6,0)</f>
        <v>0.15720654711539916</v>
      </c>
      <c r="M39" s="42"/>
      <c r="N39" s="44">
        <f t="shared" ref="N39:N41" si="14">IFERROR(AVERAGE(C39:L39),0)</f>
        <v>0.16376877468527984</v>
      </c>
      <c r="O39" s="44">
        <f t="shared" ref="O39:O41" si="15">IFERROR(MEDIAN(C39:L39),0)</f>
        <v>0.16385796135624214</v>
      </c>
    </row>
    <row r="40" spans="2:15" x14ac:dyDescent="0.35">
      <c r="B40" s="45" t="s">
        <v>142</v>
      </c>
      <c r="C40" s="46">
        <f>IFERROR(HistoricalFS!C77/HistoricalFS!C640,0)</f>
        <v>0</v>
      </c>
      <c r="D40" s="46">
        <f>IFERROR(HistoricalFS!D77/HistoricalFS!D640,0)</f>
        <v>0</v>
      </c>
      <c r="E40" s="46">
        <f>IFERROR(HistoricalFS!E77/HistoricalFS!E640,0)</f>
        <v>0</v>
      </c>
      <c r="F40" s="46">
        <f>IFERROR(HistoricalFS!F77/HistoricalFS!F640,0)</f>
        <v>0</v>
      </c>
      <c r="G40" s="46">
        <f>IFERROR(HistoricalFS!G77/HistoricalFS!G640,0)</f>
        <v>0</v>
      </c>
      <c r="H40" s="46">
        <f>IFERROR(HistoricalFS!H77/HistoricalFS!H640,0)</f>
        <v>0</v>
      </c>
      <c r="I40" s="46">
        <f>IFERROR(HistoricalFS!I77/HistoricalFS!I640,0)</f>
        <v>0</v>
      </c>
      <c r="J40" s="46">
        <f>IFERROR(HistoricalFS!J77/HistoricalFS!J640,0)</f>
        <v>0</v>
      </c>
      <c r="K40" s="46">
        <f>IFERROR(HistoricalFS!K77/HistoricalFS!K640,0)</f>
        <v>0</v>
      </c>
      <c r="L40" s="46">
        <f>IFERROR(HistoricalFS!L77/HistoricalFS!L640,0)</f>
        <v>0</v>
      </c>
      <c r="N40" s="47">
        <f t="shared" si="14"/>
        <v>0</v>
      </c>
      <c r="O40" s="47">
        <f t="shared" si="15"/>
        <v>0</v>
      </c>
    </row>
    <row r="41" spans="2:15" x14ac:dyDescent="0.35">
      <c r="B41" s="48" t="s">
        <v>143</v>
      </c>
      <c r="C41" s="50">
        <f>IFERROR(HistoricalFS!C77/HistoricalFS!C49,0)</f>
        <v>1.3809890464717716</v>
      </c>
      <c r="D41" s="50">
        <f>IFERROR(HistoricalFS!D77/HistoricalFS!D49,0)</f>
        <v>1.3487179487179488</v>
      </c>
      <c r="E41" s="50">
        <f>IFERROR(HistoricalFS!E77/HistoricalFS!E49,0)</f>
        <v>0.8852483494917821</v>
      </c>
      <c r="F41" s="50">
        <f>IFERROR(HistoricalFS!F77/HistoricalFS!F49,0)</f>
        <v>2.117620143843745</v>
      </c>
      <c r="G41" s="50">
        <f>IFERROR(HistoricalFS!G77/HistoricalFS!G49,0)</f>
        <v>2.9809000172417095</v>
      </c>
      <c r="H41" s="50">
        <f>IFERROR(HistoricalFS!H77/HistoricalFS!H49,0)</f>
        <v>4.9188700742545084</v>
      </c>
      <c r="I41" s="50">
        <f>IFERROR(HistoricalFS!I77/HistoricalFS!I49,0)</f>
        <v>1.6561498883603536</v>
      </c>
      <c r="J41" s="50">
        <f>IFERROR(HistoricalFS!J77/HistoricalFS!J49,0)</f>
        <v>1.1313778444185076</v>
      </c>
      <c r="K41" s="50">
        <f>IFERROR(HistoricalFS!K77/HistoricalFS!K49,0)</f>
        <v>1.5493483946113444</v>
      </c>
      <c r="L41" s="50">
        <f>IFERROR(HistoricalFS!L77/HistoricalFS!L49,0)</f>
        <v>2.0781379883624274</v>
      </c>
      <c r="M41" s="49"/>
      <c r="N41" s="51">
        <f t="shared" si="14"/>
        <v>2.0047359695774096</v>
      </c>
      <c r="O41" s="51">
        <f t="shared" si="15"/>
        <v>1.602749141485849</v>
      </c>
    </row>
  </sheetData>
  <mergeCells count="1">
    <mergeCell ref="B2:O2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2FC0C62-021D-4720-BDF8-0438A479CBE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  <x14:sparklineGroup displayEmptyCellsAs="gap" xr2:uid="{8EB15D9B-D30F-47BD-A189-06E1A5D15F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F494-F181-4EE5-9F65-31187E38EF37}">
  <dimension ref="B2:W38"/>
  <sheetViews>
    <sheetView showGridLines="0" topLeftCell="I1" zoomScale="95" workbookViewId="0">
      <selection activeCell="L4" sqref="L4"/>
    </sheetView>
  </sheetViews>
  <sheetFormatPr defaultRowHeight="14.5" x14ac:dyDescent="0.35"/>
  <cols>
    <col min="1" max="1" width="1.81640625" customWidth="1"/>
    <col min="2" max="2" width="12.453125" bestFit="1" customWidth="1"/>
    <col min="4" max="4" width="13.6328125" bestFit="1" customWidth="1"/>
    <col min="5" max="5" width="11.7265625" bestFit="1" customWidth="1"/>
    <col min="8" max="8" width="12.453125" bestFit="1" customWidth="1"/>
    <col min="11" max="11" width="14.08984375" customWidth="1"/>
    <col min="14" max="14" width="12.453125" bestFit="1" customWidth="1"/>
    <col min="17" max="17" width="11.81640625" customWidth="1"/>
    <col min="20" max="20" width="12.453125" bestFit="1" customWidth="1"/>
    <col min="23" max="23" width="15.54296875" bestFit="1" customWidth="1"/>
  </cols>
  <sheetData>
    <row r="2" spans="2:23" x14ac:dyDescent="0.35">
      <c r="B2" s="193" t="str">
        <f>'Data Sheet'!B1&amp;" - "&amp;'Data Sheet'!A17&amp; "Forecast"</f>
        <v>DABUR INDIA LTD - SalesForecast</v>
      </c>
      <c r="C2" s="193"/>
      <c r="D2" s="193"/>
      <c r="E2" s="193"/>
      <c r="H2" s="193" t="str">
        <f>'Data Sheet'!B1&amp;" - "&amp;" EBITDA " &amp; "Forecast"</f>
        <v>DABUR INDIA LTD -  EBITDA Forecast</v>
      </c>
      <c r="I2" s="193"/>
      <c r="J2" s="193"/>
      <c r="K2" s="193"/>
      <c r="N2" s="193" t="str">
        <f>'Data Sheet'!B1&amp;" - "&amp;" EPS " &amp; "Forecast"</f>
        <v>DABUR INDIA LTD -  EPS Forecast</v>
      </c>
      <c r="O2" s="193"/>
      <c r="P2" s="193"/>
      <c r="Q2" s="193"/>
      <c r="T2" s="194" t="str">
        <f>'Data Sheet'!B1&amp;" - "&amp;"Net Profit"</f>
        <v>DABUR INDIA LTD - Net Profit</v>
      </c>
      <c r="U2" s="194"/>
      <c r="V2" s="194"/>
      <c r="W2" s="194"/>
    </row>
    <row r="3" spans="2:23" x14ac:dyDescent="0.35">
      <c r="B3" s="59" t="s">
        <v>150</v>
      </c>
      <c r="C3" s="59" t="s">
        <v>151</v>
      </c>
      <c r="D3" s="59" t="s">
        <v>152</v>
      </c>
      <c r="E3" s="59" t="s">
        <v>153</v>
      </c>
      <c r="H3" s="59" t="s">
        <v>150</v>
      </c>
      <c r="I3" s="59" t="s">
        <v>151</v>
      </c>
      <c r="J3" s="59" t="s">
        <v>65</v>
      </c>
      <c r="K3" s="59" t="s">
        <v>117</v>
      </c>
      <c r="N3" s="191" t="s">
        <v>150</v>
      </c>
      <c r="O3" s="191" t="s">
        <v>151</v>
      </c>
      <c r="P3" s="191" t="s">
        <v>177</v>
      </c>
      <c r="Q3" s="191" t="s">
        <v>178</v>
      </c>
      <c r="T3" s="59" t="s">
        <v>150</v>
      </c>
      <c r="U3" s="59" t="s">
        <v>151</v>
      </c>
      <c r="V3" s="59" t="s">
        <v>73</v>
      </c>
      <c r="W3" s="59" t="s">
        <v>119</v>
      </c>
    </row>
    <row r="4" spans="2:23" x14ac:dyDescent="0.35">
      <c r="B4">
        <v>1</v>
      </c>
      <c r="C4" s="60">
        <f>2016</f>
        <v>2016</v>
      </c>
      <c r="D4" s="135">
        <f t="array" ref="D4:D13">TRANSPOSE('Data Sheet'!B17:K17)</f>
        <v>7779.66</v>
      </c>
      <c r="H4">
        <v>1</v>
      </c>
      <c r="I4">
        <v>2016</v>
      </c>
      <c r="J4">
        <f t="array" ref="J4:J13">TRANSPOSE(HistoricalFS!C18:L18)</f>
        <v>1518.2799999999993</v>
      </c>
      <c r="N4" s="72">
        <v>1</v>
      </c>
      <c r="O4" s="72">
        <v>2016</v>
      </c>
      <c r="P4" s="166">
        <f t="array" ref="P4:P13">TRANSPOSE(HistoricalFS!C38:L38)</f>
        <v>5.8934114035586331</v>
      </c>
      <c r="Q4" s="72"/>
      <c r="T4">
        <v>1</v>
      </c>
      <c r="U4">
        <v>2016</v>
      </c>
      <c r="V4" cm="1">
        <f t="array" ref="V4:V13">TRANSPOSE(HistoricalFS!C33:L33)</f>
        <v>1036.7099999999991</v>
      </c>
    </row>
    <row r="5" spans="2:23" x14ac:dyDescent="0.35">
      <c r="B5">
        <f>B4+1</f>
        <v>2</v>
      </c>
      <c r="C5" s="60">
        <f>C4+1</f>
        <v>2017</v>
      </c>
      <c r="D5" s="135">
        <v>7613.59</v>
      </c>
      <c r="E5" s="13">
        <f>D5/D4-1</f>
        <v>-2.1346691243576132E-2</v>
      </c>
      <c r="H5">
        <f>H4+1</f>
        <v>2</v>
      </c>
      <c r="I5">
        <f>I4+1</f>
        <v>2017</v>
      </c>
      <c r="J5">
        <v>1511.6100000000006</v>
      </c>
      <c r="K5" s="13">
        <f>J5/J4-1</f>
        <v>-4.3931290671014311E-3</v>
      </c>
      <c r="N5" s="72">
        <f>N4+1</f>
        <v>2</v>
      </c>
      <c r="O5" s="72">
        <f>O4+1</f>
        <v>2017</v>
      </c>
      <c r="P5" s="166">
        <v>5.5883054215157566</v>
      </c>
      <c r="Q5" s="83">
        <f>P5/P4-1</f>
        <v>-5.177069122624689E-2</v>
      </c>
      <c r="T5">
        <f>T4+1</f>
        <v>2</v>
      </c>
      <c r="U5">
        <f>U4+1</f>
        <v>2017</v>
      </c>
      <c r="V5">
        <v>984.38000000000056</v>
      </c>
      <c r="W5" s="13">
        <f>V5/V4-1</f>
        <v>-5.0476989707824327E-2</v>
      </c>
    </row>
    <row r="6" spans="2:23" x14ac:dyDescent="0.35">
      <c r="B6">
        <f t="shared" ref="B6:B13" si="0">B5+1</f>
        <v>3</v>
      </c>
      <c r="C6" s="60">
        <f t="shared" ref="C6:C13" si="1">C5+1</f>
        <v>2018</v>
      </c>
      <c r="D6" s="135">
        <v>7721.85</v>
      </c>
      <c r="E6" s="13">
        <f t="shared" ref="E6:E16" si="2">D6/D5-1</f>
        <v>1.4219310469830937E-2</v>
      </c>
      <c r="H6">
        <f t="shared" ref="H6:H16" si="3">H5+1</f>
        <v>3</v>
      </c>
      <c r="I6">
        <f t="shared" ref="I6:I16" si="4">I5+1</f>
        <v>2018</v>
      </c>
      <c r="J6">
        <v>1617.4400000000007</v>
      </c>
      <c r="K6" s="13">
        <f t="shared" ref="K6:K16" si="5">J6/J5-1</f>
        <v>7.0011444750960994E-2</v>
      </c>
      <c r="N6" s="72">
        <f t="shared" ref="N6:N16" si="6">N5+1</f>
        <v>3</v>
      </c>
      <c r="O6" s="72">
        <f t="shared" ref="O6:O16" si="7">O5+1</f>
        <v>2018</v>
      </c>
      <c r="P6" s="166">
        <v>6.0565427192733496</v>
      </c>
      <c r="Q6" s="83">
        <f t="shared" ref="Q6:Q16" si="8">P6/P5-1</f>
        <v>8.3788780755399417E-2</v>
      </c>
      <c r="T6">
        <f t="shared" ref="T6:T16" si="9">T5+1</f>
        <v>3</v>
      </c>
      <c r="U6">
        <f t="shared" ref="U6:U16" si="10">U5+1</f>
        <v>2018</v>
      </c>
      <c r="V6">
        <v>1066.8600000000006</v>
      </c>
      <c r="W6" s="13">
        <f t="shared" ref="W6:W16" si="11">V6/V5-1</f>
        <v>8.3788780755399417E-2</v>
      </c>
    </row>
    <row r="7" spans="2:23" x14ac:dyDescent="0.35">
      <c r="B7">
        <f t="shared" si="0"/>
        <v>4</v>
      </c>
      <c r="C7" s="60">
        <f t="shared" si="1"/>
        <v>2019</v>
      </c>
      <c r="D7" s="135">
        <v>8514.99</v>
      </c>
      <c r="E7" s="13">
        <f t="shared" si="2"/>
        <v>0.10271372792789291</v>
      </c>
      <c r="H7">
        <f t="shared" si="3"/>
        <v>4</v>
      </c>
      <c r="I7">
        <f t="shared" si="4"/>
        <v>2019</v>
      </c>
      <c r="J7">
        <v>1739.5599999999993</v>
      </c>
      <c r="K7" s="13">
        <f t="shared" si="5"/>
        <v>7.5502027895933299E-2</v>
      </c>
      <c r="N7" s="72">
        <f t="shared" si="6"/>
        <v>4</v>
      </c>
      <c r="O7" s="72">
        <f t="shared" si="7"/>
        <v>2019</v>
      </c>
      <c r="P7" s="166">
        <v>6.9323444488478696</v>
      </c>
      <c r="Q7" s="83">
        <f t="shared" si="8"/>
        <v>0.1446042354803363</v>
      </c>
      <c r="T7">
        <f t="shared" si="9"/>
        <v>4</v>
      </c>
      <c r="U7">
        <f t="shared" si="10"/>
        <v>2019</v>
      </c>
      <c r="V7">
        <v>1224.4599999999991</v>
      </c>
      <c r="W7" s="13">
        <f t="shared" si="11"/>
        <v>0.14772322516543723</v>
      </c>
    </row>
    <row r="8" spans="2:23" x14ac:dyDescent="0.35">
      <c r="B8">
        <f t="shared" si="0"/>
        <v>5</v>
      </c>
      <c r="C8" s="60">
        <f t="shared" si="1"/>
        <v>2020</v>
      </c>
      <c r="D8" s="135">
        <v>8684.64</v>
      </c>
      <c r="E8" s="13">
        <f t="shared" si="2"/>
        <v>1.9923687520478461E-2</v>
      </c>
      <c r="H8">
        <f t="shared" si="3"/>
        <v>5</v>
      </c>
      <c r="I8">
        <f t="shared" si="4"/>
        <v>2020</v>
      </c>
      <c r="J8">
        <v>1792.3399999999995</v>
      </c>
      <c r="K8" s="13">
        <f t="shared" si="5"/>
        <v>3.0341005771574503E-2</v>
      </c>
      <c r="N8" s="72">
        <f t="shared" si="6"/>
        <v>5</v>
      </c>
      <c r="O8" s="72">
        <f t="shared" si="7"/>
        <v>2020</v>
      </c>
      <c r="P8" s="166">
        <v>7.0320298794635239</v>
      </c>
      <c r="Q8" s="83">
        <f t="shared" si="8"/>
        <v>1.4379757288635719E-2</v>
      </c>
      <c r="T8">
        <f t="shared" si="9"/>
        <v>5</v>
      </c>
      <c r="U8">
        <f t="shared" si="10"/>
        <v>2020</v>
      </c>
      <c r="V8">
        <v>1242.6299999999994</v>
      </c>
      <c r="W8" s="13">
        <f t="shared" si="11"/>
        <v>1.4839194420397828E-2</v>
      </c>
    </row>
    <row r="9" spans="2:23" x14ac:dyDescent="0.35">
      <c r="B9">
        <f t="shared" si="0"/>
        <v>6</v>
      </c>
      <c r="C9" s="60">
        <f t="shared" si="1"/>
        <v>2021</v>
      </c>
      <c r="D9" s="135">
        <v>9561.65</v>
      </c>
      <c r="E9" s="13">
        <f t="shared" si="2"/>
        <v>0.10098403618342267</v>
      </c>
      <c r="H9">
        <f t="shared" si="3"/>
        <v>6</v>
      </c>
      <c r="I9">
        <f t="shared" si="4"/>
        <v>2021</v>
      </c>
      <c r="J9">
        <v>2001.6699999999983</v>
      </c>
      <c r="K9" s="13">
        <f t="shared" si="5"/>
        <v>0.11679145697802817</v>
      </c>
      <c r="N9" s="72">
        <f t="shared" si="6"/>
        <v>6</v>
      </c>
      <c r="O9" s="72">
        <f t="shared" si="7"/>
        <v>2021</v>
      </c>
      <c r="P9" s="166">
        <v>7.7495756478442805</v>
      </c>
      <c r="Q9" s="83">
        <f t="shared" si="8"/>
        <v>0.10203963587758502</v>
      </c>
      <c r="T9">
        <f t="shared" si="9"/>
        <v>6</v>
      </c>
      <c r="U9">
        <f t="shared" si="10"/>
        <v>2021</v>
      </c>
      <c r="V9">
        <v>1369.6599999999983</v>
      </c>
      <c r="W9" s="13">
        <f t="shared" si="11"/>
        <v>0.10222672879296235</v>
      </c>
    </row>
    <row r="10" spans="2:23" x14ac:dyDescent="0.35">
      <c r="B10">
        <f t="shared" si="0"/>
        <v>7</v>
      </c>
      <c r="C10" s="60">
        <f t="shared" si="1"/>
        <v>2022</v>
      </c>
      <c r="D10" s="135">
        <v>10888.68</v>
      </c>
      <c r="E10" s="13">
        <f t="shared" si="2"/>
        <v>0.13878671568191692</v>
      </c>
      <c r="H10">
        <f t="shared" si="3"/>
        <v>7</v>
      </c>
      <c r="I10">
        <f t="shared" si="4"/>
        <v>2022</v>
      </c>
      <c r="J10">
        <v>2252.0100000000007</v>
      </c>
      <c r="K10" s="13">
        <f t="shared" si="5"/>
        <v>0.12506557024884346</v>
      </c>
      <c r="N10" s="72">
        <f t="shared" si="6"/>
        <v>7</v>
      </c>
      <c r="O10" s="72">
        <f t="shared" si="7"/>
        <v>2022</v>
      </c>
      <c r="P10" s="166">
        <v>8.1121104134849311</v>
      </c>
      <c r="Q10" s="83">
        <f t="shared" si="8"/>
        <v>4.6781240949818725E-2</v>
      </c>
      <c r="T10">
        <f t="shared" si="9"/>
        <v>7</v>
      </c>
      <c r="U10">
        <f t="shared" si="10"/>
        <v>2022</v>
      </c>
      <c r="V10">
        <v>1434.1400000000008</v>
      </c>
      <c r="W10" s="13">
        <f t="shared" si="11"/>
        <v>4.7077376867253662E-2</v>
      </c>
    </row>
    <row r="11" spans="2:23" x14ac:dyDescent="0.35">
      <c r="B11">
        <f t="shared" si="0"/>
        <v>8</v>
      </c>
      <c r="C11" s="60">
        <f t="shared" si="1"/>
        <v>2023</v>
      </c>
      <c r="D11" s="135">
        <v>11529.89</v>
      </c>
      <c r="E11" s="13">
        <f t="shared" si="2"/>
        <v>5.8887762336665261E-2</v>
      </c>
      <c r="H11">
        <f t="shared" si="3"/>
        <v>8</v>
      </c>
      <c r="I11">
        <f t="shared" si="4"/>
        <v>2023</v>
      </c>
      <c r="J11">
        <v>2162.4899999999993</v>
      </c>
      <c r="K11" s="13">
        <f t="shared" si="5"/>
        <v>-3.975115563430065E-2</v>
      </c>
      <c r="N11" s="72">
        <f t="shared" si="6"/>
        <v>8</v>
      </c>
      <c r="O11" s="72">
        <f t="shared" si="7"/>
        <v>2023</v>
      </c>
      <c r="P11" s="166">
        <v>7.0884975730895086</v>
      </c>
      <c r="Q11" s="83">
        <f t="shared" si="8"/>
        <v>-0.12618329734440614</v>
      </c>
      <c r="T11">
        <f t="shared" si="9"/>
        <v>8</v>
      </c>
      <c r="U11">
        <f t="shared" si="10"/>
        <v>2023</v>
      </c>
      <c r="V11">
        <v>1255.9399999999991</v>
      </c>
      <c r="W11" s="13">
        <f t="shared" si="11"/>
        <v>-0.12425565147056883</v>
      </c>
    </row>
    <row r="12" spans="2:23" x14ac:dyDescent="0.35">
      <c r="B12">
        <f t="shared" si="0"/>
        <v>9</v>
      </c>
      <c r="C12" s="60">
        <f>C11+1</f>
        <v>2024</v>
      </c>
      <c r="D12" s="135">
        <v>12404.01</v>
      </c>
      <c r="E12" s="13">
        <f t="shared" si="2"/>
        <v>7.5813385903941821E-2</v>
      </c>
      <c r="H12">
        <f t="shared" si="3"/>
        <v>9</v>
      </c>
      <c r="I12">
        <f t="shared" si="4"/>
        <v>2024</v>
      </c>
      <c r="J12">
        <v>2399.7200000000012</v>
      </c>
      <c r="K12" s="13">
        <f t="shared" si="5"/>
        <v>0.10970224139764895</v>
      </c>
      <c r="N12" s="72">
        <f t="shared" si="6"/>
        <v>9</v>
      </c>
      <c r="O12" s="72">
        <f t="shared" si="7"/>
        <v>2024</v>
      </c>
      <c r="P12" s="166">
        <v>7.4994356659142296</v>
      </c>
      <c r="Q12" s="83">
        <f t="shared" si="8"/>
        <v>5.7972523597213277E-2</v>
      </c>
      <c r="T12">
        <f t="shared" si="9"/>
        <v>9</v>
      </c>
      <c r="U12">
        <f t="shared" si="10"/>
        <v>2024</v>
      </c>
      <c r="V12">
        <v>1328.9000000000015</v>
      </c>
      <c r="W12" s="13">
        <f t="shared" si="11"/>
        <v>5.8091947067536953E-2</v>
      </c>
    </row>
    <row r="13" spans="2:23" x14ac:dyDescent="0.35">
      <c r="B13">
        <f t="shared" si="0"/>
        <v>10</v>
      </c>
      <c r="C13" s="60">
        <f t="shared" si="1"/>
        <v>2025</v>
      </c>
      <c r="D13" s="135">
        <v>12563.09</v>
      </c>
      <c r="E13" s="13">
        <f t="shared" si="2"/>
        <v>1.2824884855784591E-2</v>
      </c>
      <c r="H13">
        <f t="shared" si="3"/>
        <v>10</v>
      </c>
      <c r="I13">
        <f t="shared" si="4"/>
        <v>2025</v>
      </c>
      <c r="J13">
        <v>2316.34</v>
      </c>
      <c r="K13" s="13">
        <f t="shared" si="5"/>
        <v>-3.4745720334039332E-2</v>
      </c>
      <c r="N13" s="72">
        <f t="shared" si="6"/>
        <v>10</v>
      </c>
      <c r="O13" s="72">
        <f t="shared" si="7"/>
        <v>2025</v>
      </c>
      <c r="P13" s="166">
        <v>6.7131411160638734</v>
      </c>
      <c r="Q13" s="83">
        <f t="shared" si="8"/>
        <v>-0.10484716249039283</v>
      </c>
      <c r="T13">
        <f t="shared" si="9"/>
        <v>10</v>
      </c>
      <c r="U13">
        <f t="shared" si="10"/>
        <v>2025</v>
      </c>
      <c r="V13">
        <v>1189.7700000000002</v>
      </c>
      <c r="W13" s="13">
        <f t="shared" si="11"/>
        <v>-0.10469561291293639</v>
      </c>
    </row>
    <row r="14" spans="2:23" x14ac:dyDescent="0.35">
      <c r="B14" s="64">
        <f t="shared" ref="B14:B16" si="12">B13+1</f>
        <v>11</v>
      </c>
      <c r="C14" s="65">
        <f t="shared" ref="C14:C16" si="13">C13+1</f>
        <v>2026</v>
      </c>
      <c r="D14" s="187">
        <f>$C$37+B14*$C$38</f>
        <v>13180.266666666666</v>
      </c>
      <c r="E14" s="66">
        <f t="shared" si="2"/>
        <v>4.9126183659168765E-2</v>
      </c>
      <c r="H14" s="64">
        <f t="shared" si="3"/>
        <v>11</v>
      </c>
      <c r="I14" s="64">
        <f t="shared" si="4"/>
        <v>2026</v>
      </c>
      <c r="J14" s="64">
        <f>FORECAST(H14,$J$4:$J$13,$H$4:$H$13)</f>
        <v>2526.8540000000003</v>
      </c>
      <c r="K14" s="66">
        <f t="shared" si="5"/>
        <v>9.088216755743983E-2</v>
      </c>
      <c r="N14" s="188">
        <f t="shared" si="6"/>
        <v>11</v>
      </c>
      <c r="O14" s="188">
        <f t="shared" si="7"/>
        <v>2026</v>
      </c>
      <c r="P14" s="189">
        <f>FORECAST(N14,$P$4:$P$13,$N$4:$N$13)</f>
        <v>7.872275997395902</v>
      </c>
      <c r="Q14" s="190">
        <f t="shared" si="8"/>
        <v>0.17266654480990051</v>
      </c>
      <c r="T14">
        <f t="shared" si="9"/>
        <v>11</v>
      </c>
      <c r="U14">
        <f t="shared" si="10"/>
        <v>2026</v>
      </c>
      <c r="V14">
        <f>FORECAST($T$14,_xlfn.ANCHORARRAY($V$4),$T$4:$T$13)</f>
        <v>1396.3666666666668</v>
      </c>
      <c r="W14" s="13">
        <f t="shared" si="11"/>
        <v>0.17364420574284645</v>
      </c>
    </row>
    <row r="15" spans="2:23" x14ac:dyDescent="0.35">
      <c r="B15" s="64">
        <f t="shared" si="12"/>
        <v>12</v>
      </c>
      <c r="C15" s="65">
        <f t="shared" si="13"/>
        <v>2027</v>
      </c>
      <c r="D15" s="187">
        <f>$C$37+B15*$C$38</f>
        <v>13808.242424242424</v>
      </c>
      <c r="E15" s="66">
        <f t="shared" si="2"/>
        <v>4.7645148118583114E-2</v>
      </c>
      <c r="H15" s="64">
        <f t="shared" si="3"/>
        <v>12</v>
      </c>
      <c r="I15" s="64">
        <f t="shared" si="4"/>
        <v>2027</v>
      </c>
      <c r="J15" s="64">
        <f t="shared" ref="J15:J16" si="14">FORECAST(H15,$J$4:$J$13,$H$4:$H$13)</f>
        <v>2635.164545454546</v>
      </c>
      <c r="K15" s="66">
        <f t="shared" si="5"/>
        <v>4.2863792468637252E-2</v>
      </c>
      <c r="N15" s="188">
        <f t="shared" si="6"/>
        <v>12</v>
      </c>
      <c r="O15" s="188">
        <f t="shared" si="7"/>
        <v>2027</v>
      </c>
      <c r="P15" s="189">
        <f t="shared" ref="P15:P16" si="15">FORECAST(N15,$P$4:$P$13,$N$4:$N$13)</f>
        <v>8.0551371916668675</v>
      </c>
      <c r="Q15" s="190">
        <f t="shared" si="8"/>
        <v>2.3228503971590264E-2</v>
      </c>
      <c r="T15">
        <f t="shared" si="9"/>
        <v>12</v>
      </c>
      <c r="U15">
        <f t="shared" si="10"/>
        <v>2027</v>
      </c>
      <c r="V15">
        <f>FORECAST(T15,V4:V13,T4:T13)</f>
        <v>1429.6433333333334</v>
      </c>
      <c r="W15" s="13">
        <f t="shared" si="11"/>
        <v>2.3830894464204722E-2</v>
      </c>
    </row>
    <row r="16" spans="2:23" x14ac:dyDescent="0.35">
      <c r="B16" s="64">
        <f t="shared" si="12"/>
        <v>13</v>
      </c>
      <c r="C16" s="65">
        <f t="shared" si="13"/>
        <v>2028</v>
      </c>
      <c r="D16" s="187">
        <f>$C$37+B16*$C$38</f>
        <v>14436.218181818182</v>
      </c>
      <c r="E16" s="66">
        <f t="shared" si="2"/>
        <v>4.5478326515563827E-2</v>
      </c>
      <c r="H16" s="64">
        <f t="shared" si="3"/>
        <v>13</v>
      </c>
      <c r="I16" s="64">
        <f t="shared" si="4"/>
        <v>2028</v>
      </c>
      <c r="J16" s="64">
        <f t="shared" si="14"/>
        <v>2743.4750909090913</v>
      </c>
      <c r="K16" s="66">
        <f t="shared" si="5"/>
        <v>4.1102004670400039E-2</v>
      </c>
      <c r="N16" s="188">
        <f t="shared" si="6"/>
        <v>13</v>
      </c>
      <c r="O16" s="188">
        <f t="shared" si="7"/>
        <v>2028</v>
      </c>
      <c r="P16" s="189">
        <f t="shared" si="15"/>
        <v>8.2379983859378321</v>
      </c>
      <c r="Q16" s="190">
        <f t="shared" si="8"/>
        <v>2.2701189305644132E-2</v>
      </c>
      <c r="T16">
        <f t="shared" si="9"/>
        <v>13</v>
      </c>
      <c r="U16">
        <f t="shared" si="10"/>
        <v>2028</v>
      </c>
      <c r="V16">
        <f>FORECAST(T16,_xlfn.ANCHORARRAY(V4),T4:T13)</f>
        <v>1462.9200000000003</v>
      </c>
      <c r="W16" s="13">
        <f t="shared" si="11"/>
        <v>2.3276201756615489E-2</v>
      </c>
    </row>
    <row r="19" spans="2:16" x14ac:dyDescent="0.35">
      <c r="D19">
        <f>FORECAST(B14,$D$4:$D$13,$B$4:$B$13)</f>
        <v>13180.274666666664</v>
      </c>
    </row>
    <row r="21" spans="2:16" x14ac:dyDescent="0.35">
      <c r="B21" t="s">
        <v>154</v>
      </c>
      <c r="J21" s="67"/>
      <c r="K21" s="67"/>
      <c r="L21" s="68"/>
    </row>
    <row r="22" spans="2:16" ht="15" thickBot="1" x14ac:dyDescent="0.4"/>
    <row r="23" spans="2:16" x14ac:dyDescent="0.35">
      <c r="B23" s="63" t="s">
        <v>155</v>
      </c>
      <c r="C23" s="63"/>
    </row>
    <row r="24" spans="2:16" x14ac:dyDescent="0.35">
      <c r="B24" t="s">
        <v>156</v>
      </c>
      <c r="C24">
        <v>0.9687386928364552</v>
      </c>
    </row>
    <row r="25" spans="2:16" x14ac:dyDescent="0.35">
      <c r="B25" t="s">
        <v>157</v>
      </c>
      <c r="C25">
        <v>0.93845465499848379</v>
      </c>
    </row>
    <row r="26" spans="2:16" x14ac:dyDescent="0.35">
      <c r="B26" t="s">
        <v>158</v>
      </c>
      <c r="C26">
        <v>0.9307614868732943</v>
      </c>
      <c r="J26" s="67"/>
      <c r="K26" s="67"/>
    </row>
    <row r="27" spans="2:16" x14ac:dyDescent="0.35">
      <c r="B27" t="s">
        <v>159</v>
      </c>
      <c r="C27">
        <v>516.43517883602181</v>
      </c>
    </row>
    <row r="28" spans="2:16" ht="15" thickBot="1" x14ac:dyDescent="0.4">
      <c r="B28" s="61" t="s">
        <v>160</v>
      </c>
      <c r="C28" s="61">
        <v>10</v>
      </c>
    </row>
    <row r="29" spans="2:16" x14ac:dyDescent="0.35">
      <c r="M29" s="67"/>
      <c r="N29" s="67"/>
      <c r="O29" s="67"/>
      <c r="P29" s="67"/>
    </row>
    <row r="30" spans="2:16" ht="15" thickBot="1" x14ac:dyDescent="0.4">
      <c r="B30" t="s">
        <v>161</v>
      </c>
    </row>
    <row r="31" spans="2:16" x14ac:dyDescent="0.35">
      <c r="B31" s="62"/>
      <c r="C31" s="62" t="s">
        <v>165</v>
      </c>
      <c r="D31" s="62" t="s">
        <v>166</v>
      </c>
      <c r="E31" s="62" t="s">
        <v>167</v>
      </c>
      <c r="F31" s="62" t="s">
        <v>168</v>
      </c>
      <c r="G31" s="62" t="s">
        <v>169</v>
      </c>
    </row>
    <row r="32" spans="2:16" x14ac:dyDescent="0.35">
      <c r="B32" t="s">
        <v>162</v>
      </c>
      <c r="C32">
        <v>1</v>
      </c>
      <c r="D32">
        <v>32534168.048484847</v>
      </c>
      <c r="E32">
        <v>32534168.048484847</v>
      </c>
      <c r="F32">
        <v>121.98546031065254</v>
      </c>
      <c r="G32">
        <v>4.0236542059021722E-6</v>
      </c>
    </row>
    <row r="33" spans="2:19" x14ac:dyDescent="0.35">
      <c r="B33" t="s">
        <v>163</v>
      </c>
      <c r="C33">
        <v>8</v>
      </c>
      <c r="D33">
        <v>2133642.3515151506</v>
      </c>
      <c r="E33">
        <v>266705.29393939383</v>
      </c>
    </row>
    <row r="34" spans="2:19" ht="15" thickBot="1" x14ac:dyDescent="0.4">
      <c r="B34" s="61" t="s">
        <v>12</v>
      </c>
      <c r="C34" s="61">
        <v>9</v>
      </c>
      <c r="D34" s="61">
        <v>34667810.399999999</v>
      </c>
      <c r="E34" s="61"/>
      <c r="F34" s="61"/>
      <c r="G34" s="61"/>
      <c r="M34" s="67"/>
      <c r="N34" s="67"/>
      <c r="O34" s="67"/>
      <c r="P34" s="67"/>
      <c r="Q34" s="67"/>
      <c r="R34" s="67"/>
      <c r="S34" s="67"/>
    </row>
    <row r="35" spans="2:19" ht="15" thickBot="1" x14ac:dyDescent="0.4"/>
    <row r="36" spans="2:19" x14ac:dyDescent="0.35">
      <c r="B36" s="62"/>
      <c r="C36" s="62" t="s">
        <v>170</v>
      </c>
      <c r="D36" s="62" t="s">
        <v>159</v>
      </c>
      <c r="E36" s="62" t="s">
        <v>171</v>
      </c>
      <c r="F36" s="62" t="s">
        <v>172</v>
      </c>
      <c r="G36" s="62" t="s">
        <v>173</v>
      </c>
      <c r="H36" s="62" t="s">
        <v>174</v>
      </c>
      <c r="I36" s="62" t="s">
        <v>175</v>
      </c>
      <c r="J36" s="62" t="s">
        <v>176</v>
      </c>
    </row>
    <row r="37" spans="2:19" x14ac:dyDescent="0.35">
      <c r="B37" t="s">
        <v>164</v>
      </c>
      <c r="C37">
        <v>6272.5333333333328</v>
      </c>
      <c r="D37">
        <v>352.79239008948377</v>
      </c>
      <c r="E37">
        <v>17.779673001853414</v>
      </c>
      <c r="F37">
        <v>1.0250508922713859E-7</v>
      </c>
      <c r="G37">
        <v>5458.9926229184221</v>
      </c>
      <c r="H37">
        <v>7086.0740437482436</v>
      </c>
      <c r="I37">
        <v>5458.9926229184221</v>
      </c>
      <c r="J37">
        <v>7086.0740437482436</v>
      </c>
    </row>
    <row r="38" spans="2:19" ht="15" thickBot="1" x14ac:dyDescent="0.4">
      <c r="B38" s="61" t="s">
        <v>150</v>
      </c>
      <c r="C38" s="61">
        <v>627.9757575757576</v>
      </c>
      <c r="D38" s="61">
        <v>56.857641893501203</v>
      </c>
      <c r="E38" s="61">
        <v>11.04470281676481</v>
      </c>
      <c r="F38" s="61">
        <v>4.0236542059021722E-6</v>
      </c>
      <c r="G38" s="61">
        <v>496.86180025138617</v>
      </c>
      <c r="H38" s="61">
        <v>759.08971490012902</v>
      </c>
      <c r="I38" s="61">
        <v>496.86180025138617</v>
      </c>
      <c r="J38" s="61">
        <v>759.08971490012902</v>
      </c>
    </row>
  </sheetData>
  <mergeCells count="4">
    <mergeCell ref="B2:E2"/>
    <mergeCell ref="H2:K2"/>
    <mergeCell ref="N2:Q2"/>
    <mergeCell ref="T2:W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CDFE-3B9B-42F5-B4B5-FEB0A7CBF2BE}">
  <dimension ref="B2:V76"/>
  <sheetViews>
    <sheetView showGridLines="0" zoomScale="78" workbookViewId="0">
      <selection activeCell="B2" sqref="B2:D2"/>
    </sheetView>
  </sheetViews>
  <sheetFormatPr defaultRowHeight="14.5" x14ac:dyDescent="0.35"/>
  <cols>
    <col min="1" max="1" width="1.81640625" customWidth="1"/>
    <col min="2" max="2" width="10.54296875" style="73" bestFit="1" customWidth="1"/>
    <col min="3" max="3" width="6.81640625" style="75" bestFit="1" customWidth="1"/>
    <col min="4" max="4" width="14.7265625" bestFit="1" customWidth="1"/>
    <col min="5" max="5" width="14.7265625" customWidth="1"/>
    <col min="6" max="6" width="9.26953125" bestFit="1" customWidth="1"/>
    <col min="7" max="7" width="13.81640625" bestFit="1" customWidth="1"/>
    <col min="14" max="14" width="20" bestFit="1" customWidth="1"/>
  </cols>
  <sheetData>
    <row r="2" spans="2:14" ht="15.5" x14ac:dyDescent="0.35">
      <c r="B2" s="196" t="s">
        <v>220</v>
      </c>
      <c r="C2" s="196"/>
      <c r="D2" s="196"/>
    </row>
    <row r="3" spans="2:14" x14ac:dyDescent="0.35">
      <c r="B3" s="195" t="s">
        <v>208</v>
      </c>
      <c r="C3" s="195"/>
      <c r="D3" s="195"/>
      <c r="E3" s="79"/>
      <c r="F3" s="195" t="s">
        <v>209</v>
      </c>
      <c r="G3" s="195"/>
      <c r="I3" s="195" t="s">
        <v>214</v>
      </c>
      <c r="J3" s="195"/>
      <c r="K3" s="79"/>
    </row>
    <row r="4" spans="2:14" x14ac:dyDescent="0.35">
      <c r="B4" s="76" t="s">
        <v>206</v>
      </c>
      <c r="C4" s="77" t="s">
        <v>207</v>
      </c>
      <c r="D4" s="77" t="s">
        <v>233</v>
      </c>
      <c r="E4" s="2"/>
      <c r="F4" s="76" t="s">
        <v>207</v>
      </c>
      <c r="G4" s="77" t="s">
        <v>233</v>
      </c>
    </row>
    <row r="5" spans="2:14" x14ac:dyDescent="0.35">
      <c r="B5" s="74">
        <v>43983</v>
      </c>
      <c r="C5" s="75">
        <v>465.95</v>
      </c>
      <c r="F5" s="123">
        <v>10302.1</v>
      </c>
      <c r="I5" s="2" t="s">
        <v>215</v>
      </c>
      <c r="K5" s="22">
        <f>N7</f>
        <v>0.61441553292614337</v>
      </c>
      <c r="M5" t="s">
        <v>210</v>
      </c>
      <c r="N5" s="22">
        <f>SLOPE(D6:D64,G6:G64)</f>
        <v>0.61441553292614337</v>
      </c>
    </row>
    <row r="6" spans="2:14" x14ac:dyDescent="0.35">
      <c r="B6" s="74">
        <v>44013</v>
      </c>
      <c r="C6" s="75">
        <v>513.54999999999995</v>
      </c>
      <c r="D6" s="89">
        <f>C6/C5-1</f>
        <v>0.10215688378581378</v>
      </c>
      <c r="E6" s="13"/>
      <c r="F6" s="123">
        <v>11073.45</v>
      </c>
      <c r="G6" s="89">
        <f>F6/F5-1</f>
        <v>7.4873084128478595E-2</v>
      </c>
      <c r="I6" t="s">
        <v>216</v>
      </c>
      <c r="K6" s="71">
        <v>0.75</v>
      </c>
      <c r="M6" t="s">
        <v>211</v>
      </c>
      <c r="N6" s="22">
        <f>_xlfn.COVARIANCE.S(D6:D64,G6:G64)/_xlfn.VAR.S(G6:G64)</f>
        <v>0.61441553292614304</v>
      </c>
    </row>
    <row r="7" spans="2:14" x14ac:dyDescent="0.35">
      <c r="B7" s="74">
        <v>44044</v>
      </c>
      <c r="C7" s="75">
        <v>474.6</v>
      </c>
      <c r="D7" s="89">
        <f t="shared" ref="D7:D64" si="0">C7/C6-1</f>
        <v>-7.5844611040794319E-2</v>
      </c>
      <c r="E7" s="13"/>
      <c r="F7" s="123">
        <v>11387.5</v>
      </c>
      <c r="G7" s="89">
        <f t="shared" ref="G7:G64" si="1">F7/F6-1</f>
        <v>2.8360628349791472E-2</v>
      </c>
      <c r="M7" t="s">
        <v>212</v>
      </c>
      <c r="N7" s="22">
        <f>O32</f>
        <v>0.61441553292614337</v>
      </c>
    </row>
    <row r="8" spans="2:14" x14ac:dyDescent="0.35">
      <c r="B8" s="74">
        <v>44075</v>
      </c>
      <c r="C8" s="75">
        <v>510.55</v>
      </c>
      <c r="D8" s="89">
        <f t="shared" si="0"/>
        <v>7.5747998314370069E-2</v>
      </c>
      <c r="E8" s="13"/>
      <c r="F8" s="123">
        <v>11247.55</v>
      </c>
      <c r="G8" s="89">
        <f t="shared" si="1"/>
        <v>-1.2289791437980258E-2</v>
      </c>
    </row>
    <row r="9" spans="2:14" x14ac:dyDescent="0.35">
      <c r="B9" s="74">
        <v>44105</v>
      </c>
      <c r="C9" s="75">
        <v>511.45</v>
      </c>
      <c r="D9" s="89">
        <f t="shared" si="0"/>
        <v>1.7628048183331302E-3</v>
      </c>
      <c r="E9" s="13"/>
      <c r="F9" s="123">
        <v>11642.4</v>
      </c>
      <c r="G9" s="89">
        <f t="shared" si="1"/>
        <v>3.5105422958777721E-2</v>
      </c>
      <c r="I9" t="s">
        <v>218</v>
      </c>
      <c r="K9" s="22">
        <v>1</v>
      </c>
    </row>
    <row r="10" spans="2:14" x14ac:dyDescent="0.35">
      <c r="B10" s="74">
        <v>44136</v>
      </c>
      <c r="C10" s="75">
        <v>499.8</v>
      </c>
      <c r="D10" s="89">
        <f t="shared" si="0"/>
        <v>-2.2778375207742618E-2</v>
      </c>
      <c r="E10" s="13"/>
      <c r="F10" s="123">
        <v>12968.95</v>
      </c>
      <c r="G10" s="89">
        <f t="shared" si="1"/>
        <v>0.11394128358414091</v>
      </c>
      <c r="I10" t="s">
        <v>217</v>
      </c>
      <c r="K10" s="71">
        <v>0.25</v>
      </c>
    </row>
    <row r="11" spans="2:14" x14ac:dyDescent="0.35">
      <c r="B11" s="74">
        <v>44166</v>
      </c>
      <c r="C11" s="75">
        <v>534</v>
      </c>
      <c r="D11" s="89">
        <f t="shared" si="0"/>
        <v>6.8427370948379362E-2</v>
      </c>
      <c r="E11" s="13"/>
      <c r="F11" s="123">
        <v>13981.75</v>
      </c>
      <c r="G11" s="89">
        <f t="shared" si="1"/>
        <v>7.8094217342190353E-2</v>
      </c>
    </row>
    <row r="12" spans="2:14" x14ac:dyDescent="0.35">
      <c r="B12" s="74">
        <v>44197</v>
      </c>
      <c r="C12" s="75">
        <v>514.54999999999995</v>
      </c>
      <c r="D12" s="89">
        <f t="shared" si="0"/>
        <v>-3.6423220973782811E-2</v>
      </c>
      <c r="E12" s="13"/>
      <c r="F12" s="123">
        <v>13634.6</v>
      </c>
      <c r="G12" s="89">
        <f t="shared" si="1"/>
        <v>-2.4828794678777633E-2</v>
      </c>
      <c r="I12" s="40" t="s">
        <v>219</v>
      </c>
      <c r="J12" s="40"/>
      <c r="K12" s="80">
        <f>(K5*K6)+(K9*K10)</f>
        <v>0.71081164969460753</v>
      </c>
    </row>
    <row r="13" spans="2:14" x14ac:dyDescent="0.35">
      <c r="B13" s="74">
        <v>44228</v>
      </c>
      <c r="C13" s="75">
        <v>503.1</v>
      </c>
      <c r="D13" s="89">
        <f t="shared" si="0"/>
        <v>-2.2252453600233091E-2</v>
      </c>
      <c r="E13" s="13"/>
      <c r="F13" s="123">
        <v>14529.15</v>
      </c>
      <c r="G13" s="89">
        <f t="shared" si="1"/>
        <v>6.5608818740557018E-2</v>
      </c>
    </row>
    <row r="14" spans="2:14" x14ac:dyDescent="0.35">
      <c r="B14" s="74">
        <v>44256</v>
      </c>
      <c r="C14" s="75">
        <v>540.5</v>
      </c>
      <c r="D14" s="89">
        <f t="shared" si="0"/>
        <v>7.4339097594911419E-2</v>
      </c>
      <c r="E14" s="13"/>
      <c r="F14" s="123">
        <v>14690.7</v>
      </c>
      <c r="G14" s="89">
        <f t="shared" si="1"/>
        <v>1.111902623346861E-2</v>
      </c>
    </row>
    <row r="15" spans="2:14" x14ac:dyDescent="0.35">
      <c r="B15" s="74">
        <v>44287</v>
      </c>
      <c r="C15" s="75">
        <v>538.04999999999995</v>
      </c>
      <c r="D15" s="89">
        <f t="shared" si="0"/>
        <v>-4.5328399629973593E-3</v>
      </c>
      <c r="E15" s="13"/>
      <c r="F15" s="123">
        <v>14631.1</v>
      </c>
      <c r="G15" s="89">
        <f t="shared" si="1"/>
        <v>-4.0569884348601315E-3</v>
      </c>
      <c r="N15" t="s">
        <v>154</v>
      </c>
    </row>
    <row r="16" spans="2:14" ht="15" thickBot="1" x14ac:dyDescent="0.4">
      <c r="B16" s="74">
        <v>44317</v>
      </c>
      <c r="C16" s="75">
        <v>540.45000000000005</v>
      </c>
      <c r="D16" s="89">
        <f t="shared" si="0"/>
        <v>4.460551993309414E-3</v>
      </c>
      <c r="E16" s="13"/>
      <c r="F16" s="123">
        <v>15582.8</v>
      </c>
      <c r="G16" s="89">
        <f t="shared" si="1"/>
        <v>6.5046373820150105E-2</v>
      </c>
    </row>
    <row r="17" spans="2:22" x14ac:dyDescent="0.35">
      <c r="B17" s="74">
        <v>44348</v>
      </c>
      <c r="C17" s="75">
        <v>568.75</v>
      </c>
      <c r="D17" s="89">
        <f t="shared" si="0"/>
        <v>5.2363770931630915E-2</v>
      </c>
      <c r="E17" s="13"/>
      <c r="F17" s="123">
        <v>15721.5</v>
      </c>
      <c r="G17" s="89">
        <f t="shared" si="1"/>
        <v>8.9008393870164682E-3</v>
      </c>
      <c r="N17" s="63" t="s">
        <v>155</v>
      </c>
      <c r="O17" s="63"/>
    </row>
    <row r="18" spans="2:22" x14ac:dyDescent="0.35">
      <c r="B18" s="74">
        <v>44378</v>
      </c>
      <c r="C18" s="75">
        <v>600.70000000000005</v>
      </c>
      <c r="D18" s="89">
        <f t="shared" si="0"/>
        <v>5.617582417582434E-2</v>
      </c>
      <c r="E18" s="13"/>
      <c r="F18" s="123">
        <v>15763.05</v>
      </c>
      <c r="G18" s="89">
        <f t="shared" si="1"/>
        <v>2.6428775880162902E-3</v>
      </c>
      <c r="N18" t="s">
        <v>156</v>
      </c>
      <c r="O18">
        <v>0.45801404617632602</v>
      </c>
    </row>
    <row r="19" spans="2:22" x14ac:dyDescent="0.35">
      <c r="B19" s="74">
        <v>44409</v>
      </c>
      <c r="C19" s="75">
        <v>621.5</v>
      </c>
      <c r="D19" s="89">
        <f t="shared" si="0"/>
        <v>3.462626935242219E-2</v>
      </c>
      <c r="E19" s="13"/>
      <c r="F19" s="123">
        <v>17132.2</v>
      </c>
      <c r="G19" s="89">
        <f t="shared" si="1"/>
        <v>8.6858190515160638E-2</v>
      </c>
      <c r="N19" t="s">
        <v>157</v>
      </c>
      <c r="O19">
        <v>0.2097768664948097</v>
      </c>
    </row>
    <row r="20" spans="2:22" x14ac:dyDescent="0.35">
      <c r="B20" s="74">
        <v>44440</v>
      </c>
      <c r="C20" s="75">
        <v>617.04999999999995</v>
      </c>
      <c r="D20" s="89">
        <f t="shared" si="0"/>
        <v>-7.1600965406275474E-3</v>
      </c>
      <c r="E20" s="13"/>
      <c r="F20" s="123">
        <v>17618.150000000001</v>
      </c>
      <c r="G20" s="89">
        <f t="shared" si="1"/>
        <v>2.8364716732235173E-2</v>
      </c>
      <c r="N20" t="s">
        <v>158</v>
      </c>
      <c r="O20">
        <v>0.19591330274910462</v>
      </c>
    </row>
    <row r="21" spans="2:22" x14ac:dyDescent="0.35">
      <c r="B21" s="74">
        <v>44470</v>
      </c>
      <c r="C21" s="75">
        <v>585.85</v>
      </c>
      <c r="D21" s="89">
        <f t="shared" si="0"/>
        <v>-5.0563163438943293E-2</v>
      </c>
      <c r="E21" s="13"/>
      <c r="F21" s="123">
        <v>17671.650000000001</v>
      </c>
      <c r="G21" s="89">
        <f t="shared" si="1"/>
        <v>3.0366411910445201E-3</v>
      </c>
      <c r="N21" t="s">
        <v>159</v>
      </c>
      <c r="O21">
        <v>4.7737671585108908E-2</v>
      </c>
    </row>
    <row r="22" spans="2:22" ht="15" thickBot="1" x14ac:dyDescent="0.4">
      <c r="B22" s="74">
        <v>44501</v>
      </c>
      <c r="C22" s="75">
        <v>594.95000000000005</v>
      </c>
      <c r="D22" s="89">
        <f t="shared" si="0"/>
        <v>1.5532986259281456E-2</v>
      </c>
      <c r="E22" s="13"/>
      <c r="F22" s="123">
        <v>16983.2</v>
      </c>
      <c r="G22" s="89">
        <f t="shared" si="1"/>
        <v>-3.8957878862471818E-2</v>
      </c>
      <c r="N22" s="61" t="s">
        <v>160</v>
      </c>
      <c r="O22" s="61">
        <v>59</v>
      </c>
    </row>
    <row r="23" spans="2:22" x14ac:dyDescent="0.35">
      <c r="B23" s="74">
        <v>44531</v>
      </c>
      <c r="C23" s="75">
        <v>580.04999999999995</v>
      </c>
      <c r="D23" s="89">
        <f t="shared" si="0"/>
        <v>-2.5044121354735882E-2</v>
      </c>
      <c r="E23" s="13"/>
      <c r="F23" s="123">
        <v>17354.05</v>
      </c>
      <c r="G23" s="89">
        <f t="shared" si="1"/>
        <v>2.1836285270149247E-2</v>
      </c>
    </row>
    <row r="24" spans="2:22" ht="15" thickBot="1" x14ac:dyDescent="0.4">
      <c r="B24" s="74">
        <v>44562</v>
      </c>
      <c r="C24" s="75">
        <v>536.75</v>
      </c>
      <c r="D24" s="89">
        <f t="shared" si="0"/>
        <v>-7.4648737177829383E-2</v>
      </c>
      <c r="E24" s="13"/>
      <c r="F24" s="123">
        <v>17339.849999999999</v>
      </c>
      <c r="G24" s="89">
        <f t="shared" si="1"/>
        <v>-8.1825279977876253E-4</v>
      </c>
      <c r="N24" t="s">
        <v>161</v>
      </c>
    </row>
    <row r="25" spans="2:22" x14ac:dyDescent="0.35">
      <c r="B25" s="74">
        <v>44593</v>
      </c>
      <c r="C25" s="75">
        <v>563.35</v>
      </c>
      <c r="D25" s="89">
        <f t="shared" si="0"/>
        <v>4.9557522123893749E-2</v>
      </c>
      <c r="E25" s="13"/>
      <c r="F25" s="123">
        <v>16793.900000000001</v>
      </c>
      <c r="G25" s="89">
        <f t="shared" si="1"/>
        <v>-3.1485278131010208E-2</v>
      </c>
      <c r="N25" s="62"/>
      <c r="O25" s="62" t="s">
        <v>165</v>
      </c>
      <c r="P25" s="62" t="s">
        <v>166</v>
      </c>
      <c r="Q25" s="62" t="s">
        <v>167</v>
      </c>
      <c r="R25" s="62" t="s">
        <v>168</v>
      </c>
      <c r="S25" s="62" t="s">
        <v>169</v>
      </c>
    </row>
    <row r="26" spans="2:22" x14ac:dyDescent="0.35">
      <c r="B26" s="74">
        <v>44621</v>
      </c>
      <c r="C26" s="75">
        <v>536.20000000000005</v>
      </c>
      <c r="D26" s="89">
        <f t="shared" si="0"/>
        <v>-4.8193840418922496E-2</v>
      </c>
      <c r="E26" s="13"/>
      <c r="F26" s="123">
        <v>17464.75</v>
      </c>
      <c r="G26" s="89">
        <f t="shared" si="1"/>
        <v>3.9946051840251462E-2</v>
      </c>
      <c r="N26" t="s">
        <v>162</v>
      </c>
      <c r="O26">
        <v>1</v>
      </c>
      <c r="P26">
        <v>3.4483010549361898E-2</v>
      </c>
      <c r="Q26">
        <v>3.4483010549361898E-2</v>
      </c>
      <c r="R26">
        <v>15.131525366974865</v>
      </c>
      <c r="S26">
        <v>2.6467326971368394E-4</v>
      </c>
    </row>
    <row r="27" spans="2:22" x14ac:dyDescent="0.35">
      <c r="B27" s="74">
        <v>44652</v>
      </c>
      <c r="C27" s="75">
        <v>556.70000000000005</v>
      </c>
      <c r="D27" s="89">
        <f t="shared" si="0"/>
        <v>3.8232002983961122E-2</v>
      </c>
      <c r="E27" s="13"/>
      <c r="F27" s="123">
        <v>17102.55</v>
      </c>
      <c r="G27" s="89">
        <f t="shared" si="1"/>
        <v>-2.0738916961307807E-2</v>
      </c>
      <c r="N27" t="s">
        <v>163</v>
      </c>
      <c r="O27">
        <v>57</v>
      </c>
      <c r="P27">
        <v>0.12989646143695971</v>
      </c>
      <c r="Q27">
        <v>2.2788852883677143E-3</v>
      </c>
    </row>
    <row r="28" spans="2:22" ht="15" thickBot="1" x14ac:dyDescent="0.4">
      <c r="B28" s="74">
        <v>44682</v>
      </c>
      <c r="C28" s="75">
        <v>519</v>
      </c>
      <c r="D28" s="89">
        <f t="shared" si="0"/>
        <v>-6.7720495778695988E-2</v>
      </c>
      <c r="E28" s="13"/>
      <c r="F28" s="123">
        <v>16584.55</v>
      </c>
      <c r="G28" s="89">
        <f t="shared" si="1"/>
        <v>-3.0287881046978327E-2</v>
      </c>
      <c r="N28" s="61" t="s">
        <v>12</v>
      </c>
      <c r="O28" s="61">
        <v>58</v>
      </c>
      <c r="P28" s="61">
        <v>0.16437947198632161</v>
      </c>
      <c r="Q28" s="61"/>
      <c r="R28" s="61"/>
      <c r="S28" s="61"/>
    </row>
    <row r="29" spans="2:22" ht="15" thickBot="1" x14ac:dyDescent="0.4">
      <c r="B29" s="74">
        <v>44713</v>
      </c>
      <c r="C29" s="75">
        <v>495.95</v>
      </c>
      <c r="D29" s="89">
        <f t="shared" si="0"/>
        <v>-4.4412331406551098E-2</v>
      </c>
      <c r="E29" s="13"/>
      <c r="F29" s="123">
        <v>15780.25</v>
      </c>
      <c r="G29" s="89">
        <f t="shared" si="1"/>
        <v>-4.8496944445281853E-2</v>
      </c>
    </row>
    <row r="30" spans="2:22" x14ac:dyDescent="0.35">
      <c r="B30" s="74">
        <v>44743</v>
      </c>
      <c r="C30" s="75">
        <v>584.1</v>
      </c>
      <c r="D30" s="89">
        <f t="shared" si="0"/>
        <v>0.17773969150115954</v>
      </c>
      <c r="E30" s="13"/>
      <c r="F30" s="123">
        <v>17158.25</v>
      </c>
      <c r="G30" s="89">
        <f t="shared" si="1"/>
        <v>8.7324345305048956E-2</v>
      </c>
      <c r="N30" s="62"/>
      <c r="O30" s="62" t="s">
        <v>170</v>
      </c>
      <c r="P30" s="62" t="s">
        <v>159</v>
      </c>
      <c r="Q30" s="62" t="s">
        <v>171</v>
      </c>
      <c r="R30" s="62" t="s">
        <v>172</v>
      </c>
      <c r="S30" s="62" t="s">
        <v>173</v>
      </c>
      <c r="T30" s="62" t="s">
        <v>174</v>
      </c>
      <c r="U30" s="62" t="s">
        <v>175</v>
      </c>
      <c r="V30" s="62" t="s">
        <v>176</v>
      </c>
    </row>
    <row r="31" spans="2:22" x14ac:dyDescent="0.35">
      <c r="B31" s="74">
        <v>44774</v>
      </c>
      <c r="C31" s="75">
        <v>583.6</v>
      </c>
      <c r="D31" s="89">
        <f t="shared" si="0"/>
        <v>-8.5601780517030601E-4</v>
      </c>
      <c r="E31" s="13"/>
      <c r="F31" s="123">
        <v>17759.3</v>
      </c>
      <c r="G31" s="89">
        <f t="shared" si="1"/>
        <v>3.5029796162195925E-2</v>
      </c>
      <c r="N31" t="s">
        <v>164</v>
      </c>
      <c r="O31">
        <v>-7.6824669823754906E-3</v>
      </c>
      <c r="P31">
        <v>6.695987253742347E-3</v>
      </c>
      <c r="Q31">
        <v>-1.1473240153021209</v>
      </c>
      <c r="R31">
        <v>0.25604073448058845</v>
      </c>
      <c r="S31">
        <v>-2.1090950173847385E-2</v>
      </c>
      <c r="T31">
        <v>5.7260162090964038E-3</v>
      </c>
      <c r="U31">
        <v>-2.1090950173847385E-2</v>
      </c>
      <c r="V31">
        <v>5.7260162090964038E-3</v>
      </c>
    </row>
    <row r="32" spans="2:22" ht="15" thickBot="1" x14ac:dyDescent="0.4">
      <c r="B32" s="74">
        <v>44805</v>
      </c>
      <c r="C32" s="75">
        <v>572.95000000000005</v>
      </c>
      <c r="D32" s="89">
        <f t="shared" si="0"/>
        <v>-1.8248800548320676E-2</v>
      </c>
      <c r="E32" s="13"/>
      <c r="F32" s="123">
        <v>17094.349999999999</v>
      </c>
      <c r="G32" s="89">
        <f t="shared" si="1"/>
        <v>-3.7442354146841383E-2</v>
      </c>
      <c r="N32" s="61" t="s">
        <v>213</v>
      </c>
      <c r="O32" s="61">
        <v>0.61441553292614337</v>
      </c>
      <c r="P32" s="61">
        <v>0.15795043683839108</v>
      </c>
      <c r="Q32" s="61">
        <v>3.8899261390127724</v>
      </c>
      <c r="R32" s="61">
        <v>2.6467326971368969E-4</v>
      </c>
      <c r="S32" s="61">
        <v>0.29812523887733949</v>
      </c>
      <c r="T32" s="61">
        <v>0.9307058269749473</v>
      </c>
      <c r="U32" s="61">
        <v>0.29812523887733949</v>
      </c>
      <c r="V32" s="61">
        <v>0.9307058269749473</v>
      </c>
    </row>
    <row r="33" spans="2:7" x14ac:dyDescent="0.35">
      <c r="B33" s="74">
        <v>44835</v>
      </c>
      <c r="C33" s="75">
        <v>554.70000000000005</v>
      </c>
      <c r="D33" s="89">
        <f t="shared" si="0"/>
        <v>-3.1852692206998823E-2</v>
      </c>
      <c r="E33" s="13"/>
      <c r="F33" s="123">
        <v>18012.2</v>
      </c>
      <c r="G33" s="89">
        <f t="shared" si="1"/>
        <v>5.3693179325332796E-2</v>
      </c>
    </row>
    <row r="34" spans="2:7" x14ac:dyDescent="0.35">
      <c r="B34" s="74">
        <v>44866</v>
      </c>
      <c r="C34" s="75">
        <v>588.35</v>
      </c>
      <c r="D34" s="89">
        <f t="shared" si="0"/>
        <v>6.0663421669370887E-2</v>
      </c>
      <c r="E34" s="13"/>
      <c r="F34" s="123">
        <v>18758.349999999999</v>
      </c>
      <c r="G34" s="89">
        <f t="shared" si="1"/>
        <v>4.1424701035964295E-2</v>
      </c>
    </row>
    <row r="35" spans="2:7" x14ac:dyDescent="0.35">
      <c r="B35" s="74">
        <v>44896</v>
      </c>
      <c r="C35" s="75">
        <v>561.45000000000005</v>
      </c>
      <c r="D35" s="89">
        <f t="shared" si="0"/>
        <v>-4.5721084388544164E-2</v>
      </c>
      <c r="E35" s="13"/>
      <c r="F35" s="123">
        <v>18105.3</v>
      </c>
      <c r="G35" s="89">
        <f t="shared" si="1"/>
        <v>-3.4813829574562805E-2</v>
      </c>
    </row>
    <row r="36" spans="2:7" x14ac:dyDescent="0.35">
      <c r="B36" s="74">
        <v>44927</v>
      </c>
      <c r="C36" s="75">
        <v>557.75</v>
      </c>
      <c r="D36" s="89">
        <f t="shared" si="0"/>
        <v>-6.5900792590614099E-3</v>
      </c>
      <c r="E36" s="13"/>
      <c r="F36" s="123">
        <v>17662.150000000001</v>
      </c>
      <c r="G36" s="89">
        <f t="shared" si="1"/>
        <v>-2.4476258333195111E-2</v>
      </c>
    </row>
    <row r="37" spans="2:7" x14ac:dyDescent="0.35">
      <c r="B37" s="74">
        <v>44958</v>
      </c>
      <c r="C37" s="75">
        <v>532.6</v>
      </c>
      <c r="D37" s="89">
        <f t="shared" si="0"/>
        <v>-4.5091887046167622E-2</v>
      </c>
      <c r="E37" s="13"/>
      <c r="F37" s="123">
        <v>17303.95</v>
      </c>
      <c r="G37" s="89">
        <f t="shared" si="1"/>
        <v>-2.0280656658447582E-2</v>
      </c>
    </row>
    <row r="38" spans="2:7" x14ac:dyDescent="0.35">
      <c r="B38" s="74">
        <v>44986</v>
      </c>
      <c r="C38" s="75">
        <v>544.9</v>
      </c>
      <c r="D38" s="89">
        <f t="shared" si="0"/>
        <v>2.309425460007497E-2</v>
      </c>
      <c r="E38" s="13"/>
      <c r="F38" s="123">
        <v>17359.75</v>
      </c>
      <c r="G38" s="89">
        <f t="shared" si="1"/>
        <v>3.2246972512055549E-3</v>
      </c>
    </row>
    <row r="39" spans="2:7" x14ac:dyDescent="0.35">
      <c r="B39" s="74">
        <v>45017</v>
      </c>
      <c r="C39" s="75">
        <v>532.9</v>
      </c>
      <c r="D39" s="89">
        <f t="shared" si="0"/>
        <v>-2.2022389429253053E-2</v>
      </c>
      <c r="E39" s="13"/>
      <c r="F39" s="123">
        <v>18065</v>
      </c>
      <c r="G39" s="89">
        <f t="shared" si="1"/>
        <v>4.0625585045867663E-2</v>
      </c>
    </row>
    <row r="40" spans="2:7" x14ac:dyDescent="0.35">
      <c r="B40" s="74">
        <v>45047</v>
      </c>
      <c r="C40" s="75">
        <v>555.4</v>
      </c>
      <c r="D40" s="89">
        <f t="shared" si="0"/>
        <v>4.2221805216738684E-2</v>
      </c>
      <c r="E40" s="13"/>
      <c r="F40" s="123">
        <v>18534.400000000001</v>
      </c>
      <c r="G40" s="89">
        <f t="shared" si="1"/>
        <v>2.5983946858566309E-2</v>
      </c>
    </row>
    <row r="41" spans="2:7" x14ac:dyDescent="0.35">
      <c r="B41" s="74">
        <v>45078</v>
      </c>
      <c r="C41" s="75">
        <v>572.95000000000005</v>
      </c>
      <c r="D41" s="89">
        <f t="shared" si="0"/>
        <v>3.1598847677349884E-2</v>
      </c>
      <c r="E41" s="13"/>
      <c r="F41" s="123">
        <v>19189.05</v>
      </c>
      <c r="G41" s="89">
        <f t="shared" si="1"/>
        <v>3.5320808874309328E-2</v>
      </c>
    </row>
    <row r="42" spans="2:7" x14ac:dyDescent="0.35">
      <c r="B42" s="74">
        <v>45108</v>
      </c>
      <c r="C42" s="75">
        <v>575.6</v>
      </c>
      <c r="D42" s="89">
        <f t="shared" si="0"/>
        <v>4.625185443756008E-3</v>
      </c>
      <c r="E42" s="13"/>
      <c r="F42" s="123">
        <v>19753.8</v>
      </c>
      <c r="G42" s="89">
        <f t="shared" si="1"/>
        <v>2.9430847280089489E-2</v>
      </c>
    </row>
    <row r="43" spans="2:7" x14ac:dyDescent="0.35">
      <c r="B43" s="74">
        <v>45139</v>
      </c>
      <c r="C43" s="75">
        <v>553.1</v>
      </c>
      <c r="D43" s="89">
        <f t="shared" si="0"/>
        <v>-3.9089645587213395E-2</v>
      </c>
      <c r="E43" s="13"/>
      <c r="F43" s="123">
        <v>19253.8</v>
      </c>
      <c r="G43" s="89">
        <f t="shared" si="1"/>
        <v>-2.5311585618969512E-2</v>
      </c>
    </row>
    <row r="44" spans="2:7" x14ac:dyDescent="0.35">
      <c r="B44" s="74">
        <v>45170</v>
      </c>
      <c r="C44" s="75">
        <v>551.6</v>
      </c>
      <c r="D44" s="89">
        <f t="shared" si="0"/>
        <v>-2.7119869824624443E-3</v>
      </c>
      <c r="E44" s="13"/>
      <c r="F44" s="123">
        <v>19638.3</v>
      </c>
      <c r="G44" s="89">
        <f t="shared" si="1"/>
        <v>1.9970083827608009E-2</v>
      </c>
    </row>
    <row r="45" spans="2:7" x14ac:dyDescent="0.35">
      <c r="B45" s="74">
        <v>45200</v>
      </c>
      <c r="C45" s="75">
        <v>528.9</v>
      </c>
      <c r="D45" s="89">
        <f t="shared" si="0"/>
        <v>-4.115300942712119E-2</v>
      </c>
      <c r="E45" s="13"/>
      <c r="F45" s="123">
        <v>19079.599999999999</v>
      </c>
      <c r="G45" s="89">
        <f t="shared" si="1"/>
        <v>-2.844950937708457E-2</v>
      </c>
    </row>
    <row r="46" spans="2:7" x14ac:dyDescent="0.35">
      <c r="B46" s="74">
        <v>45231</v>
      </c>
      <c r="C46" s="75">
        <v>538.04999999999995</v>
      </c>
      <c r="D46" s="89">
        <f t="shared" si="0"/>
        <v>1.730005672149737E-2</v>
      </c>
      <c r="E46" s="13"/>
      <c r="F46" s="123">
        <v>20133.150000000001</v>
      </c>
      <c r="G46" s="89">
        <f t="shared" si="1"/>
        <v>5.5218662865049728E-2</v>
      </c>
    </row>
    <row r="47" spans="2:7" x14ac:dyDescent="0.35">
      <c r="B47" s="74">
        <v>45261</v>
      </c>
      <c r="C47" s="75">
        <v>557.20000000000005</v>
      </c>
      <c r="D47" s="89">
        <f t="shared" si="0"/>
        <v>3.5591487779946362E-2</v>
      </c>
      <c r="E47" s="13"/>
      <c r="F47" s="123">
        <v>21731.4</v>
      </c>
      <c r="G47" s="89">
        <f t="shared" si="1"/>
        <v>7.9384001013254268E-2</v>
      </c>
    </row>
    <row r="48" spans="2:7" x14ac:dyDescent="0.35">
      <c r="B48" s="74">
        <v>45292</v>
      </c>
      <c r="C48" s="75">
        <v>539.6</v>
      </c>
      <c r="D48" s="89">
        <f t="shared" si="0"/>
        <v>-3.1586503948313083E-2</v>
      </c>
      <c r="E48" s="13"/>
      <c r="F48" s="123">
        <v>21725.7</v>
      </c>
      <c r="G48" s="89">
        <f t="shared" si="1"/>
        <v>-2.6229327148741266E-4</v>
      </c>
    </row>
    <row r="49" spans="2:7" x14ac:dyDescent="0.35">
      <c r="B49" s="74">
        <v>45323</v>
      </c>
      <c r="C49" s="75">
        <v>538.15</v>
      </c>
      <c r="D49" s="89">
        <f t="shared" si="0"/>
        <v>-2.6871756856932105E-3</v>
      </c>
      <c r="E49" s="13"/>
      <c r="F49" s="123">
        <v>21982.799999999999</v>
      </c>
      <c r="G49" s="89">
        <f t="shared" si="1"/>
        <v>1.1833910990209695E-2</v>
      </c>
    </row>
    <row r="50" spans="2:7" x14ac:dyDescent="0.35">
      <c r="B50" s="74">
        <v>45352</v>
      </c>
      <c r="C50" s="75">
        <v>523.15</v>
      </c>
      <c r="D50" s="89">
        <f t="shared" si="0"/>
        <v>-2.7873269534516409E-2</v>
      </c>
      <c r="E50" s="13"/>
      <c r="F50" s="123">
        <v>22326.9</v>
      </c>
      <c r="G50" s="89">
        <f t="shared" si="1"/>
        <v>1.5653147005840973E-2</v>
      </c>
    </row>
    <row r="51" spans="2:7" x14ac:dyDescent="0.35">
      <c r="B51" s="74">
        <v>45383</v>
      </c>
      <c r="C51" s="75">
        <v>507.75</v>
      </c>
      <c r="D51" s="89">
        <f t="shared" si="0"/>
        <v>-2.9437063939596664E-2</v>
      </c>
      <c r="E51" s="13"/>
      <c r="F51" s="123">
        <v>22604.85</v>
      </c>
      <c r="G51" s="89">
        <f t="shared" si="1"/>
        <v>1.2449108474530624E-2</v>
      </c>
    </row>
    <row r="52" spans="2:7" x14ac:dyDescent="0.35">
      <c r="B52" s="74">
        <v>45413</v>
      </c>
      <c r="C52" s="75">
        <v>545.1</v>
      </c>
      <c r="D52" s="89">
        <f t="shared" si="0"/>
        <v>7.3559822747415016E-2</v>
      </c>
      <c r="E52" s="13"/>
      <c r="F52" s="123">
        <v>22530.7</v>
      </c>
      <c r="G52" s="89">
        <f t="shared" si="1"/>
        <v>-3.2802694996869608E-3</v>
      </c>
    </row>
    <row r="53" spans="2:7" x14ac:dyDescent="0.35">
      <c r="B53" s="74">
        <v>45444</v>
      </c>
      <c r="C53" s="75">
        <v>600.70000000000005</v>
      </c>
      <c r="D53" s="89">
        <f t="shared" si="0"/>
        <v>0.10199963309484494</v>
      </c>
      <c r="E53" s="13"/>
      <c r="F53" s="123">
        <v>24010.6</v>
      </c>
      <c r="G53" s="89">
        <f t="shared" si="1"/>
        <v>6.5683711558007341E-2</v>
      </c>
    </row>
    <row r="54" spans="2:7" x14ac:dyDescent="0.35">
      <c r="B54" s="74">
        <v>45474</v>
      </c>
      <c r="C54" s="75">
        <v>635.70000000000005</v>
      </c>
      <c r="D54" s="89">
        <f t="shared" si="0"/>
        <v>5.8265357083402636E-2</v>
      </c>
      <c r="E54" s="13"/>
      <c r="F54" s="123">
        <v>24951.15</v>
      </c>
      <c r="G54" s="89">
        <f t="shared" si="1"/>
        <v>3.917228224200997E-2</v>
      </c>
    </row>
    <row r="55" spans="2:7" x14ac:dyDescent="0.35">
      <c r="B55" s="74">
        <v>45505</v>
      </c>
      <c r="C55" s="75">
        <v>637.15</v>
      </c>
      <c r="D55" s="89">
        <f t="shared" si="0"/>
        <v>2.2809501337106575E-3</v>
      </c>
      <c r="E55" s="13"/>
      <c r="F55" s="123">
        <v>25235.9</v>
      </c>
      <c r="G55" s="89">
        <f t="shared" si="1"/>
        <v>1.141229963348378E-2</v>
      </c>
    </row>
    <row r="56" spans="2:7" x14ac:dyDescent="0.35">
      <c r="B56" s="74">
        <v>45536</v>
      </c>
      <c r="C56" s="75">
        <v>625.20000000000005</v>
      </c>
      <c r="D56" s="89">
        <f t="shared" si="0"/>
        <v>-1.8755395118888685E-2</v>
      </c>
      <c r="E56" s="13"/>
      <c r="F56" s="123">
        <v>25810.85</v>
      </c>
      <c r="G56" s="89">
        <f t="shared" si="1"/>
        <v>2.2783019428670892E-2</v>
      </c>
    </row>
    <row r="57" spans="2:7" x14ac:dyDescent="0.35">
      <c r="B57" s="74">
        <v>45566</v>
      </c>
      <c r="C57" s="75">
        <v>540</v>
      </c>
      <c r="D57" s="89">
        <f t="shared" si="0"/>
        <v>-0.1362763915547025</v>
      </c>
      <c r="E57" s="13"/>
      <c r="F57" s="123">
        <v>24205.35</v>
      </c>
      <c r="G57" s="89">
        <f t="shared" si="1"/>
        <v>-6.2202523357425266E-2</v>
      </c>
    </row>
    <row r="58" spans="2:7" x14ac:dyDescent="0.35">
      <c r="B58" s="74">
        <v>45597</v>
      </c>
      <c r="C58" s="75">
        <v>527.15</v>
      </c>
      <c r="D58" s="89">
        <f t="shared" si="0"/>
        <v>-2.3796296296296315E-2</v>
      </c>
      <c r="E58" s="13"/>
      <c r="F58" s="123">
        <v>24131.1</v>
      </c>
      <c r="G58" s="89">
        <f t="shared" si="1"/>
        <v>-3.0675036717089377E-3</v>
      </c>
    </row>
    <row r="59" spans="2:7" x14ac:dyDescent="0.35">
      <c r="B59" s="74">
        <v>45627</v>
      </c>
      <c r="C59" s="75">
        <v>507</v>
      </c>
      <c r="D59" s="89">
        <f t="shared" si="0"/>
        <v>-3.8224414303329235E-2</v>
      </c>
      <c r="E59" s="13"/>
      <c r="F59" s="123">
        <v>23644.799999999999</v>
      </c>
      <c r="G59" s="89">
        <f t="shared" si="1"/>
        <v>-2.0152417419844082E-2</v>
      </c>
    </row>
    <row r="60" spans="2:7" x14ac:dyDescent="0.35">
      <c r="B60" s="74">
        <v>45658</v>
      </c>
      <c r="C60" s="75">
        <v>529.85</v>
      </c>
      <c r="D60" s="89">
        <f t="shared" si="0"/>
        <v>4.5069033530572122E-2</v>
      </c>
      <c r="E60" s="13"/>
      <c r="F60" s="123">
        <v>23508.400000000001</v>
      </c>
      <c r="G60" s="89">
        <f t="shared" si="1"/>
        <v>-5.7687102449586192E-3</v>
      </c>
    </row>
    <row r="61" spans="2:7" x14ac:dyDescent="0.35">
      <c r="B61" s="74">
        <v>45689</v>
      </c>
      <c r="C61" s="75">
        <v>493.3</v>
      </c>
      <c r="D61" s="89">
        <f t="shared" si="0"/>
        <v>-6.8981787298291963E-2</v>
      </c>
      <c r="E61" s="13"/>
      <c r="F61" s="123">
        <v>22124.7</v>
      </c>
      <c r="G61" s="89">
        <f t="shared" si="1"/>
        <v>-5.8859811811948104E-2</v>
      </c>
    </row>
    <row r="62" spans="2:7" x14ac:dyDescent="0.35">
      <c r="B62" s="74">
        <v>45717</v>
      </c>
      <c r="C62" s="75">
        <v>506.5</v>
      </c>
      <c r="D62" s="89">
        <f t="shared" si="0"/>
        <v>2.6758564767889625E-2</v>
      </c>
      <c r="E62" s="13"/>
      <c r="F62" s="123">
        <v>23519.35</v>
      </c>
      <c r="G62" s="89">
        <f t="shared" si="1"/>
        <v>6.3035882972424462E-2</v>
      </c>
    </row>
    <row r="63" spans="2:7" x14ac:dyDescent="0.35">
      <c r="B63" s="74">
        <v>45748</v>
      </c>
      <c r="C63" s="75">
        <v>487.75</v>
      </c>
      <c r="D63" s="89">
        <f t="shared" si="0"/>
        <v>-3.7018756169792666E-2</v>
      </c>
      <c r="E63" s="13"/>
      <c r="F63" s="123">
        <v>24334.2</v>
      </c>
      <c r="G63" s="89">
        <f t="shared" si="1"/>
        <v>3.4645940470293679E-2</v>
      </c>
    </row>
    <row r="64" spans="2:7" x14ac:dyDescent="0.35">
      <c r="B64" s="74">
        <v>45778</v>
      </c>
      <c r="C64" s="75">
        <v>483.9</v>
      </c>
      <c r="D64" s="89">
        <f t="shared" si="0"/>
        <v>-7.8933880061506922E-3</v>
      </c>
      <c r="E64" s="13"/>
      <c r="F64" s="123">
        <v>24826.2</v>
      </c>
      <c r="G64" s="89">
        <f t="shared" si="1"/>
        <v>2.0218457972729809E-2</v>
      </c>
    </row>
    <row r="65" spans="4:7" x14ac:dyDescent="0.35">
      <c r="D65" s="75"/>
      <c r="G65" s="75"/>
    </row>
    <row r="66" spans="4:7" x14ac:dyDescent="0.35">
      <c r="D66" s="75"/>
      <c r="G66" s="75"/>
    </row>
    <row r="67" spans="4:7" x14ac:dyDescent="0.35">
      <c r="D67" s="75"/>
      <c r="G67" s="75"/>
    </row>
    <row r="68" spans="4:7" x14ac:dyDescent="0.35">
      <c r="D68" s="75"/>
      <c r="G68" s="75"/>
    </row>
    <row r="69" spans="4:7" x14ac:dyDescent="0.35">
      <c r="G69" s="75"/>
    </row>
    <row r="70" spans="4:7" x14ac:dyDescent="0.35">
      <c r="G70" s="75"/>
    </row>
    <row r="71" spans="4:7" x14ac:dyDescent="0.35">
      <c r="G71" s="75"/>
    </row>
    <row r="72" spans="4:7" x14ac:dyDescent="0.35">
      <c r="G72" s="75"/>
    </row>
    <row r="73" spans="4:7" x14ac:dyDescent="0.35">
      <c r="G73" s="75"/>
    </row>
    <row r="74" spans="4:7" x14ac:dyDescent="0.35">
      <c r="G74" s="75"/>
    </row>
    <row r="75" spans="4:7" x14ac:dyDescent="0.35">
      <c r="G75" s="75"/>
    </row>
    <row r="76" spans="4:7" x14ac:dyDescent="0.35">
      <c r="G76" s="75"/>
    </row>
  </sheetData>
  <mergeCells count="4">
    <mergeCell ref="B3:D3"/>
    <mergeCell ref="F3:G3"/>
    <mergeCell ref="I3:J3"/>
    <mergeCell ref="B2:D2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C02B-999D-4155-A5BD-6BF950684C67}">
  <dimension ref="B5:L47"/>
  <sheetViews>
    <sheetView showGridLines="0" topLeftCell="A29" zoomScale="81" workbookViewId="0">
      <selection activeCell="E36" sqref="E36"/>
    </sheetView>
  </sheetViews>
  <sheetFormatPr defaultRowHeight="14" x14ac:dyDescent="0.3"/>
  <cols>
    <col min="1" max="1" width="1.81640625" style="93" customWidth="1"/>
    <col min="2" max="2" width="38.453125" style="93" bestFit="1" customWidth="1"/>
    <col min="3" max="3" width="7.453125" style="93" bestFit="1" customWidth="1"/>
    <col min="4" max="4" width="9.26953125" style="93" bestFit="1" customWidth="1"/>
    <col min="5" max="5" width="10.7265625" style="93" bestFit="1" customWidth="1"/>
    <col min="6" max="6" width="8.81640625" style="93" bestFit="1" customWidth="1"/>
    <col min="7" max="7" width="8.08984375" style="93" customWidth="1"/>
    <col min="8" max="8" width="7.6328125" style="93" bestFit="1" customWidth="1"/>
    <col min="9" max="9" width="8.08984375" style="93" bestFit="1" customWidth="1"/>
    <col min="10" max="10" width="13" style="93" customWidth="1"/>
    <col min="11" max="11" width="20" style="93" bestFit="1" customWidth="1"/>
    <col min="12" max="16384" width="8.7265625" style="93"/>
  </cols>
  <sheetData>
    <row r="5" spans="2:11" ht="18" x14ac:dyDescent="0.3">
      <c r="B5" s="197" t="s">
        <v>179</v>
      </c>
      <c r="C5" s="197"/>
      <c r="D5" s="197"/>
      <c r="E5" s="197"/>
      <c r="F5" s="197"/>
      <c r="G5" s="197"/>
      <c r="H5" s="197"/>
      <c r="I5" s="197"/>
      <c r="J5" s="197"/>
      <c r="K5" s="92"/>
    </row>
    <row r="7" spans="2:11" x14ac:dyDescent="0.3">
      <c r="B7" s="94" t="s">
        <v>180</v>
      </c>
    </row>
    <row r="9" spans="2:11" x14ac:dyDescent="0.3">
      <c r="B9" s="93" t="s">
        <v>181</v>
      </c>
    </row>
    <row r="10" spans="2:11" x14ac:dyDescent="0.3">
      <c r="B10" s="110"/>
      <c r="C10" s="110"/>
      <c r="D10" s="110"/>
      <c r="E10" s="110"/>
      <c r="F10" s="110"/>
      <c r="G10" s="110" t="s">
        <v>185</v>
      </c>
      <c r="H10" s="110" t="s">
        <v>185</v>
      </c>
      <c r="I10" s="110" t="s">
        <v>188</v>
      </c>
      <c r="J10" s="110" t="s">
        <v>189</v>
      </c>
    </row>
    <row r="11" spans="2:11" ht="16" x14ac:dyDescent="0.3">
      <c r="B11" s="111" t="s">
        <v>182</v>
      </c>
      <c r="C11" s="111" t="s">
        <v>183</v>
      </c>
      <c r="D11" s="111" t="s">
        <v>184</v>
      </c>
      <c r="E11" s="111" t="s">
        <v>257</v>
      </c>
      <c r="F11" s="111" t="s">
        <v>268</v>
      </c>
      <c r="G11" s="111" t="s">
        <v>186</v>
      </c>
      <c r="H11" s="111" t="s">
        <v>187</v>
      </c>
      <c r="I11" s="111" t="s">
        <v>269</v>
      </c>
      <c r="J11" s="111" t="s">
        <v>270</v>
      </c>
    </row>
    <row r="12" spans="2:11" x14ac:dyDescent="0.3">
      <c r="B12" s="93" t="s">
        <v>221</v>
      </c>
      <c r="C12" s="93" t="s">
        <v>237</v>
      </c>
      <c r="D12" s="114">
        <v>4004.49</v>
      </c>
      <c r="E12" s="114">
        <v>129748.08</v>
      </c>
      <c r="F12" s="115">
        <v>0.3</v>
      </c>
      <c r="G12" s="115">
        <v>0.33</v>
      </c>
      <c r="H12" s="115">
        <f>D12/(E12+D12)</f>
        <v>2.9939536862730935E-2</v>
      </c>
      <c r="I12" s="116">
        <f>'Comps Beta'!C4</f>
        <v>0.86272612473069232</v>
      </c>
      <c r="J12" s="116">
        <f>I12/(1+(1-F12)*G12)</f>
        <v>0.70083357004930336</v>
      </c>
    </row>
    <row r="13" spans="2:11" x14ac:dyDescent="0.3">
      <c r="B13" s="93" t="s">
        <v>222</v>
      </c>
      <c r="C13" s="93" t="s">
        <v>237</v>
      </c>
      <c r="D13" s="114">
        <v>89.78</v>
      </c>
      <c r="E13" s="114">
        <v>25766.59</v>
      </c>
      <c r="F13" s="115">
        <v>0.3</v>
      </c>
      <c r="G13" s="115">
        <v>0.03</v>
      </c>
      <c r="H13" s="115">
        <f t="shared" ref="H13:H16" si="0">D13/(E13+D13)</f>
        <v>3.4722584802120331E-3</v>
      </c>
      <c r="I13" s="116">
        <f>'Comps Beta'!C5</f>
        <v>0.89899319174260062</v>
      </c>
      <c r="J13" s="116">
        <f t="shared" ref="J13:J16" si="1">I13/(1+(1-F13)*G13)</f>
        <v>0.88050263637864912</v>
      </c>
    </row>
    <row r="14" spans="2:11" x14ac:dyDescent="0.3">
      <c r="B14" s="93" t="s">
        <v>223</v>
      </c>
      <c r="C14" s="93" t="s">
        <v>237</v>
      </c>
      <c r="D14" s="114">
        <v>61.28</v>
      </c>
      <c r="E14" s="114">
        <v>12668.89</v>
      </c>
      <c r="F14" s="115">
        <v>0.3</v>
      </c>
      <c r="G14" s="115">
        <v>0.03</v>
      </c>
      <c r="H14" s="115">
        <f t="shared" si="0"/>
        <v>4.8137613244756353E-3</v>
      </c>
      <c r="I14" s="116">
        <f>'Comps Beta'!C6</f>
        <v>0.85595808894073455</v>
      </c>
      <c r="J14" s="116">
        <f t="shared" si="1"/>
        <v>0.83835268260600848</v>
      </c>
    </row>
    <row r="15" spans="2:11" x14ac:dyDescent="0.3">
      <c r="B15" s="93" t="s">
        <v>224</v>
      </c>
      <c r="C15" s="93" t="s">
        <v>237</v>
      </c>
      <c r="D15" s="114">
        <v>19</v>
      </c>
      <c r="E15" s="117">
        <v>2786.97</v>
      </c>
      <c r="F15" s="115">
        <v>0.3</v>
      </c>
      <c r="G15" s="115">
        <v>0.06</v>
      </c>
      <c r="H15" s="115">
        <f t="shared" si="0"/>
        <v>6.7712769559189877E-3</v>
      </c>
      <c r="I15" s="116">
        <f>'Comps Beta'!C7</f>
        <v>0.52358956391752476</v>
      </c>
      <c r="J15" s="116">
        <f t="shared" si="1"/>
        <v>0.50248518610127135</v>
      </c>
    </row>
    <row r="16" spans="2:11" x14ac:dyDescent="0.3">
      <c r="B16" s="93" t="s">
        <v>225</v>
      </c>
      <c r="C16" s="93" t="s">
        <v>237</v>
      </c>
      <c r="D16" s="114">
        <v>4.17</v>
      </c>
      <c r="E16" s="114">
        <v>2545.29</v>
      </c>
      <c r="F16" s="115">
        <v>0.3</v>
      </c>
      <c r="G16" s="115">
        <v>0.01</v>
      </c>
      <c r="H16" s="115">
        <f t="shared" si="0"/>
        <v>1.6356404885740508E-3</v>
      </c>
      <c r="I16" s="116">
        <f>'Comps Beta'!C8</f>
        <v>0.99837782757454563</v>
      </c>
      <c r="J16" s="116">
        <f t="shared" si="1"/>
        <v>0.99143776323192223</v>
      </c>
    </row>
    <row r="17" spans="2:11" x14ac:dyDescent="0.3">
      <c r="D17" s="114"/>
      <c r="E17" s="114"/>
      <c r="F17" s="114"/>
      <c r="G17" s="114"/>
      <c r="H17" s="114"/>
      <c r="I17" s="114"/>
      <c r="J17" s="114"/>
    </row>
    <row r="18" spans="2:11" x14ac:dyDescent="0.3">
      <c r="D18" s="114"/>
      <c r="E18" s="112" t="s">
        <v>258</v>
      </c>
      <c r="F18" s="118">
        <f>AVERAGE(F12:F16)</f>
        <v>0.3</v>
      </c>
      <c r="G18" s="118">
        <f t="shared" ref="G18:J18" si="2">AVERAGE(G12:G16)</f>
        <v>9.1999999999999998E-2</v>
      </c>
      <c r="H18" s="118">
        <f t="shared" si="2"/>
        <v>9.3264948223823283E-3</v>
      </c>
      <c r="I18" s="119">
        <f t="shared" si="2"/>
        <v>0.82792895938121946</v>
      </c>
      <c r="J18" s="119">
        <f t="shared" si="2"/>
        <v>0.78272236767343095</v>
      </c>
    </row>
    <row r="19" spans="2:11" x14ac:dyDescent="0.3">
      <c r="D19" s="114"/>
      <c r="E19" s="113" t="s">
        <v>148</v>
      </c>
      <c r="F19" s="120">
        <f>MEDIAN(F12:F16)</f>
        <v>0.3</v>
      </c>
      <c r="G19" s="120">
        <f t="shared" ref="G19:J19" si="3">MEDIAN(G12:G16)</f>
        <v>0.03</v>
      </c>
      <c r="H19" s="120">
        <f>MEDIAN(H12:H16)</f>
        <v>4.8137613244756353E-3</v>
      </c>
      <c r="I19" s="121">
        <f t="shared" si="3"/>
        <v>0.86272612473069232</v>
      </c>
      <c r="J19" s="121">
        <f t="shared" si="3"/>
        <v>0.83835268260600848</v>
      </c>
    </row>
    <row r="22" spans="2:11" x14ac:dyDescent="0.3">
      <c r="C22" s="93" t="s">
        <v>238</v>
      </c>
    </row>
    <row r="24" spans="2:11" x14ac:dyDescent="0.3">
      <c r="B24" s="122" t="s">
        <v>190</v>
      </c>
      <c r="C24" s="95"/>
      <c r="D24" s="95"/>
      <c r="E24" s="95"/>
      <c r="G24" s="122" t="s">
        <v>194</v>
      </c>
      <c r="H24" s="95"/>
      <c r="I24" s="95"/>
      <c r="J24" s="95"/>
      <c r="K24" s="95"/>
    </row>
    <row r="25" spans="2:11" x14ac:dyDescent="0.3">
      <c r="B25" s="98"/>
      <c r="C25" s="98"/>
    </row>
    <row r="26" spans="2:11" x14ac:dyDescent="0.3">
      <c r="B26" s="93" t="s">
        <v>191</v>
      </c>
      <c r="E26" s="99">
        <v>0.16204215200395636</v>
      </c>
      <c r="F26" s="99"/>
      <c r="H26" s="93" t="s">
        <v>195</v>
      </c>
      <c r="K26" s="99">
        <v>6.2199999999999998E-2</v>
      </c>
    </row>
    <row r="27" spans="2:11" x14ac:dyDescent="0.3">
      <c r="B27" s="93" t="s">
        <v>192</v>
      </c>
      <c r="E27" s="100">
        <f>F18</f>
        <v>0.3</v>
      </c>
      <c r="F27" s="100"/>
      <c r="H27" s="93" t="s">
        <v>196</v>
      </c>
      <c r="K27" s="99">
        <f>'Market Return'!F5-WACC!K26</f>
        <v>0.10404799999999997</v>
      </c>
    </row>
    <row r="28" spans="2:11" ht="16" x14ac:dyDescent="0.3">
      <c r="B28" s="101" t="s">
        <v>193</v>
      </c>
      <c r="C28" s="101"/>
      <c r="D28" s="101"/>
      <c r="E28" s="102">
        <f>E26*(1-E27)</f>
        <v>0.11342950640276944</v>
      </c>
      <c r="F28" s="99"/>
      <c r="H28" s="93" t="s">
        <v>271</v>
      </c>
      <c r="K28" s="103">
        <f>K37</f>
        <v>1.0874907369898874</v>
      </c>
    </row>
    <row r="29" spans="2:11" x14ac:dyDescent="0.3">
      <c r="G29" s="101" t="s">
        <v>197</v>
      </c>
      <c r="H29" s="101"/>
      <c r="I29" s="101"/>
      <c r="J29" s="101"/>
      <c r="K29" s="104">
        <f>K26+(K28*K27)</f>
        <v>0.17535123620232376</v>
      </c>
    </row>
    <row r="32" spans="2:11" x14ac:dyDescent="0.3">
      <c r="B32" s="122" t="s">
        <v>198</v>
      </c>
      <c r="C32" s="95"/>
      <c r="D32" s="95"/>
      <c r="E32" s="95"/>
      <c r="G32" s="122" t="s">
        <v>203</v>
      </c>
      <c r="H32" s="95"/>
      <c r="I32" s="95"/>
      <c r="J32" s="95"/>
      <c r="K32" s="95"/>
    </row>
    <row r="34" spans="2:12" x14ac:dyDescent="0.3">
      <c r="D34" s="105" t="s">
        <v>199</v>
      </c>
      <c r="E34" s="105" t="s">
        <v>200</v>
      </c>
      <c r="G34" s="93" t="s">
        <v>204</v>
      </c>
      <c r="K34" s="97">
        <f>J19</f>
        <v>0.83835268260600848</v>
      </c>
    </row>
    <row r="35" spans="2:12" x14ac:dyDescent="0.3">
      <c r="B35" s="93" t="s">
        <v>201</v>
      </c>
      <c r="C35" s="97">
        <f>'Comps Beta'!AA12</f>
        <v>950.37</v>
      </c>
      <c r="D35" s="96">
        <f>C35/$C$37</f>
        <v>1.0957731843938711E-2</v>
      </c>
      <c r="E35" s="99">
        <f>H18</f>
        <v>9.3264948223823283E-3</v>
      </c>
      <c r="G35" s="93" t="s">
        <v>259</v>
      </c>
      <c r="K35" s="100">
        <f>E39</f>
        <v>9.414297216629593E-3</v>
      </c>
    </row>
    <row r="36" spans="2:12" x14ac:dyDescent="0.3">
      <c r="B36" s="93" t="s">
        <v>43</v>
      </c>
      <c r="C36" s="93">
        <f>'Comps Beta'!Z12</f>
        <v>85780.17</v>
      </c>
      <c r="D36" s="106">
        <f>C36/$C$37</f>
        <v>0.98904226815606133</v>
      </c>
      <c r="E36" s="99">
        <f>E37-E35</f>
        <v>0.99067350517761765</v>
      </c>
      <c r="G36" s="93" t="s">
        <v>192</v>
      </c>
      <c r="K36" s="100">
        <v>0.3</v>
      </c>
    </row>
    <row r="37" spans="2:12" x14ac:dyDescent="0.3">
      <c r="B37" s="101" t="s">
        <v>202</v>
      </c>
      <c r="C37" s="101">
        <f>SUM(C35:C36)</f>
        <v>86730.54</v>
      </c>
      <c r="D37" s="107">
        <f>C37/$C$37</f>
        <v>1</v>
      </c>
      <c r="E37" s="107">
        <v>1</v>
      </c>
      <c r="G37" s="101" t="s">
        <v>203</v>
      </c>
      <c r="H37" s="101"/>
      <c r="I37" s="101"/>
      <c r="J37" s="101"/>
      <c r="K37" s="108">
        <f>K34*(1+(1-K35)*K36)</f>
        <v>1.0874907369898874</v>
      </c>
    </row>
    <row r="38" spans="2:12" x14ac:dyDescent="0.3">
      <c r="D38" s="106"/>
    </row>
    <row r="39" spans="2:12" x14ac:dyDescent="0.3">
      <c r="B39" s="93" t="s">
        <v>205</v>
      </c>
      <c r="D39" s="96">
        <f>D35/D36</f>
        <v>1.1079134023632736E-2</v>
      </c>
      <c r="E39" s="96">
        <f t="shared" ref="E39" si="4">E35/E36</f>
        <v>9.414297216629593E-3</v>
      </c>
      <c r="G39" s="122" t="s">
        <v>179</v>
      </c>
      <c r="H39" s="95"/>
      <c r="I39" s="95"/>
      <c r="J39" s="95"/>
      <c r="K39" s="95"/>
    </row>
    <row r="41" spans="2:12" x14ac:dyDescent="0.3">
      <c r="G41" s="93" t="s">
        <v>197</v>
      </c>
      <c r="K41" s="99">
        <f>K29</f>
        <v>0.17535123620232376</v>
      </c>
      <c r="L41" s="99"/>
    </row>
    <row r="42" spans="2:12" x14ac:dyDescent="0.3">
      <c r="G42" s="93" t="s">
        <v>265</v>
      </c>
      <c r="K42" s="99">
        <f>E36</f>
        <v>0.99067350517761765</v>
      </c>
      <c r="L42" s="99"/>
    </row>
    <row r="44" spans="2:12" x14ac:dyDescent="0.3">
      <c r="G44" s="93" t="s">
        <v>190</v>
      </c>
      <c r="K44" s="99">
        <f>E28</f>
        <v>0.11342950640276944</v>
      </c>
    </row>
    <row r="45" spans="2:12" x14ac:dyDescent="0.3">
      <c r="G45" s="93" t="s">
        <v>266</v>
      </c>
      <c r="K45" s="99">
        <f>E35</f>
        <v>9.3264948223823283E-3</v>
      </c>
    </row>
    <row r="47" spans="2:12" x14ac:dyDescent="0.3">
      <c r="G47" s="98" t="s">
        <v>267</v>
      </c>
      <c r="H47" s="98"/>
      <c r="I47" s="98"/>
      <c r="J47" s="98"/>
      <c r="K47" s="109">
        <f>(K41*K42)+(K44*K45)</f>
        <v>0.17477372350995526</v>
      </c>
    </row>
  </sheetData>
  <mergeCells count="1">
    <mergeCell ref="B5:J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115B-D655-4E6F-93B7-FD75DFC155D0}">
  <dimension ref="B2:F28"/>
  <sheetViews>
    <sheetView workbookViewId="0">
      <selection activeCell="F5" sqref="F5"/>
    </sheetView>
  </sheetViews>
  <sheetFormatPr defaultRowHeight="14.5" x14ac:dyDescent="0.35"/>
  <cols>
    <col min="1" max="1" width="1.81640625" customWidth="1"/>
    <col min="2" max="2" width="8.7265625" style="73"/>
    <col min="5" max="5" width="18.08984375" bestFit="1" customWidth="1"/>
    <col min="6" max="6" width="6.81640625" bestFit="1" customWidth="1"/>
  </cols>
  <sheetData>
    <row r="2" spans="2:6" x14ac:dyDescent="0.35">
      <c r="B2" s="73" t="s">
        <v>260</v>
      </c>
      <c r="C2" s="75" t="s">
        <v>261</v>
      </c>
    </row>
    <row r="3" spans="2:6" x14ac:dyDescent="0.35">
      <c r="B3" s="73">
        <v>2000</v>
      </c>
      <c r="C3" s="89">
        <v>-0.14649999999999999</v>
      </c>
      <c r="E3" t="s">
        <v>262</v>
      </c>
      <c r="F3" s="70">
        <f>AVERAGE(C3:C27)</f>
        <v>0.15334799999999998</v>
      </c>
    </row>
    <row r="4" spans="2:6" ht="15.5" x14ac:dyDescent="0.35">
      <c r="B4" s="73">
        <v>2001</v>
      </c>
      <c r="C4" s="89">
        <v>-0.1618</v>
      </c>
      <c r="E4" t="s">
        <v>263</v>
      </c>
      <c r="F4" s="90">
        <v>1.29E-2</v>
      </c>
    </row>
    <row r="5" spans="2:6" x14ac:dyDescent="0.35">
      <c r="B5" s="73">
        <v>2002</v>
      </c>
      <c r="C5" s="89">
        <v>3.2500000000000001E-2</v>
      </c>
      <c r="E5" s="2" t="s">
        <v>264</v>
      </c>
      <c r="F5" s="91">
        <f>SUM(F3:F4)</f>
        <v>0.16624799999999998</v>
      </c>
    </row>
    <row r="6" spans="2:6" x14ac:dyDescent="0.35">
      <c r="B6" s="73">
        <v>2003</v>
      </c>
      <c r="C6" s="89">
        <v>0.71900000000000008</v>
      </c>
    </row>
    <row r="7" spans="2:6" x14ac:dyDescent="0.35">
      <c r="B7" s="73">
        <v>2004</v>
      </c>
      <c r="C7" s="89">
        <v>0.10679999999999999</v>
      </c>
    </row>
    <row r="8" spans="2:6" x14ac:dyDescent="0.35">
      <c r="B8" s="73">
        <v>2005</v>
      </c>
      <c r="C8" s="89">
        <v>0.36340000000000006</v>
      </c>
    </row>
    <row r="9" spans="2:6" x14ac:dyDescent="0.35">
      <c r="B9" s="73">
        <v>2006</v>
      </c>
      <c r="C9" s="89">
        <v>0.39829999999999999</v>
      </c>
    </row>
    <row r="10" spans="2:6" x14ac:dyDescent="0.35">
      <c r="B10" s="73">
        <v>2007</v>
      </c>
      <c r="C10" s="89">
        <v>0.54770000000000008</v>
      </c>
    </row>
    <row r="11" spans="2:6" x14ac:dyDescent="0.35">
      <c r="B11" s="73">
        <v>2008</v>
      </c>
      <c r="C11" s="89">
        <v>-0.51790000000000003</v>
      </c>
    </row>
    <row r="12" spans="2:6" x14ac:dyDescent="0.35">
      <c r="B12" s="73">
        <v>2009</v>
      </c>
      <c r="C12" s="89">
        <v>0.75760000000000005</v>
      </c>
    </row>
    <row r="13" spans="2:6" x14ac:dyDescent="0.35">
      <c r="B13" s="73">
        <v>2010</v>
      </c>
      <c r="C13" s="89">
        <v>0.17949999999999999</v>
      </c>
    </row>
    <row r="14" spans="2:6" x14ac:dyDescent="0.35">
      <c r="B14" s="73">
        <v>2011</v>
      </c>
      <c r="C14" s="89">
        <v>-0.2462</v>
      </c>
    </row>
    <row r="15" spans="2:6" x14ac:dyDescent="0.35">
      <c r="B15" s="73">
        <v>2012</v>
      </c>
      <c r="C15" s="89">
        <v>0.27699999999999997</v>
      </c>
    </row>
    <row r="16" spans="2:6" x14ac:dyDescent="0.35">
      <c r="B16" s="73">
        <v>2013</v>
      </c>
      <c r="C16" s="89">
        <v>6.7599999999999993E-2</v>
      </c>
    </row>
    <row r="17" spans="2:3" x14ac:dyDescent="0.35">
      <c r="B17" s="73">
        <v>2014</v>
      </c>
      <c r="C17" s="89">
        <v>0.31390000000000001</v>
      </c>
    </row>
    <row r="18" spans="2:3" x14ac:dyDescent="0.35">
      <c r="B18" s="73">
        <v>2015</v>
      </c>
      <c r="C18" s="89">
        <v>-4.0599999999999997E-2</v>
      </c>
    </row>
    <row r="19" spans="2:3" x14ac:dyDescent="0.35">
      <c r="B19" s="73">
        <v>2016</v>
      </c>
      <c r="C19" s="89">
        <v>3.0099999999999998E-2</v>
      </c>
    </row>
    <row r="20" spans="2:3" x14ac:dyDescent="0.35">
      <c r="B20" s="73">
        <v>2017</v>
      </c>
      <c r="C20" s="89">
        <v>0.28649999999999998</v>
      </c>
    </row>
    <row r="21" spans="2:3" x14ac:dyDescent="0.35">
      <c r="B21" s="73">
        <v>2018</v>
      </c>
      <c r="C21" s="89">
        <v>3.15E-2</v>
      </c>
    </row>
    <row r="22" spans="2:3" x14ac:dyDescent="0.35">
      <c r="B22" s="73">
        <v>2019</v>
      </c>
      <c r="C22" s="89">
        <v>0.1202</v>
      </c>
    </row>
    <row r="23" spans="2:3" x14ac:dyDescent="0.35">
      <c r="B23" s="73">
        <v>2020</v>
      </c>
      <c r="C23" s="89">
        <v>0.14899999999999999</v>
      </c>
    </row>
    <row r="24" spans="2:3" x14ac:dyDescent="0.35">
      <c r="B24" s="73">
        <v>2021</v>
      </c>
      <c r="C24" s="89">
        <v>0.2412</v>
      </c>
    </row>
    <row r="25" spans="2:3" x14ac:dyDescent="0.35">
      <c r="B25" s="73">
        <v>2022</v>
      </c>
      <c r="C25" s="89">
        <v>4.3200000000000002E-2</v>
      </c>
    </row>
    <row r="26" spans="2:3" x14ac:dyDescent="0.35">
      <c r="B26" s="73">
        <v>2023</v>
      </c>
      <c r="C26" s="89">
        <v>0.19420000000000001</v>
      </c>
    </row>
    <row r="27" spans="2:3" x14ac:dyDescent="0.35">
      <c r="B27" s="73">
        <v>2024</v>
      </c>
      <c r="C27" s="89">
        <v>8.7499999999999994E-2</v>
      </c>
    </row>
    <row r="28" spans="2:3" x14ac:dyDescent="0.35">
      <c r="B28" s="73">
        <v>2025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D180-0FF4-4071-9D4F-B4EB8F13F9EB}">
  <dimension ref="B3:AB330"/>
  <sheetViews>
    <sheetView showGridLines="0" topLeftCell="L2" zoomScale="82" workbookViewId="0">
      <selection activeCell="AA12" sqref="AA12"/>
    </sheetView>
  </sheetViews>
  <sheetFormatPr defaultRowHeight="14.5" x14ac:dyDescent="0.35"/>
  <cols>
    <col min="1" max="1" width="1.81640625" customWidth="1"/>
    <col min="2" max="2" width="17.54296875" customWidth="1"/>
    <col min="4" max="4" width="15.7265625" bestFit="1" customWidth="1"/>
    <col min="6" max="6" width="8.81640625" bestFit="1" customWidth="1"/>
    <col min="7" max="7" width="14.90625" bestFit="1" customWidth="1"/>
    <col min="23" max="23" width="5.1796875" bestFit="1" customWidth="1"/>
    <col min="24" max="24" width="15.54296875" bestFit="1" customWidth="1"/>
    <col min="25" max="25" width="8.81640625" bestFit="1" customWidth="1"/>
    <col min="26" max="26" width="13.7265625" bestFit="1" customWidth="1"/>
    <col min="27" max="27" width="10.08984375" bestFit="1" customWidth="1"/>
    <col min="28" max="28" width="8.6328125" bestFit="1" customWidth="1"/>
  </cols>
  <sheetData>
    <row r="3" spans="2:28" x14ac:dyDescent="0.35">
      <c r="B3" s="69" t="s">
        <v>226</v>
      </c>
      <c r="C3" s="69" t="s">
        <v>227</v>
      </c>
    </row>
    <row r="4" spans="2:28" x14ac:dyDescent="0.35">
      <c r="B4" t="s">
        <v>221</v>
      </c>
      <c r="C4" s="22">
        <f>K20</f>
        <v>0.86272612473069232</v>
      </c>
    </row>
    <row r="5" spans="2:28" x14ac:dyDescent="0.35">
      <c r="B5" t="s">
        <v>222</v>
      </c>
      <c r="C5" s="22">
        <f>K85</f>
        <v>0.89899319174260062</v>
      </c>
    </row>
    <row r="6" spans="2:28" x14ac:dyDescent="0.35">
      <c r="B6" t="s">
        <v>223</v>
      </c>
      <c r="C6" s="22">
        <f>K149</f>
        <v>0.85595808894073455</v>
      </c>
      <c r="W6" t="s">
        <v>239</v>
      </c>
      <c r="X6" t="s">
        <v>240</v>
      </c>
      <c r="Y6" t="s">
        <v>254</v>
      </c>
      <c r="Z6" t="s">
        <v>255</v>
      </c>
      <c r="AA6" t="s">
        <v>256</v>
      </c>
      <c r="AB6" t="s">
        <v>241</v>
      </c>
    </row>
    <row r="7" spans="2:28" x14ac:dyDescent="0.35">
      <c r="B7" t="s">
        <v>224</v>
      </c>
      <c r="C7" s="22">
        <f>K213</f>
        <v>0.52358956391752476</v>
      </c>
      <c r="W7">
        <v>1</v>
      </c>
      <c r="X7" t="s">
        <v>242</v>
      </c>
      <c r="Y7">
        <v>2370.4499999999998</v>
      </c>
      <c r="Z7">
        <v>556958.82999999996</v>
      </c>
      <c r="AA7">
        <v>1648</v>
      </c>
      <c r="AB7">
        <v>0.03</v>
      </c>
    </row>
    <row r="8" spans="2:28" x14ac:dyDescent="0.35">
      <c r="B8" t="s">
        <v>225</v>
      </c>
      <c r="C8" s="22">
        <f>K277</f>
        <v>0.99837782757454563</v>
      </c>
      <c r="W8">
        <v>2</v>
      </c>
      <c r="X8" t="s">
        <v>243</v>
      </c>
      <c r="Y8">
        <v>2418</v>
      </c>
      <c r="Z8">
        <v>233133.26</v>
      </c>
      <c r="AA8">
        <v>3915.47</v>
      </c>
      <c r="AB8">
        <v>0.95</v>
      </c>
    </row>
    <row r="9" spans="2:28" x14ac:dyDescent="0.35">
      <c r="W9">
        <v>3</v>
      </c>
      <c r="X9" t="s">
        <v>244</v>
      </c>
      <c r="Y9">
        <v>484.35</v>
      </c>
      <c r="Z9">
        <v>163800.65</v>
      </c>
      <c r="AA9">
        <v>2826.25</v>
      </c>
      <c r="AB9">
        <v>0.17</v>
      </c>
    </row>
    <row r="10" spans="2:28" x14ac:dyDescent="0.35">
      <c r="W10">
        <v>4</v>
      </c>
      <c r="X10" t="s">
        <v>245</v>
      </c>
      <c r="Y10">
        <v>5470.65</v>
      </c>
      <c r="Z10">
        <v>131770.63</v>
      </c>
      <c r="AA10">
        <v>1246.51</v>
      </c>
      <c r="AB10">
        <v>0.28999999999999998</v>
      </c>
    </row>
    <row r="11" spans="2:28" x14ac:dyDescent="0.35">
      <c r="B11" s="199" t="s">
        <v>220</v>
      </c>
      <c r="C11" s="199"/>
      <c r="D11" s="199"/>
      <c r="W11">
        <v>5</v>
      </c>
      <c r="X11" s="88" t="s">
        <v>221</v>
      </c>
      <c r="Y11">
        <v>1268.3</v>
      </c>
      <c r="Z11">
        <v>129748.08</v>
      </c>
      <c r="AA11">
        <v>4004.49</v>
      </c>
      <c r="AB11">
        <v>0.33</v>
      </c>
    </row>
    <row r="12" spans="2:28" x14ac:dyDescent="0.35">
      <c r="B12" s="195" t="s">
        <v>228</v>
      </c>
      <c r="C12" s="195"/>
      <c r="D12" s="195"/>
      <c r="F12" s="195" t="s">
        <v>230</v>
      </c>
      <c r="G12" s="195"/>
      <c r="I12" s="198" t="s">
        <v>214</v>
      </c>
      <c r="J12" s="198"/>
      <c r="K12" s="198"/>
      <c r="M12" t="s">
        <v>154</v>
      </c>
      <c r="W12">
        <v>6</v>
      </c>
      <c r="X12" t="s">
        <v>246</v>
      </c>
      <c r="Y12">
        <v>484</v>
      </c>
      <c r="Z12">
        <v>85780.17</v>
      </c>
      <c r="AA12">
        <v>950.37</v>
      </c>
      <c r="AB12">
        <v>0.09</v>
      </c>
    </row>
    <row r="13" spans="2:28" ht="15" thickBot="1" x14ac:dyDescent="0.4">
      <c r="B13" s="84" t="s">
        <v>206</v>
      </c>
      <c r="C13" s="81" t="s">
        <v>207</v>
      </c>
      <c r="D13" s="81" t="s">
        <v>229</v>
      </c>
      <c r="E13" s="85"/>
      <c r="F13" s="84" t="s">
        <v>207</v>
      </c>
      <c r="G13" s="86" t="s">
        <v>233</v>
      </c>
      <c r="W13">
        <v>7</v>
      </c>
      <c r="X13" t="s">
        <v>247</v>
      </c>
      <c r="Y13">
        <v>2509.3000000000002</v>
      </c>
      <c r="Z13">
        <v>68249.39</v>
      </c>
      <c r="AA13">
        <v>60.84</v>
      </c>
      <c r="AB13">
        <v>0.04</v>
      </c>
    </row>
    <row r="14" spans="2:28" x14ac:dyDescent="0.35">
      <c r="B14" s="73"/>
      <c r="C14" s="72"/>
      <c r="D14" s="72"/>
      <c r="F14" s="76"/>
      <c r="G14" s="77"/>
      <c r="I14" s="2" t="s">
        <v>215</v>
      </c>
      <c r="K14" s="22">
        <f>N29</f>
        <v>0.81696816630758984</v>
      </c>
      <c r="M14" s="63" t="s">
        <v>155</v>
      </c>
      <c r="N14" s="63"/>
      <c r="W14">
        <v>8</v>
      </c>
      <c r="X14" t="s">
        <v>248</v>
      </c>
      <c r="Y14">
        <v>14000.15</v>
      </c>
      <c r="Z14">
        <v>45445.52</v>
      </c>
      <c r="AA14">
        <v>2.3199999999999998</v>
      </c>
      <c r="AB14">
        <v>0</v>
      </c>
    </row>
    <row r="15" spans="2:28" x14ac:dyDescent="0.35">
      <c r="B15" s="74">
        <v>43983</v>
      </c>
      <c r="C15" s="72">
        <v>690.8</v>
      </c>
      <c r="D15" s="72"/>
      <c r="F15" s="78">
        <v>10302.1</v>
      </c>
      <c r="I15" t="s">
        <v>216</v>
      </c>
      <c r="K15" s="71">
        <v>0.75</v>
      </c>
      <c r="M15" t="s">
        <v>156</v>
      </c>
      <c r="N15">
        <v>0.42263832376775834</v>
      </c>
      <c r="W15">
        <v>9</v>
      </c>
      <c r="X15" t="s">
        <v>249</v>
      </c>
      <c r="Y15">
        <v>9352</v>
      </c>
      <c r="Z15">
        <v>30478.16</v>
      </c>
      <c r="AA15">
        <v>0.05</v>
      </c>
      <c r="AB15">
        <v>0</v>
      </c>
    </row>
    <row r="16" spans="2:28" x14ac:dyDescent="0.35">
      <c r="B16" s="74">
        <v>44013</v>
      </c>
      <c r="C16" s="72">
        <v>691.85</v>
      </c>
      <c r="D16" s="83">
        <f>C16/C15-1</f>
        <v>1.5199768384481782E-3</v>
      </c>
      <c r="F16" s="78">
        <v>11073.45</v>
      </c>
      <c r="G16" s="13">
        <f>F16/F15-1</f>
        <v>7.4873084128478595E-2</v>
      </c>
      <c r="M16" t="s">
        <v>157</v>
      </c>
      <c r="N16">
        <v>0.17862315271722054</v>
      </c>
      <c r="W16">
        <v>10</v>
      </c>
      <c r="X16" s="88" t="s">
        <v>222</v>
      </c>
      <c r="Y16">
        <v>590.29999999999995</v>
      </c>
      <c r="Z16">
        <v>25766.59</v>
      </c>
      <c r="AA16">
        <v>89.78</v>
      </c>
      <c r="AB16">
        <v>0.03</v>
      </c>
    </row>
    <row r="17" spans="2:28" x14ac:dyDescent="0.35">
      <c r="B17" s="74">
        <v>44044</v>
      </c>
      <c r="C17" s="72">
        <v>651.29999999999995</v>
      </c>
      <c r="D17" s="83">
        <f t="shared" ref="D17:D74" si="0">C17/C16-1</f>
        <v>-5.8610970586109756E-2</v>
      </c>
      <c r="F17" s="78">
        <v>11387.5</v>
      </c>
      <c r="G17" s="13">
        <f t="shared" ref="G17:G74" si="1">F17/F16-1</f>
        <v>2.8360628349791472E-2</v>
      </c>
      <c r="I17" t="s">
        <v>218</v>
      </c>
      <c r="K17" s="22">
        <v>1</v>
      </c>
      <c r="M17" t="s">
        <v>158</v>
      </c>
      <c r="N17">
        <v>0.1642130325894525</v>
      </c>
      <c r="W17">
        <v>11</v>
      </c>
      <c r="X17" t="s">
        <v>250</v>
      </c>
      <c r="Y17">
        <v>910.3</v>
      </c>
      <c r="Z17">
        <v>20276.77</v>
      </c>
      <c r="AA17">
        <v>2566.2600000000002</v>
      </c>
      <c r="AB17">
        <v>1.49</v>
      </c>
    </row>
    <row r="18" spans="2:28" x14ac:dyDescent="0.35">
      <c r="B18" s="74">
        <v>44075</v>
      </c>
      <c r="C18" s="72">
        <v>724.95</v>
      </c>
      <c r="D18" s="83">
        <f t="shared" si="0"/>
        <v>0.11308152924919401</v>
      </c>
      <c r="F18" s="78">
        <v>11247.55</v>
      </c>
      <c r="G18" s="13">
        <f t="shared" si="1"/>
        <v>-1.2289791437980258E-2</v>
      </c>
      <c r="I18" t="s">
        <v>217</v>
      </c>
      <c r="K18" s="71">
        <v>0.25</v>
      </c>
      <c r="M18" t="s">
        <v>159</v>
      </c>
      <c r="N18">
        <v>7.0131069303785473E-2</v>
      </c>
      <c r="W18">
        <v>12</v>
      </c>
      <c r="X18" t="s">
        <v>251</v>
      </c>
      <c r="Y18">
        <v>736.7</v>
      </c>
      <c r="Z18">
        <v>18461.189999999999</v>
      </c>
      <c r="AA18">
        <v>230.94</v>
      </c>
      <c r="AB18">
        <v>0.17</v>
      </c>
    </row>
    <row r="19" spans="2:28" ht="15" thickBot="1" x14ac:dyDescent="0.4">
      <c r="B19" s="74">
        <v>44105</v>
      </c>
      <c r="C19" s="72">
        <v>664.8</v>
      </c>
      <c r="D19" s="83">
        <f t="shared" si="0"/>
        <v>-8.2971239395820517E-2</v>
      </c>
      <c r="F19" s="78">
        <v>11642.4</v>
      </c>
      <c r="G19" s="13">
        <f t="shared" si="1"/>
        <v>3.5105422958777721E-2</v>
      </c>
      <c r="M19" s="61" t="s">
        <v>160</v>
      </c>
      <c r="N19" s="61">
        <v>59</v>
      </c>
      <c r="W19">
        <v>13</v>
      </c>
      <c r="X19" t="s">
        <v>252</v>
      </c>
      <c r="Y19">
        <v>420.8</v>
      </c>
      <c r="Z19">
        <v>14612.4</v>
      </c>
      <c r="AA19">
        <v>1261.04</v>
      </c>
      <c r="AB19">
        <v>0.33</v>
      </c>
    </row>
    <row r="20" spans="2:28" x14ac:dyDescent="0.35">
      <c r="B20" s="74">
        <v>44136</v>
      </c>
      <c r="C20" s="72">
        <v>699.75</v>
      </c>
      <c r="D20" s="83">
        <f t="shared" si="0"/>
        <v>5.2572202166065063E-2</v>
      </c>
      <c r="F20" s="78">
        <v>12968.95</v>
      </c>
      <c r="G20" s="13">
        <f t="shared" si="1"/>
        <v>0.11394128358414091</v>
      </c>
      <c r="I20" s="40" t="s">
        <v>219</v>
      </c>
      <c r="J20" s="40"/>
      <c r="K20" s="80">
        <f>(K14*K15)+(K17*K18)</f>
        <v>0.86272612473069232</v>
      </c>
      <c r="W20">
        <v>14</v>
      </c>
      <c r="X20" t="s">
        <v>253</v>
      </c>
      <c r="Y20">
        <v>753</v>
      </c>
      <c r="Z20">
        <v>14482.37</v>
      </c>
      <c r="AA20">
        <v>1395.98</v>
      </c>
      <c r="AB20">
        <v>0.59</v>
      </c>
    </row>
    <row r="21" spans="2:28" ht="15" thickBot="1" x14ac:dyDescent="0.4">
      <c r="B21" s="74">
        <v>44166</v>
      </c>
      <c r="C21" s="72">
        <v>740.15</v>
      </c>
      <c r="D21" s="83">
        <f t="shared" si="0"/>
        <v>5.773490532332981E-2</v>
      </c>
      <c r="F21" s="78">
        <v>13981.75</v>
      </c>
      <c r="G21" s="13">
        <f t="shared" si="1"/>
        <v>7.8094217342190353E-2</v>
      </c>
      <c r="M21" t="s">
        <v>161</v>
      </c>
      <c r="W21">
        <v>15</v>
      </c>
      <c r="X21" s="88" t="s">
        <v>223</v>
      </c>
      <c r="Y21">
        <v>345</v>
      </c>
      <c r="Z21">
        <v>12668.89</v>
      </c>
      <c r="AA21">
        <v>61.28</v>
      </c>
      <c r="AB21">
        <v>0.03</v>
      </c>
    </row>
    <row r="22" spans="2:28" x14ac:dyDescent="0.35">
      <c r="B22" s="74">
        <v>44197</v>
      </c>
      <c r="C22" s="72">
        <v>744.65</v>
      </c>
      <c r="D22" s="83">
        <f t="shared" si="0"/>
        <v>6.0798486793216533E-3</v>
      </c>
      <c r="F22" s="78">
        <v>13634.6</v>
      </c>
      <c r="G22" s="13">
        <f t="shared" si="1"/>
        <v>-2.4828794678777633E-2</v>
      </c>
      <c r="M22" s="62"/>
      <c r="N22" s="62" t="s">
        <v>165</v>
      </c>
      <c r="O22" s="62" t="s">
        <v>166</v>
      </c>
      <c r="P22" s="62" t="s">
        <v>167</v>
      </c>
      <c r="Q22" s="62" t="s">
        <v>168</v>
      </c>
      <c r="R22" s="62" t="s">
        <v>169</v>
      </c>
      <c r="W22">
        <v>29</v>
      </c>
      <c r="X22" t="s">
        <v>224</v>
      </c>
      <c r="Y22">
        <v>103.81</v>
      </c>
      <c r="Z22">
        <v>2786.97</v>
      </c>
      <c r="AA22">
        <v>19</v>
      </c>
      <c r="AB22">
        <v>0.06</v>
      </c>
    </row>
    <row r="23" spans="2:28" x14ac:dyDescent="0.35">
      <c r="B23" s="74">
        <v>44228</v>
      </c>
      <c r="C23" s="72">
        <v>686.4</v>
      </c>
      <c r="D23" s="83">
        <f t="shared" si="0"/>
        <v>-7.8224669307728423E-2</v>
      </c>
      <c r="F23" s="78">
        <v>14529.15</v>
      </c>
      <c r="G23" s="13">
        <f t="shared" si="1"/>
        <v>6.5608818740557018E-2</v>
      </c>
      <c r="M23" t="s">
        <v>162</v>
      </c>
      <c r="N23">
        <v>1</v>
      </c>
      <c r="O23">
        <v>6.0966472925852555E-2</v>
      </c>
      <c r="P23">
        <v>6.0966472925852555E-2</v>
      </c>
      <c r="Q23">
        <v>12.395674091086633</v>
      </c>
      <c r="R23">
        <v>8.5413898621966924E-4</v>
      </c>
      <c r="W23">
        <v>33</v>
      </c>
      <c r="X23" t="s">
        <v>225</v>
      </c>
      <c r="Y23">
        <v>178.25</v>
      </c>
      <c r="Z23">
        <v>2545.29</v>
      </c>
      <c r="AA23">
        <v>4.17</v>
      </c>
      <c r="AB23">
        <v>0.01</v>
      </c>
    </row>
    <row r="24" spans="2:28" x14ac:dyDescent="0.35">
      <c r="B24" s="74">
        <v>44256</v>
      </c>
      <c r="C24" s="72">
        <v>729.65</v>
      </c>
      <c r="D24" s="83">
        <f t="shared" si="0"/>
        <v>6.3009906759906809E-2</v>
      </c>
      <c r="F24" s="78">
        <v>14690.7</v>
      </c>
      <c r="G24" s="13">
        <f t="shared" si="1"/>
        <v>1.111902623346861E-2</v>
      </c>
      <c r="M24" t="s">
        <v>163</v>
      </c>
      <c r="N24">
        <v>57</v>
      </c>
      <c r="O24">
        <v>0.28034691225646458</v>
      </c>
      <c r="P24">
        <v>4.918366881692361E-3</v>
      </c>
    </row>
    <row r="25" spans="2:28" ht="15" thickBot="1" x14ac:dyDescent="0.4">
      <c r="B25" s="74">
        <v>44287</v>
      </c>
      <c r="C25" s="72">
        <v>691.75</v>
      </c>
      <c r="D25" s="83">
        <f t="shared" si="0"/>
        <v>-5.1942712259302359E-2</v>
      </c>
      <c r="F25" s="78">
        <v>14631.1</v>
      </c>
      <c r="G25" s="13">
        <f t="shared" si="1"/>
        <v>-4.0569884348601315E-3</v>
      </c>
      <c r="M25" s="61" t="s">
        <v>12</v>
      </c>
      <c r="N25" s="61">
        <v>58</v>
      </c>
      <c r="O25" s="61">
        <v>0.34131338518231713</v>
      </c>
      <c r="P25" s="61"/>
      <c r="Q25" s="61"/>
      <c r="R25" s="61"/>
    </row>
    <row r="26" spans="2:28" ht="15" thickBot="1" x14ac:dyDescent="0.4">
      <c r="B26" s="74">
        <v>44317</v>
      </c>
      <c r="C26" s="72">
        <v>856.55</v>
      </c>
      <c r="D26" s="83">
        <f t="shared" si="0"/>
        <v>0.2382363570654138</v>
      </c>
      <c r="F26" s="78">
        <v>15582.8</v>
      </c>
      <c r="G26" s="13">
        <f t="shared" si="1"/>
        <v>6.5046373820150105E-2</v>
      </c>
    </row>
    <row r="27" spans="2:28" x14ac:dyDescent="0.35">
      <c r="B27" s="74">
        <v>44348</v>
      </c>
      <c r="C27" s="72">
        <v>870.25</v>
      </c>
      <c r="D27" s="83">
        <f t="shared" si="0"/>
        <v>1.5994396123985899E-2</v>
      </c>
      <c r="F27" s="78">
        <v>15721.5</v>
      </c>
      <c r="G27" s="13">
        <f t="shared" si="1"/>
        <v>8.9008393870164682E-3</v>
      </c>
      <c r="M27" s="62"/>
      <c r="N27" s="62" t="s">
        <v>170</v>
      </c>
      <c r="O27" s="62" t="s">
        <v>159</v>
      </c>
      <c r="P27" s="62" t="s">
        <v>171</v>
      </c>
      <c r="Q27" s="62" t="s">
        <v>172</v>
      </c>
      <c r="R27" s="62" t="s">
        <v>173</v>
      </c>
      <c r="S27" s="62" t="s">
        <v>174</v>
      </c>
      <c r="T27" s="62" t="s">
        <v>175</v>
      </c>
      <c r="U27" s="62" t="s">
        <v>176</v>
      </c>
    </row>
    <row r="28" spans="2:28" x14ac:dyDescent="0.35">
      <c r="B28" s="74">
        <v>44378</v>
      </c>
      <c r="C28" s="72">
        <v>987.8</v>
      </c>
      <c r="D28" s="83">
        <f t="shared" si="0"/>
        <v>0.13507612754955467</v>
      </c>
      <c r="F28" s="78">
        <v>15763.05</v>
      </c>
      <c r="G28" s="13">
        <f t="shared" si="1"/>
        <v>2.6428775880162902E-3</v>
      </c>
      <c r="M28" t="s">
        <v>164</v>
      </c>
      <c r="N28">
        <v>2.8857919210039523E-4</v>
      </c>
      <c r="O28">
        <v>9.8370266197891562E-3</v>
      </c>
      <c r="P28">
        <v>2.9336018215083425E-2</v>
      </c>
      <c r="Q28">
        <v>0.97669907595958705</v>
      </c>
      <c r="R28">
        <v>-1.9409726836153555E-2</v>
      </c>
      <c r="S28">
        <v>1.9986885220354345E-2</v>
      </c>
      <c r="T28">
        <v>-1.9409726836153555E-2</v>
      </c>
      <c r="U28">
        <v>1.9986885220354345E-2</v>
      </c>
    </row>
    <row r="29" spans="2:28" ht="15" thickBot="1" x14ac:dyDescent="0.4">
      <c r="B29" s="74">
        <v>44409</v>
      </c>
      <c r="C29" s="82">
        <v>1099.3</v>
      </c>
      <c r="D29" s="83">
        <f t="shared" si="0"/>
        <v>0.11287710062765743</v>
      </c>
      <c r="F29" s="78">
        <v>17132.2</v>
      </c>
      <c r="G29" s="13">
        <f t="shared" si="1"/>
        <v>8.6858190515160638E-2</v>
      </c>
      <c r="M29" s="61" t="s">
        <v>213</v>
      </c>
      <c r="N29" s="61">
        <v>0.81696816630758984</v>
      </c>
      <c r="O29" s="61">
        <v>0.23204384848824047</v>
      </c>
      <c r="P29" s="61">
        <v>3.5207490809608433</v>
      </c>
      <c r="Q29" s="61">
        <v>8.5413898621967347E-4</v>
      </c>
      <c r="R29" s="61">
        <v>0.35230837466893267</v>
      </c>
      <c r="S29" s="61">
        <v>1.2816279579462471</v>
      </c>
      <c r="T29" s="61">
        <v>0.35230837466893267</v>
      </c>
      <c r="U29" s="61">
        <v>1.2816279579462471</v>
      </c>
    </row>
    <row r="30" spans="2:28" x14ac:dyDescent="0.35">
      <c r="B30" s="74">
        <v>44440</v>
      </c>
      <c r="C30" s="82">
        <v>1029.9000000000001</v>
      </c>
      <c r="D30" s="83">
        <f t="shared" si="0"/>
        <v>-6.313108341671958E-2</v>
      </c>
      <c r="F30" s="78">
        <v>17618.150000000001</v>
      </c>
      <c r="G30" s="13">
        <f t="shared" si="1"/>
        <v>2.8364716732235173E-2</v>
      </c>
    </row>
    <row r="31" spans="2:28" x14ac:dyDescent="0.35">
      <c r="B31" s="74">
        <v>44470</v>
      </c>
      <c r="C31" s="72">
        <v>956.65</v>
      </c>
      <c r="D31" s="83">
        <f t="shared" si="0"/>
        <v>-7.112341003980982E-2</v>
      </c>
      <c r="F31" s="78">
        <v>17671.650000000001</v>
      </c>
      <c r="G31" s="13">
        <f t="shared" si="1"/>
        <v>3.0366411910445201E-3</v>
      </c>
    </row>
    <row r="32" spans="2:28" x14ac:dyDescent="0.35">
      <c r="B32" s="74">
        <v>44501</v>
      </c>
      <c r="C32" s="72">
        <v>923.1</v>
      </c>
      <c r="D32" s="83">
        <f t="shared" si="0"/>
        <v>-3.5070297391940564E-2</v>
      </c>
      <c r="F32" s="78">
        <v>16983.2</v>
      </c>
      <c r="G32" s="13">
        <f t="shared" si="1"/>
        <v>-3.8957878862471818E-2</v>
      </c>
    </row>
    <row r="33" spans="2:7" x14ac:dyDescent="0.35">
      <c r="B33" s="74">
        <v>44531</v>
      </c>
      <c r="C33" s="72">
        <v>968.35</v>
      </c>
      <c r="D33" s="83">
        <f t="shared" si="0"/>
        <v>4.9019607843137303E-2</v>
      </c>
      <c r="F33" s="78">
        <v>17354.05</v>
      </c>
      <c r="G33" s="13">
        <f t="shared" si="1"/>
        <v>2.1836285270149247E-2</v>
      </c>
    </row>
    <row r="34" spans="2:7" x14ac:dyDescent="0.35">
      <c r="B34" s="74">
        <v>44562</v>
      </c>
      <c r="C34" s="72">
        <v>888.3</v>
      </c>
      <c r="D34" s="83">
        <f t="shared" si="0"/>
        <v>-8.2666391284143215E-2</v>
      </c>
      <c r="F34" s="78">
        <v>17339.849999999999</v>
      </c>
      <c r="G34" s="13">
        <f t="shared" si="1"/>
        <v>-8.1825279977876253E-4</v>
      </c>
    </row>
    <row r="35" spans="2:7" x14ac:dyDescent="0.35">
      <c r="B35" s="74">
        <v>44593</v>
      </c>
      <c r="C35" s="72">
        <v>767.95</v>
      </c>
      <c r="D35" s="83">
        <f t="shared" si="0"/>
        <v>-0.13548350782393326</v>
      </c>
      <c r="F35" s="78">
        <v>16793.900000000001</v>
      </c>
      <c r="G35" s="13">
        <f t="shared" si="1"/>
        <v>-3.1485278131010208E-2</v>
      </c>
    </row>
    <row r="36" spans="2:7" x14ac:dyDescent="0.35">
      <c r="B36" s="74">
        <v>44621</v>
      </c>
      <c r="C36" s="72">
        <v>747.3</v>
      </c>
      <c r="D36" s="83">
        <f t="shared" si="0"/>
        <v>-2.6889771469496782E-2</v>
      </c>
      <c r="F36" s="78">
        <v>17464.75</v>
      </c>
      <c r="G36" s="13">
        <f t="shared" si="1"/>
        <v>3.9946051840251462E-2</v>
      </c>
    </row>
    <row r="37" spans="2:7" x14ac:dyDescent="0.35">
      <c r="B37" s="74">
        <v>44652</v>
      </c>
      <c r="C37" s="72">
        <v>782.4</v>
      </c>
      <c r="D37" s="83">
        <f t="shared" si="0"/>
        <v>4.6969088719389873E-2</v>
      </c>
      <c r="F37" s="78">
        <v>17102.55</v>
      </c>
      <c r="G37" s="13">
        <f t="shared" si="1"/>
        <v>-2.0738916961307807E-2</v>
      </c>
    </row>
    <row r="38" spans="2:7" x14ac:dyDescent="0.35">
      <c r="B38" s="74">
        <v>44682</v>
      </c>
      <c r="C38" s="72">
        <v>766.95</v>
      </c>
      <c r="D38" s="83">
        <f t="shared" si="0"/>
        <v>-1.9746932515337323E-2</v>
      </c>
      <c r="F38" s="78">
        <v>16584.55</v>
      </c>
      <c r="G38" s="13">
        <f t="shared" si="1"/>
        <v>-3.0287881046978327E-2</v>
      </c>
    </row>
    <row r="39" spans="2:7" x14ac:dyDescent="0.35">
      <c r="B39" s="74">
        <v>44713</v>
      </c>
      <c r="C39" s="72">
        <v>757.55</v>
      </c>
      <c r="D39" s="83">
        <f t="shared" si="0"/>
        <v>-1.2256340048243164E-2</v>
      </c>
      <c r="F39" s="78">
        <v>15780.25</v>
      </c>
      <c r="G39" s="13">
        <f t="shared" si="1"/>
        <v>-4.8496944445281853E-2</v>
      </c>
    </row>
    <row r="40" spans="2:7" x14ac:dyDescent="0.35">
      <c r="B40" s="74">
        <v>44743</v>
      </c>
      <c r="C40" s="72">
        <v>853.75</v>
      </c>
      <c r="D40" s="83">
        <f t="shared" si="0"/>
        <v>0.12698831760279861</v>
      </c>
      <c r="F40" s="78">
        <v>17158.25</v>
      </c>
      <c r="G40" s="13">
        <f t="shared" si="1"/>
        <v>8.7324345305048956E-2</v>
      </c>
    </row>
    <row r="41" spans="2:7" x14ac:dyDescent="0.35">
      <c r="B41" s="74">
        <v>44774</v>
      </c>
      <c r="C41" s="72">
        <v>924.25</v>
      </c>
      <c r="D41" s="83">
        <f t="shared" si="0"/>
        <v>8.2576866764275225E-2</v>
      </c>
      <c r="F41" s="78">
        <v>17759.3</v>
      </c>
      <c r="G41" s="13">
        <f t="shared" si="1"/>
        <v>3.5029796162195925E-2</v>
      </c>
    </row>
    <row r="42" spans="2:7" x14ac:dyDescent="0.35">
      <c r="B42" s="74">
        <v>44805</v>
      </c>
      <c r="C42" s="72">
        <v>910.45</v>
      </c>
      <c r="D42" s="83">
        <f t="shared" si="0"/>
        <v>-1.4931025155531463E-2</v>
      </c>
      <c r="F42" s="78">
        <v>17094.349999999999</v>
      </c>
      <c r="G42" s="13">
        <f t="shared" si="1"/>
        <v>-3.7442354146841383E-2</v>
      </c>
    </row>
    <row r="43" spans="2:7" x14ac:dyDescent="0.35">
      <c r="B43" s="74">
        <v>44835</v>
      </c>
      <c r="C43" s="72">
        <v>829.3</v>
      </c>
      <c r="D43" s="83">
        <f t="shared" si="0"/>
        <v>-8.9131748036685221E-2</v>
      </c>
      <c r="F43" s="78">
        <v>18012.2</v>
      </c>
      <c r="G43" s="13">
        <f t="shared" si="1"/>
        <v>5.3693179325332796E-2</v>
      </c>
    </row>
    <row r="44" spans="2:7" x14ac:dyDescent="0.35">
      <c r="B44" s="74">
        <v>44866</v>
      </c>
      <c r="C44" s="72">
        <v>881.45</v>
      </c>
      <c r="D44" s="83">
        <f t="shared" si="0"/>
        <v>6.2884360303870901E-2</v>
      </c>
      <c r="F44" s="78">
        <v>18758.349999999999</v>
      </c>
      <c r="G44" s="13">
        <f t="shared" si="1"/>
        <v>4.1424701035964295E-2</v>
      </c>
    </row>
    <row r="45" spans="2:7" x14ac:dyDescent="0.35">
      <c r="B45" s="74">
        <v>44896</v>
      </c>
      <c r="C45" s="72">
        <v>874.05</v>
      </c>
      <c r="D45" s="83">
        <f t="shared" si="0"/>
        <v>-8.3952578138295486E-3</v>
      </c>
      <c r="F45" s="78">
        <v>18105.3</v>
      </c>
      <c r="G45" s="13">
        <f t="shared" si="1"/>
        <v>-3.4813829574562805E-2</v>
      </c>
    </row>
    <row r="46" spans="2:7" x14ac:dyDescent="0.35">
      <c r="B46" s="74">
        <v>44927</v>
      </c>
      <c r="C46" s="72">
        <v>913.25</v>
      </c>
      <c r="D46" s="83">
        <f t="shared" si="0"/>
        <v>4.4848692866540807E-2</v>
      </c>
      <c r="F46" s="78">
        <v>17662.150000000001</v>
      </c>
      <c r="G46" s="13">
        <f t="shared" si="1"/>
        <v>-2.4476258333195111E-2</v>
      </c>
    </row>
    <row r="47" spans="2:7" x14ac:dyDescent="0.35">
      <c r="B47" s="74">
        <v>44958</v>
      </c>
      <c r="C47" s="72">
        <v>923.3</v>
      </c>
      <c r="D47" s="83">
        <f t="shared" si="0"/>
        <v>1.1004653709280054E-2</v>
      </c>
      <c r="F47" s="78">
        <v>17303.95</v>
      </c>
      <c r="G47" s="13">
        <f t="shared" si="1"/>
        <v>-2.0280656658447582E-2</v>
      </c>
    </row>
    <row r="48" spans="2:7" x14ac:dyDescent="0.35">
      <c r="B48" s="74">
        <v>44986</v>
      </c>
      <c r="C48" s="72">
        <v>968.15</v>
      </c>
      <c r="D48" s="83">
        <f t="shared" si="0"/>
        <v>4.8575760857792805E-2</v>
      </c>
      <c r="F48" s="78">
        <v>17359.75</v>
      </c>
      <c r="G48" s="13">
        <f t="shared" si="1"/>
        <v>3.2246972512055549E-3</v>
      </c>
    </row>
    <row r="49" spans="2:7" x14ac:dyDescent="0.35">
      <c r="B49" s="74">
        <v>45017</v>
      </c>
      <c r="C49" s="72">
        <v>907.5</v>
      </c>
      <c r="D49" s="83">
        <f t="shared" si="0"/>
        <v>-6.2645251252388512E-2</v>
      </c>
      <c r="F49" s="78">
        <v>18065</v>
      </c>
      <c r="G49" s="13">
        <f t="shared" si="1"/>
        <v>4.0625585045867663E-2</v>
      </c>
    </row>
    <row r="50" spans="2:7" x14ac:dyDescent="0.35">
      <c r="B50" s="74">
        <v>45047</v>
      </c>
      <c r="C50" s="82">
        <v>1058.3499999999999</v>
      </c>
      <c r="D50" s="83">
        <f t="shared" si="0"/>
        <v>0.16622589531680432</v>
      </c>
      <c r="F50" s="78">
        <v>18534.400000000001</v>
      </c>
      <c r="G50" s="13">
        <f t="shared" si="1"/>
        <v>2.5983946858566309E-2</v>
      </c>
    </row>
    <row r="51" spans="2:7" x14ac:dyDescent="0.35">
      <c r="B51" s="74">
        <v>45078</v>
      </c>
      <c r="C51" s="82">
        <v>1081</v>
      </c>
      <c r="D51" s="83">
        <f t="shared" si="0"/>
        <v>2.1401237775783066E-2</v>
      </c>
      <c r="F51" s="78">
        <v>19189.05</v>
      </c>
      <c r="G51" s="13">
        <f t="shared" si="1"/>
        <v>3.5320808874309328E-2</v>
      </c>
    </row>
    <row r="52" spans="2:7" x14ac:dyDescent="0.35">
      <c r="B52" s="74">
        <v>45108</v>
      </c>
      <c r="C52" s="82">
        <v>1035.95</v>
      </c>
      <c r="D52" s="83">
        <f t="shared" si="0"/>
        <v>-4.1674375578168332E-2</v>
      </c>
      <c r="F52" s="78">
        <v>19753.8</v>
      </c>
      <c r="G52" s="13">
        <f t="shared" si="1"/>
        <v>2.9430847280089489E-2</v>
      </c>
    </row>
    <row r="53" spans="2:7" x14ac:dyDescent="0.35">
      <c r="B53" s="74">
        <v>45139</v>
      </c>
      <c r="C53" s="82">
        <v>1005.15</v>
      </c>
      <c r="D53" s="83">
        <f t="shared" si="0"/>
        <v>-2.973116463149772E-2</v>
      </c>
      <c r="F53" s="78">
        <v>19253.8</v>
      </c>
      <c r="G53" s="13">
        <f t="shared" si="1"/>
        <v>-2.5311585618969512E-2</v>
      </c>
    </row>
    <row r="54" spans="2:7" x14ac:dyDescent="0.35">
      <c r="B54" s="74">
        <v>45170</v>
      </c>
      <c r="C54" s="72">
        <v>991.6</v>
      </c>
      <c r="D54" s="83">
        <f t="shared" si="0"/>
        <v>-1.3480575038551379E-2</v>
      </c>
      <c r="F54" s="78">
        <v>19638.3</v>
      </c>
      <c r="G54" s="13">
        <f t="shared" si="1"/>
        <v>1.9970083827608009E-2</v>
      </c>
    </row>
    <row r="55" spans="2:7" x14ac:dyDescent="0.35">
      <c r="B55" s="74">
        <v>45200</v>
      </c>
      <c r="C55" s="72">
        <v>991.85</v>
      </c>
      <c r="D55" s="83">
        <f t="shared" si="0"/>
        <v>2.5211778943123875E-4</v>
      </c>
      <c r="F55" s="78">
        <v>19079.599999999999</v>
      </c>
      <c r="G55" s="13">
        <f t="shared" si="1"/>
        <v>-2.844950937708457E-2</v>
      </c>
    </row>
    <row r="56" spans="2:7" x14ac:dyDescent="0.35">
      <c r="B56" s="74">
        <v>45231</v>
      </c>
      <c r="C56" s="82">
        <v>1008.2</v>
      </c>
      <c r="D56" s="83">
        <f t="shared" si="0"/>
        <v>1.6484347431567237E-2</v>
      </c>
      <c r="F56" s="78">
        <v>20133.150000000001</v>
      </c>
      <c r="G56" s="13">
        <f t="shared" si="1"/>
        <v>5.5218662865049728E-2</v>
      </c>
    </row>
    <row r="57" spans="2:7" x14ac:dyDescent="0.35">
      <c r="B57" s="74">
        <v>45261</v>
      </c>
      <c r="C57" s="82">
        <v>1131.2</v>
      </c>
      <c r="D57" s="83">
        <f t="shared" si="0"/>
        <v>0.12199960325332282</v>
      </c>
      <c r="F57" s="78">
        <v>21731.4</v>
      </c>
      <c r="G57" s="13">
        <f t="shared" si="1"/>
        <v>7.9384001013254268E-2</v>
      </c>
    </row>
    <row r="58" spans="2:7" x14ac:dyDescent="0.35">
      <c r="B58" s="74">
        <v>45292</v>
      </c>
      <c r="C58" s="82">
        <v>1164.2</v>
      </c>
      <c r="D58" s="83">
        <f t="shared" si="0"/>
        <v>2.9172560113154278E-2</v>
      </c>
      <c r="F58" s="78">
        <v>21725.7</v>
      </c>
      <c r="G58" s="13">
        <f t="shared" si="1"/>
        <v>-2.6229327148741266E-4</v>
      </c>
    </row>
    <row r="59" spans="2:7" x14ac:dyDescent="0.35">
      <c r="B59" s="74">
        <v>45323</v>
      </c>
      <c r="C59" s="82">
        <v>1257.7</v>
      </c>
      <c r="D59" s="83">
        <f t="shared" si="0"/>
        <v>8.0312661054801504E-2</v>
      </c>
      <c r="F59" s="78">
        <v>21982.799999999999</v>
      </c>
      <c r="G59" s="13">
        <f t="shared" si="1"/>
        <v>1.1833910990209695E-2</v>
      </c>
    </row>
    <row r="60" spans="2:7" x14ac:dyDescent="0.35">
      <c r="B60" s="74">
        <v>45352</v>
      </c>
      <c r="C60" s="82">
        <v>1251.8</v>
      </c>
      <c r="D60" s="83">
        <f t="shared" si="0"/>
        <v>-4.6911028067107008E-3</v>
      </c>
      <c r="F60" s="78">
        <v>22326.9</v>
      </c>
      <c r="G60" s="13">
        <f t="shared" si="1"/>
        <v>1.5653147005840973E-2</v>
      </c>
    </row>
    <row r="61" spans="2:7" x14ac:dyDescent="0.35">
      <c r="B61" s="74">
        <v>45383</v>
      </c>
      <c r="C61" s="82">
        <v>1219.5</v>
      </c>
      <c r="D61" s="83">
        <f t="shared" si="0"/>
        <v>-2.5802843904777051E-2</v>
      </c>
      <c r="F61" s="78">
        <v>22604.85</v>
      </c>
      <c r="G61" s="13">
        <f t="shared" si="1"/>
        <v>1.2449108474530624E-2</v>
      </c>
    </row>
    <row r="62" spans="2:7" x14ac:dyDescent="0.35">
      <c r="B62" s="74">
        <v>45413</v>
      </c>
      <c r="C62" s="82">
        <v>1270.3499999999999</v>
      </c>
      <c r="D62" s="83">
        <f t="shared" si="0"/>
        <v>4.1697416974169732E-2</v>
      </c>
      <c r="F62" s="78">
        <v>22530.7</v>
      </c>
      <c r="G62" s="13">
        <f t="shared" si="1"/>
        <v>-3.2802694996869608E-3</v>
      </c>
    </row>
    <row r="63" spans="2:7" x14ac:dyDescent="0.35">
      <c r="B63" s="74">
        <v>45444</v>
      </c>
      <c r="C63" s="82">
        <v>1375.85</v>
      </c>
      <c r="D63" s="83">
        <f t="shared" si="0"/>
        <v>8.3047978903451725E-2</v>
      </c>
      <c r="F63" s="78">
        <v>24010.6</v>
      </c>
      <c r="G63" s="13">
        <f t="shared" si="1"/>
        <v>6.5683711558007341E-2</v>
      </c>
    </row>
    <row r="64" spans="2:7" x14ac:dyDescent="0.35">
      <c r="B64" s="74">
        <v>45474</v>
      </c>
      <c r="C64" s="82">
        <v>1440.75</v>
      </c>
      <c r="D64" s="83">
        <f t="shared" si="0"/>
        <v>4.7170839844459911E-2</v>
      </c>
      <c r="F64" s="78">
        <v>24951.15</v>
      </c>
      <c r="G64" s="13">
        <f t="shared" si="1"/>
        <v>3.917228224200997E-2</v>
      </c>
    </row>
    <row r="65" spans="2:14" x14ac:dyDescent="0.35">
      <c r="B65" s="74">
        <v>45505</v>
      </c>
      <c r="C65" s="82">
        <v>1481.2</v>
      </c>
      <c r="D65" s="83">
        <f t="shared" si="0"/>
        <v>2.807565504077747E-2</v>
      </c>
      <c r="F65" s="78">
        <v>25235.9</v>
      </c>
      <c r="G65" s="13">
        <f t="shared" si="1"/>
        <v>1.141229963348378E-2</v>
      </c>
    </row>
    <row r="66" spans="2:14" x14ac:dyDescent="0.35">
      <c r="B66" s="74">
        <v>45536</v>
      </c>
      <c r="C66" s="82">
        <v>1393.4</v>
      </c>
      <c r="D66" s="83">
        <f t="shared" si="0"/>
        <v>-5.9276262489873055E-2</v>
      </c>
      <c r="F66" s="78">
        <v>25810.85</v>
      </c>
      <c r="G66" s="13">
        <f t="shared" si="1"/>
        <v>2.2783019428670892E-2</v>
      </c>
    </row>
    <row r="67" spans="2:14" x14ac:dyDescent="0.35">
      <c r="B67" s="74">
        <v>45566</v>
      </c>
      <c r="C67" s="82">
        <v>1283.1500000000001</v>
      </c>
      <c r="D67" s="83">
        <f t="shared" si="0"/>
        <v>-7.9123008468494294E-2</v>
      </c>
      <c r="F67" s="78">
        <v>24205.35</v>
      </c>
      <c r="G67" s="13">
        <f t="shared" si="1"/>
        <v>-6.2202523357425266E-2</v>
      </c>
    </row>
    <row r="68" spans="2:14" x14ac:dyDescent="0.35">
      <c r="B68" s="74">
        <v>45597</v>
      </c>
      <c r="C68" s="82">
        <v>1244.6500000000001</v>
      </c>
      <c r="D68" s="83">
        <f t="shared" si="0"/>
        <v>-3.0004286326618113E-2</v>
      </c>
      <c r="F68" s="78">
        <v>24131.1</v>
      </c>
      <c r="G68" s="13">
        <f t="shared" si="1"/>
        <v>-3.0675036717089377E-3</v>
      </c>
    </row>
    <row r="69" spans="2:14" x14ac:dyDescent="0.35">
      <c r="B69" s="74">
        <v>45627</v>
      </c>
      <c r="C69" s="82">
        <v>1082.05</v>
      </c>
      <c r="D69" s="83">
        <f t="shared" si="0"/>
        <v>-0.13063913549993988</v>
      </c>
      <c r="F69" s="78">
        <v>23644.799999999999</v>
      </c>
      <c r="G69" s="13">
        <f t="shared" si="1"/>
        <v>-2.0152417419844082E-2</v>
      </c>
    </row>
    <row r="70" spans="2:14" x14ac:dyDescent="0.35">
      <c r="B70" s="74">
        <v>45658</v>
      </c>
      <c r="C70" s="82">
        <v>1121.25</v>
      </c>
      <c r="D70" s="83">
        <f t="shared" si="0"/>
        <v>3.6227531075273767E-2</v>
      </c>
      <c r="F70" s="78">
        <v>23508.400000000001</v>
      </c>
      <c r="G70" s="13">
        <f t="shared" si="1"/>
        <v>-5.7687102449586192E-3</v>
      </c>
    </row>
    <row r="71" spans="2:14" x14ac:dyDescent="0.35">
      <c r="B71" s="74">
        <v>45689</v>
      </c>
      <c r="C71" s="82">
        <v>1005.15</v>
      </c>
      <c r="D71" s="83">
        <f t="shared" si="0"/>
        <v>-0.10354515050167223</v>
      </c>
      <c r="F71" s="78">
        <v>22124.7</v>
      </c>
      <c r="G71" s="13">
        <f t="shared" si="1"/>
        <v>-5.8859811811948104E-2</v>
      </c>
    </row>
    <row r="72" spans="2:14" x14ac:dyDescent="0.35">
      <c r="B72" s="74">
        <v>45717</v>
      </c>
      <c r="C72" s="82">
        <v>1159.25</v>
      </c>
      <c r="D72" s="83">
        <f t="shared" si="0"/>
        <v>0.15331045117644138</v>
      </c>
      <c r="F72" s="78">
        <v>23519.35</v>
      </c>
      <c r="G72" s="13">
        <f t="shared" si="1"/>
        <v>6.3035882972424462E-2</v>
      </c>
    </row>
    <row r="73" spans="2:14" x14ac:dyDescent="0.35">
      <c r="B73" s="74">
        <v>45748</v>
      </c>
      <c r="C73" s="82">
        <v>1260.5</v>
      </c>
      <c r="D73" s="83">
        <f t="shared" si="0"/>
        <v>8.734095320250157E-2</v>
      </c>
      <c r="F73" s="78">
        <v>24334.2</v>
      </c>
      <c r="G73" s="13">
        <f t="shared" si="1"/>
        <v>3.4645940470293679E-2</v>
      </c>
    </row>
    <row r="74" spans="2:14" x14ac:dyDescent="0.35">
      <c r="B74" s="74">
        <v>45778</v>
      </c>
      <c r="C74" s="82">
        <v>1269.3</v>
      </c>
      <c r="D74" s="83">
        <f t="shared" si="0"/>
        <v>6.9813566045220377E-3</v>
      </c>
      <c r="F74" s="78">
        <v>24826.2</v>
      </c>
      <c r="G74" s="13">
        <f t="shared" si="1"/>
        <v>2.0218457972729809E-2</v>
      </c>
    </row>
    <row r="76" spans="2:14" x14ac:dyDescent="0.35">
      <c r="B76" s="199" t="s">
        <v>220</v>
      </c>
      <c r="C76" s="199"/>
      <c r="D76" s="199"/>
    </row>
    <row r="77" spans="2:14" x14ac:dyDescent="0.35">
      <c r="B77" s="195" t="s">
        <v>231</v>
      </c>
      <c r="C77" s="195"/>
      <c r="D77" s="195"/>
      <c r="F77" s="195" t="s">
        <v>230</v>
      </c>
      <c r="G77" s="195"/>
      <c r="I77" s="198" t="s">
        <v>214</v>
      </c>
      <c r="J77" s="198"/>
      <c r="K77" s="198"/>
      <c r="M77" t="s">
        <v>154</v>
      </c>
    </row>
    <row r="78" spans="2:14" ht="15" thickBot="1" x14ac:dyDescent="0.4">
      <c r="B78" s="84" t="s">
        <v>206</v>
      </c>
      <c r="C78" s="81" t="s">
        <v>207</v>
      </c>
      <c r="D78" s="81" t="s">
        <v>229</v>
      </c>
      <c r="F78" s="84" t="s">
        <v>207</v>
      </c>
      <c r="G78" s="86" t="s">
        <v>232</v>
      </c>
    </row>
    <row r="79" spans="2:14" x14ac:dyDescent="0.35">
      <c r="B79" s="74">
        <v>43983</v>
      </c>
      <c r="C79" s="72">
        <v>220.8</v>
      </c>
      <c r="D79" s="83"/>
      <c r="F79" s="78">
        <v>10302.1</v>
      </c>
      <c r="G79" s="77"/>
      <c r="I79" s="2" t="s">
        <v>215</v>
      </c>
      <c r="K79" s="22">
        <f>N94</f>
        <v>0.86532425565680082</v>
      </c>
      <c r="M79" s="63" t="s">
        <v>155</v>
      </c>
      <c r="N79" s="63"/>
    </row>
    <row r="80" spans="2:14" x14ac:dyDescent="0.35">
      <c r="B80" s="74">
        <v>44013</v>
      </c>
      <c r="C80" s="72">
        <v>239.85</v>
      </c>
      <c r="D80" s="83">
        <f t="shared" ref="D80:D111" si="2">C80/C79-1</f>
        <v>8.6277173913043459E-2</v>
      </c>
      <c r="F80" s="78">
        <v>11073.45</v>
      </c>
      <c r="G80" s="13">
        <f>F80/F79-1</f>
        <v>7.4873084128478595E-2</v>
      </c>
      <c r="I80" t="s">
        <v>216</v>
      </c>
      <c r="K80" s="71">
        <v>0.75</v>
      </c>
      <c r="M80" t="s">
        <v>156</v>
      </c>
      <c r="N80">
        <v>0.31456224981244174</v>
      </c>
    </row>
    <row r="81" spans="2:21" x14ac:dyDescent="0.35">
      <c r="B81" s="74">
        <v>44044</v>
      </c>
      <c r="C81" s="72">
        <v>356.95</v>
      </c>
      <c r="D81" s="83">
        <f t="shared" si="2"/>
        <v>0.48822180529497605</v>
      </c>
      <c r="F81" s="78">
        <v>11387.5</v>
      </c>
      <c r="G81" s="13">
        <f t="shared" ref="G81:G138" si="3">F81/F80-1</f>
        <v>2.8360628349791472E-2</v>
      </c>
      <c r="M81" t="s">
        <v>157</v>
      </c>
      <c r="N81">
        <v>9.8949409007065003E-2</v>
      </c>
    </row>
    <row r="82" spans="2:21" x14ac:dyDescent="0.35">
      <c r="B82" s="74">
        <v>44075</v>
      </c>
      <c r="C82" s="72">
        <v>351.3</v>
      </c>
      <c r="D82" s="83">
        <f t="shared" si="2"/>
        <v>-1.5828547415604355E-2</v>
      </c>
      <c r="F82" s="78">
        <v>11247.55</v>
      </c>
      <c r="G82" s="13">
        <f t="shared" si="3"/>
        <v>-1.2289791437980258E-2</v>
      </c>
      <c r="I82" t="s">
        <v>218</v>
      </c>
      <c r="K82" s="22">
        <v>1</v>
      </c>
      <c r="M82" t="s">
        <v>158</v>
      </c>
      <c r="N82">
        <v>8.314150390192579E-2</v>
      </c>
    </row>
    <row r="83" spans="2:21" x14ac:dyDescent="0.35">
      <c r="B83" s="74">
        <v>44105</v>
      </c>
      <c r="C83" s="72">
        <v>361.95</v>
      </c>
      <c r="D83" s="83">
        <f t="shared" si="2"/>
        <v>3.0315969257045161E-2</v>
      </c>
      <c r="F83" s="78">
        <v>11642.4</v>
      </c>
      <c r="G83" s="13">
        <f t="shared" si="3"/>
        <v>3.5105422958777721E-2</v>
      </c>
      <c r="I83" t="s">
        <v>217</v>
      </c>
      <c r="K83" s="71">
        <v>0.25</v>
      </c>
      <c r="M83" t="s">
        <v>159</v>
      </c>
      <c r="N83">
        <v>0.10453213875421971</v>
      </c>
    </row>
    <row r="84" spans="2:21" ht="15" thickBot="1" x14ac:dyDescent="0.4">
      <c r="B84" s="74">
        <v>44136</v>
      </c>
      <c r="C84" s="72">
        <v>440.35</v>
      </c>
      <c r="D84" s="83">
        <f t="shared" si="2"/>
        <v>0.21660450338444548</v>
      </c>
      <c r="F84" s="78">
        <v>12968.95</v>
      </c>
      <c r="G84" s="13">
        <f t="shared" si="3"/>
        <v>0.11394128358414091</v>
      </c>
      <c r="M84" s="61" t="s">
        <v>160</v>
      </c>
      <c r="N84" s="61">
        <v>59</v>
      </c>
    </row>
    <row r="85" spans="2:21" x14ac:dyDescent="0.35">
      <c r="B85" s="74">
        <v>44166</v>
      </c>
      <c r="C85" s="72">
        <v>423.75</v>
      </c>
      <c r="D85" s="83">
        <f t="shared" si="2"/>
        <v>-3.7697286249574247E-2</v>
      </c>
      <c r="F85" s="78">
        <v>13981.75</v>
      </c>
      <c r="G85" s="13">
        <f t="shared" si="3"/>
        <v>7.8094217342190353E-2</v>
      </c>
      <c r="I85" s="40" t="s">
        <v>219</v>
      </c>
      <c r="J85" s="40"/>
      <c r="K85" s="80">
        <f>(K79*K80)+(K82*K83)</f>
        <v>0.89899319174260062</v>
      </c>
    </row>
    <row r="86" spans="2:21" ht="15" thickBot="1" x14ac:dyDescent="0.4">
      <c r="B86" s="74">
        <v>44197</v>
      </c>
      <c r="C86" s="72">
        <v>483.05</v>
      </c>
      <c r="D86" s="83">
        <f t="shared" si="2"/>
        <v>0.13994100294985246</v>
      </c>
      <c r="F86" s="78">
        <v>13634.6</v>
      </c>
      <c r="G86" s="13">
        <f t="shared" si="3"/>
        <v>-2.4828794678777633E-2</v>
      </c>
      <c r="M86" t="s">
        <v>161</v>
      </c>
    </row>
    <row r="87" spans="2:21" x14ac:dyDescent="0.35">
      <c r="B87" s="74">
        <v>44228</v>
      </c>
      <c r="C87" s="72">
        <v>455.2</v>
      </c>
      <c r="D87" s="83">
        <f t="shared" si="2"/>
        <v>-5.7654487113135366E-2</v>
      </c>
      <c r="F87" s="78">
        <v>14529.15</v>
      </c>
      <c r="G87" s="13">
        <f t="shared" si="3"/>
        <v>6.5608818740557018E-2</v>
      </c>
      <c r="M87" s="62"/>
      <c r="N87" s="62" t="s">
        <v>165</v>
      </c>
      <c r="O87" s="62" t="s">
        <v>166</v>
      </c>
      <c r="P87" s="62" t="s">
        <v>167</v>
      </c>
      <c r="Q87" s="62" t="s">
        <v>168</v>
      </c>
      <c r="R87" s="62" t="s">
        <v>169</v>
      </c>
    </row>
    <row r="88" spans="2:21" x14ac:dyDescent="0.35">
      <c r="B88" s="74">
        <v>44256</v>
      </c>
      <c r="C88" s="72">
        <v>486</v>
      </c>
      <c r="D88" s="83">
        <f t="shared" si="2"/>
        <v>6.7662565905096672E-2</v>
      </c>
      <c r="F88" s="78">
        <v>14690.7</v>
      </c>
      <c r="G88" s="13">
        <f t="shared" si="3"/>
        <v>1.111902623346861E-2</v>
      </c>
      <c r="M88" t="s">
        <v>162</v>
      </c>
      <c r="N88">
        <v>1</v>
      </c>
      <c r="O88">
        <v>6.8397236817076434E-2</v>
      </c>
      <c r="P88">
        <v>6.8397236817076434E-2</v>
      </c>
      <c r="Q88">
        <v>6.2594890561998735</v>
      </c>
      <c r="R88">
        <v>1.5247551162647935E-2</v>
      </c>
    </row>
    <row r="89" spans="2:21" x14ac:dyDescent="0.35">
      <c r="B89" s="74">
        <v>44287</v>
      </c>
      <c r="C89" s="72">
        <v>491.65</v>
      </c>
      <c r="D89" s="83">
        <f t="shared" si="2"/>
        <v>1.1625514403292181E-2</v>
      </c>
      <c r="F89" s="78">
        <v>14631.1</v>
      </c>
      <c r="G89" s="13">
        <f t="shared" si="3"/>
        <v>-4.0569884348601315E-3</v>
      </c>
      <c r="M89" t="s">
        <v>163</v>
      </c>
      <c r="N89">
        <v>57</v>
      </c>
      <c r="O89">
        <v>0.62283717785429227</v>
      </c>
      <c r="P89">
        <v>1.0926968032531443E-2</v>
      </c>
    </row>
    <row r="90" spans="2:21" ht="15" thickBot="1" x14ac:dyDescent="0.4">
      <c r="B90" s="74">
        <v>44317</v>
      </c>
      <c r="C90" s="72">
        <v>501.1</v>
      </c>
      <c r="D90" s="83">
        <f t="shared" si="2"/>
        <v>1.9220990542052396E-2</v>
      </c>
      <c r="F90" s="78">
        <v>15582.8</v>
      </c>
      <c r="G90" s="13">
        <f t="shared" si="3"/>
        <v>6.5046373820150105E-2</v>
      </c>
      <c r="M90" s="61" t="s">
        <v>12</v>
      </c>
      <c r="N90" s="61">
        <v>58</v>
      </c>
      <c r="O90" s="61">
        <v>0.6912344146713687</v>
      </c>
      <c r="P90" s="61"/>
      <c r="Q90" s="61"/>
      <c r="R90" s="61"/>
    </row>
    <row r="91" spans="2:21" ht="15" thickBot="1" x14ac:dyDescent="0.4">
      <c r="B91" s="74">
        <v>44348</v>
      </c>
      <c r="C91" s="72">
        <v>560.35</v>
      </c>
      <c r="D91" s="83">
        <f t="shared" si="2"/>
        <v>0.11823987228098187</v>
      </c>
      <c r="F91" s="78">
        <v>15721.5</v>
      </c>
      <c r="G91" s="13">
        <f t="shared" si="3"/>
        <v>8.9008393870164682E-3</v>
      </c>
    </row>
    <row r="92" spans="2:21" x14ac:dyDescent="0.35">
      <c r="B92" s="74">
        <v>44378</v>
      </c>
      <c r="C92" s="72">
        <v>558.85</v>
      </c>
      <c r="D92" s="83">
        <f t="shared" si="2"/>
        <v>-2.6768983670919511E-3</v>
      </c>
      <c r="F92" s="78">
        <v>15763.05</v>
      </c>
      <c r="G92" s="13">
        <f t="shared" si="3"/>
        <v>2.6428775880162902E-3</v>
      </c>
      <c r="M92" s="62"/>
      <c r="N92" s="62" t="s">
        <v>170</v>
      </c>
      <c r="O92" s="62" t="s">
        <v>159</v>
      </c>
      <c r="P92" s="62" t="s">
        <v>171</v>
      </c>
      <c r="Q92" s="62" t="s">
        <v>172</v>
      </c>
      <c r="R92" s="62" t="s">
        <v>173</v>
      </c>
      <c r="S92" s="62" t="s">
        <v>174</v>
      </c>
      <c r="T92" s="62" t="s">
        <v>175</v>
      </c>
      <c r="U92" s="62" t="s">
        <v>176</v>
      </c>
    </row>
    <row r="93" spans="2:21" x14ac:dyDescent="0.35">
      <c r="B93" s="74">
        <v>44409</v>
      </c>
      <c r="C93" s="72">
        <v>597.20000000000005</v>
      </c>
      <c r="D93" s="83">
        <f t="shared" si="2"/>
        <v>6.8623065223226254E-2</v>
      </c>
      <c r="F93" s="78">
        <v>17132.2</v>
      </c>
      <c r="G93" s="13">
        <f t="shared" si="3"/>
        <v>8.6858190515160638E-2</v>
      </c>
      <c r="M93" t="s">
        <v>164</v>
      </c>
      <c r="N93">
        <v>8.4314213291427024E-3</v>
      </c>
      <c r="O93">
        <v>1.4662337844793837E-2</v>
      </c>
      <c r="P93">
        <v>0.5750393571879433</v>
      </c>
      <c r="Q93">
        <v>0.5675276806078875</v>
      </c>
      <c r="R93">
        <v>-2.0929403757512295E-2</v>
      </c>
      <c r="S93">
        <v>3.7792246415797696E-2</v>
      </c>
      <c r="T93">
        <v>-2.0929403757512295E-2</v>
      </c>
      <c r="U93">
        <v>3.7792246415797696E-2</v>
      </c>
    </row>
    <row r="94" spans="2:21" ht="15" thickBot="1" x14ac:dyDescent="0.4">
      <c r="B94" s="74">
        <v>44440</v>
      </c>
      <c r="C94" s="72">
        <v>574</v>
      </c>
      <c r="D94" s="83">
        <f t="shared" si="2"/>
        <v>-3.8847957133288702E-2</v>
      </c>
      <c r="F94" s="78">
        <v>17618.150000000001</v>
      </c>
      <c r="G94" s="13">
        <f t="shared" si="3"/>
        <v>2.8364716732235173E-2</v>
      </c>
      <c r="M94" s="61" t="s">
        <v>213</v>
      </c>
      <c r="N94" s="61">
        <v>0.86532425565680082</v>
      </c>
      <c r="O94" s="61">
        <v>0.34586724554514414</v>
      </c>
      <c r="P94" s="61">
        <v>2.5018970914487908</v>
      </c>
      <c r="Q94" s="61">
        <v>1.5247551162647565E-2</v>
      </c>
      <c r="R94" s="61">
        <v>0.17273704295252845</v>
      </c>
      <c r="S94" s="61">
        <v>1.5579114683610733</v>
      </c>
      <c r="T94" s="61">
        <v>0.17273704295252845</v>
      </c>
      <c r="U94" s="61">
        <v>1.5579114683610733</v>
      </c>
    </row>
    <row r="95" spans="2:21" x14ac:dyDescent="0.35">
      <c r="B95" s="74">
        <v>44470</v>
      </c>
      <c r="C95" s="72">
        <v>531.25</v>
      </c>
      <c r="D95" s="83">
        <f t="shared" si="2"/>
        <v>-7.4477351916376278E-2</v>
      </c>
      <c r="F95" s="78">
        <v>17671.650000000001</v>
      </c>
      <c r="G95" s="13">
        <f t="shared" si="3"/>
        <v>3.0366411910445201E-3</v>
      </c>
    </row>
    <row r="96" spans="2:21" x14ac:dyDescent="0.35">
      <c r="B96" s="74">
        <v>44501</v>
      </c>
      <c r="C96" s="72">
        <v>527.04999999999995</v>
      </c>
      <c r="D96" s="83">
        <f t="shared" si="2"/>
        <v>-7.905882352941207E-3</v>
      </c>
      <c r="F96" s="78">
        <v>16983.2</v>
      </c>
      <c r="G96" s="13">
        <f t="shared" si="3"/>
        <v>-3.8957878862471818E-2</v>
      </c>
    </row>
    <row r="97" spans="2:7" x14ac:dyDescent="0.35">
      <c r="B97" s="74">
        <v>44531</v>
      </c>
      <c r="C97" s="72">
        <v>519</v>
      </c>
      <c r="D97" s="83">
        <f t="shared" si="2"/>
        <v>-1.5273693197988769E-2</v>
      </c>
      <c r="F97" s="78">
        <v>17354.05</v>
      </c>
      <c r="G97" s="13">
        <f t="shared" si="3"/>
        <v>2.1836285270149247E-2</v>
      </c>
    </row>
    <row r="98" spans="2:7" x14ac:dyDescent="0.35">
      <c r="B98" s="74">
        <v>44562</v>
      </c>
      <c r="C98" s="72">
        <v>498.3</v>
      </c>
      <c r="D98" s="83">
        <f t="shared" si="2"/>
        <v>-3.9884393063583823E-2</v>
      </c>
      <c r="F98" s="78">
        <v>17339.849999999999</v>
      </c>
      <c r="G98" s="13">
        <f t="shared" si="3"/>
        <v>-8.1825279977876253E-4</v>
      </c>
    </row>
    <row r="99" spans="2:7" x14ac:dyDescent="0.35">
      <c r="B99" s="74">
        <v>44593</v>
      </c>
      <c r="C99" s="72">
        <v>495.35</v>
      </c>
      <c r="D99" s="83">
        <f t="shared" si="2"/>
        <v>-5.9201284366846574E-3</v>
      </c>
      <c r="F99" s="78">
        <v>16793.900000000001</v>
      </c>
      <c r="G99" s="13">
        <f t="shared" si="3"/>
        <v>-3.1485278131010208E-2</v>
      </c>
    </row>
    <row r="100" spans="2:7" x14ac:dyDescent="0.35">
      <c r="B100" s="74">
        <v>44621</v>
      </c>
      <c r="C100" s="72">
        <v>447.15</v>
      </c>
      <c r="D100" s="83">
        <f t="shared" si="2"/>
        <v>-9.7304935903906431E-2</v>
      </c>
      <c r="F100" s="78">
        <v>17464.75</v>
      </c>
      <c r="G100" s="13">
        <f t="shared" si="3"/>
        <v>3.9946051840251462E-2</v>
      </c>
    </row>
    <row r="101" spans="2:7" x14ac:dyDescent="0.35">
      <c r="B101" s="74">
        <v>44652</v>
      </c>
      <c r="C101" s="72">
        <v>491.75</v>
      </c>
      <c r="D101" s="83">
        <f t="shared" si="2"/>
        <v>9.9742815609974445E-2</v>
      </c>
      <c r="F101" s="78">
        <v>17102.55</v>
      </c>
      <c r="G101" s="13">
        <f t="shared" si="3"/>
        <v>-2.0738916961307807E-2</v>
      </c>
    </row>
    <row r="102" spans="2:7" x14ac:dyDescent="0.35">
      <c r="B102" s="74">
        <v>44682</v>
      </c>
      <c r="C102" s="72">
        <v>416.35</v>
      </c>
      <c r="D102" s="83">
        <f t="shared" si="2"/>
        <v>-0.15332994407727496</v>
      </c>
      <c r="F102" s="78">
        <v>16584.55</v>
      </c>
      <c r="G102" s="13">
        <f t="shared" si="3"/>
        <v>-3.0287881046978327E-2</v>
      </c>
    </row>
    <row r="103" spans="2:7" x14ac:dyDescent="0.35">
      <c r="B103" s="74">
        <v>44713</v>
      </c>
      <c r="C103" s="72">
        <v>420.25</v>
      </c>
      <c r="D103" s="83">
        <f t="shared" si="2"/>
        <v>9.3671190104478441E-3</v>
      </c>
      <c r="F103" s="78">
        <v>15780.25</v>
      </c>
      <c r="G103" s="13">
        <f t="shared" si="3"/>
        <v>-4.8496944445281853E-2</v>
      </c>
    </row>
    <row r="104" spans="2:7" x14ac:dyDescent="0.35">
      <c r="B104" s="74">
        <v>44743</v>
      </c>
      <c r="C104" s="72">
        <v>449.85</v>
      </c>
      <c r="D104" s="83">
        <f t="shared" si="2"/>
        <v>7.0434265318263023E-2</v>
      </c>
      <c r="F104" s="78">
        <v>17158.25</v>
      </c>
      <c r="G104" s="13">
        <f t="shared" si="3"/>
        <v>8.7324345305048956E-2</v>
      </c>
    </row>
    <row r="105" spans="2:7" x14ac:dyDescent="0.35">
      <c r="B105" s="74">
        <v>44774</v>
      </c>
      <c r="C105" s="72">
        <v>484.45</v>
      </c>
      <c r="D105" s="83">
        <f t="shared" si="2"/>
        <v>7.6914527064577021E-2</v>
      </c>
      <c r="F105" s="78">
        <v>17759.3</v>
      </c>
      <c r="G105" s="13">
        <f t="shared" si="3"/>
        <v>3.5029796162195925E-2</v>
      </c>
    </row>
    <row r="106" spans="2:7" x14ac:dyDescent="0.35">
      <c r="B106" s="74">
        <v>44805</v>
      </c>
      <c r="C106" s="72">
        <v>504.3</v>
      </c>
      <c r="D106" s="83">
        <f t="shared" si="2"/>
        <v>4.097430075343178E-2</v>
      </c>
      <c r="F106" s="78">
        <v>17094.349999999999</v>
      </c>
      <c r="G106" s="13">
        <f t="shared" si="3"/>
        <v>-3.7442354146841383E-2</v>
      </c>
    </row>
    <row r="107" spans="2:7" x14ac:dyDescent="0.35">
      <c r="B107" s="74">
        <v>44835</v>
      </c>
      <c r="C107" s="72">
        <v>474.05</v>
      </c>
      <c r="D107" s="83">
        <f t="shared" si="2"/>
        <v>-5.9984136426730172E-2</v>
      </c>
      <c r="F107" s="78">
        <v>18012.2</v>
      </c>
      <c r="G107" s="13">
        <f t="shared" si="3"/>
        <v>5.3693179325332796E-2</v>
      </c>
    </row>
    <row r="108" spans="2:7" x14ac:dyDescent="0.35">
      <c r="B108" s="74">
        <v>44866</v>
      </c>
      <c r="C108" s="72">
        <v>478.75</v>
      </c>
      <c r="D108" s="83">
        <f t="shared" si="2"/>
        <v>9.9145659740533798E-3</v>
      </c>
      <c r="F108" s="78">
        <v>18758.349999999999</v>
      </c>
      <c r="G108" s="13">
        <f t="shared" si="3"/>
        <v>4.1424701035964295E-2</v>
      </c>
    </row>
    <row r="109" spans="2:7" x14ac:dyDescent="0.35">
      <c r="B109" s="74">
        <v>44896</v>
      </c>
      <c r="C109" s="72">
        <v>425.05</v>
      </c>
      <c r="D109" s="83">
        <f t="shared" si="2"/>
        <v>-0.1121671018276762</v>
      </c>
      <c r="F109" s="78">
        <v>18105.3</v>
      </c>
      <c r="G109" s="13">
        <f t="shared" si="3"/>
        <v>-3.4813829574562805E-2</v>
      </c>
    </row>
    <row r="110" spans="2:7" x14ac:dyDescent="0.35">
      <c r="B110" s="74">
        <v>44927</v>
      </c>
      <c r="C110" s="72">
        <v>443.2</v>
      </c>
      <c r="D110" s="83">
        <f t="shared" si="2"/>
        <v>4.2700858722503288E-2</v>
      </c>
      <c r="F110" s="78">
        <v>17662.150000000001</v>
      </c>
      <c r="G110" s="13">
        <f t="shared" si="3"/>
        <v>-2.4476258333195111E-2</v>
      </c>
    </row>
    <row r="111" spans="2:7" x14ac:dyDescent="0.35">
      <c r="B111" s="74">
        <v>44958</v>
      </c>
      <c r="C111" s="72">
        <v>399.35</v>
      </c>
      <c r="D111" s="83">
        <f t="shared" si="2"/>
        <v>-9.893953068592054E-2</v>
      </c>
      <c r="F111" s="78">
        <v>17303.95</v>
      </c>
      <c r="G111" s="13">
        <f t="shared" si="3"/>
        <v>-2.0280656658447582E-2</v>
      </c>
    </row>
    <row r="112" spans="2:7" x14ac:dyDescent="0.35">
      <c r="B112" s="74">
        <v>44986</v>
      </c>
      <c r="C112" s="72">
        <v>358.55</v>
      </c>
      <c r="D112" s="83">
        <f t="shared" ref="D112:D138" si="4">C112/C111-1</f>
        <v>-0.10216601978214601</v>
      </c>
      <c r="F112" s="78">
        <v>17359.75</v>
      </c>
      <c r="G112" s="13">
        <f t="shared" si="3"/>
        <v>3.2246972512055549E-3</v>
      </c>
    </row>
    <row r="113" spans="2:7" x14ac:dyDescent="0.35">
      <c r="B113" s="74">
        <v>45017</v>
      </c>
      <c r="C113" s="72">
        <v>374.95</v>
      </c>
      <c r="D113" s="83">
        <f t="shared" si="4"/>
        <v>4.5739785246130094E-2</v>
      </c>
      <c r="F113" s="78">
        <v>18065</v>
      </c>
      <c r="G113" s="13">
        <f t="shared" si="3"/>
        <v>4.0625585045867663E-2</v>
      </c>
    </row>
    <row r="114" spans="2:7" x14ac:dyDescent="0.35">
      <c r="B114" s="74">
        <v>45047</v>
      </c>
      <c r="C114" s="72">
        <v>391.65</v>
      </c>
      <c r="D114" s="83">
        <f t="shared" si="4"/>
        <v>4.4539271902920285E-2</v>
      </c>
      <c r="F114" s="78">
        <v>18534.400000000001</v>
      </c>
      <c r="G114" s="13">
        <f t="shared" si="3"/>
        <v>2.5983946858566309E-2</v>
      </c>
    </row>
    <row r="115" spans="2:7" x14ac:dyDescent="0.35">
      <c r="B115" s="74">
        <v>45078</v>
      </c>
      <c r="C115" s="72">
        <v>424.7</v>
      </c>
      <c r="D115" s="83">
        <f t="shared" si="4"/>
        <v>8.4386569641261344E-2</v>
      </c>
      <c r="F115" s="78">
        <v>19189.05</v>
      </c>
      <c r="G115" s="13">
        <f t="shared" si="3"/>
        <v>3.5320808874309328E-2</v>
      </c>
    </row>
    <row r="116" spans="2:7" x14ac:dyDescent="0.35">
      <c r="B116" s="74">
        <v>45108</v>
      </c>
      <c r="C116" s="72">
        <v>462.9</v>
      </c>
      <c r="D116" s="83">
        <f t="shared" si="4"/>
        <v>8.9945844125264962E-2</v>
      </c>
      <c r="F116" s="78">
        <v>19753.8</v>
      </c>
      <c r="G116" s="13">
        <f t="shared" si="3"/>
        <v>2.9430847280089489E-2</v>
      </c>
    </row>
    <row r="117" spans="2:7" x14ac:dyDescent="0.35">
      <c r="B117" s="74">
        <v>45139</v>
      </c>
      <c r="C117" s="72">
        <v>524.54999999999995</v>
      </c>
      <c r="D117" s="83">
        <f t="shared" si="4"/>
        <v>0.13318211276733627</v>
      </c>
      <c r="F117" s="78">
        <v>19253.8</v>
      </c>
      <c r="G117" s="13">
        <f t="shared" si="3"/>
        <v>-2.5311585618969512E-2</v>
      </c>
    </row>
    <row r="118" spans="2:7" x14ac:dyDescent="0.35">
      <c r="B118" s="74">
        <v>45170</v>
      </c>
      <c r="C118" s="72">
        <v>538.45000000000005</v>
      </c>
      <c r="D118" s="83">
        <f t="shared" si="4"/>
        <v>2.6498903822324005E-2</v>
      </c>
      <c r="F118" s="78">
        <v>19638.3</v>
      </c>
      <c r="G118" s="13">
        <f t="shared" si="3"/>
        <v>1.9970083827608009E-2</v>
      </c>
    </row>
    <row r="119" spans="2:7" x14ac:dyDescent="0.35">
      <c r="B119" s="74">
        <v>45200</v>
      </c>
      <c r="C119" s="72">
        <v>509.9</v>
      </c>
      <c r="D119" s="83">
        <f t="shared" si="4"/>
        <v>-5.3022564769245162E-2</v>
      </c>
      <c r="F119" s="78">
        <v>19079.599999999999</v>
      </c>
      <c r="G119" s="13">
        <f t="shared" si="3"/>
        <v>-2.844950937708457E-2</v>
      </c>
    </row>
    <row r="120" spans="2:7" x14ac:dyDescent="0.35">
      <c r="B120" s="74">
        <v>45231</v>
      </c>
      <c r="C120" s="72">
        <v>506.15</v>
      </c>
      <c r="D120" s="83">
        <f t="shared" si="4"/>
        <v>-7.3543832123945663E-3</v>
      </c>
      <c r="F120" s="78">
        <v>20133.150000000001</v>
      </c>
      <c r="G120" s="13">
        <f t="shared" si="3"/>
        <v>5.5218662865049728E-2</v>
      </c>
    </row>
    <row r="121" spans="2:7" x14ac:dyDescent="0.35">
      <c r="B121" s="74">
        <v>45261</v>
      </c>
      <c r="C121" s="72">
        <v>563.75</v>
      </c>
      <c r="D121" s="83">
        <f t="shared" si="4"/>
        <v>0.11380025684085759</v>
      </c>
      <c r="F121" s="78">
        <v>21731.4</v>
      </c>
      <c r="G121" s="13">
        <f t="shared" si="3"/>
        <v>7.9384001013254268E-2</v>
      </c>
    </row>
    <row r="122" spans="2:7" x14ac:dyDescent="0.35">
      <c r="B122" s="74">
        <v>45292</v>
      </c>
      <c r="C122" s="72">
        <v>499.45</v>
      </c>
      <c r="D122" s="83">
        <f t="shared" si="4"/>
        <v>-0.11405764966740584</v>
      </c>
      <c r="F122" s="78">
        <v>21725.7</v>
      </c>
      <c r="G122" s="13">
        <f t="shared" si="3"/>
        <v>-2.6229327148741266E-4</v>
      </c>
    </row>
    <row r="123" spans="2:7" x14ac:dyDescent="0.35">
      <c r="B123" s="74">
        <v>45323</v>
      </c>
      <c r="C123" s="72">
        <v>466</v>
      </c>
      <c r="D123" s="83">
        <f t="shared" si="4"/>
        <v>-6.6973671038141891E-2</v>
      </c>
      <c r="F123" s="78">
        <v>21982.799999999999</v>
      </c>
      <c r="G123" s="13">
        <f t="shared" si="3"/>
        <v>1.1833910990209695E-2</v>
      </c>
    </row>
    <row r="124" spans="2:7" x14ac:dyDescent="0.35">
      <c r="B124" s="74">
        <v>45352</v>
      </c>
      <c r="C124" s="72">
        <v>429.35</v>
      </c>
      <c r="D124" s="83">
        <f t="shared" si="4"/>
        <v>-7.8648068669527893E-2</v>
      </c>
      <c r="F124" s="78">
        <v>22326.9</v>
      </c>
      <c r="G124" s="13">
        <f t="shared" si="3"/>
        <v>1.5653147005840973E-2</v>
      </c>
    </row>
    <row r="125" spans="2:7" x14ac:dyDescent="0.35">
      <c r="B125" s="74">
        <v>45383</v>
      </c>
      <c r="C125" s="72">
        <v>486.9</v>
      </c>
      <c r="D125" s="83">
        <f t="shared" si="4"/>
        <v>0.13403982764644229</v>
      </c>
      <c r="F125" s="78">
        <v>22604.85</v>
      </c>
      <c r="G125" s="13">
        <f t="shared" si="3"/>
        <v>1.2449108474530624E-2</v>
      </c>
    </row>
    <row r="126" spans="2:7" x14ac:dyDescent="0.35">
      <c r="B126" s="74">
        <v>45413</v>
      </c>
      <c r="C126" s="72">
        <v>625.5</v>
      </c>
      <c r="D126" s="83">
        <f t="shared" si="4"/>
        <v>0.28465804066543443</v>
      </c>
      <c r="F126" s="78">
        <v>22530.7</v>
      </c>
      <c r="G126" s="13">
        <f t="shared" si="3"/>
        <v>-3.2802694996869608E-3</v>
      </c>
    </row>
    <row r="127" spans="2:7" x14ac:dyDescent="0.35">
      <c r="B127" s="74">
        <v>45444</v>
      </c>
      <c r="C127" s="72">
        <v>689.3</v>
      </c>
      <c r="D127" s="83">
        <f t="shared" si="4"/>
        <v>0.10199840127897675</v>
      </c>
      <c r="F127" s="78">
        <v>24010.6</v>
      </c>
      <c r="G127" s="13">
        <f t="shared" si="3"/>
        <v>6.5683711558007341E-2</v>
      </c>
    </row>
    <row r="128" spans="2:7" x14ac:dyDescent="0.35">
      <c r="B128" s="74">
        <v>45474</v>
      </c>
      <c r="C128" s="72">
        <v>816.95</v>
      </c>
      <c r="D128" s="83">
        <f t="shared" si="4"/>
        <v>0.18518787175395346</v>
      </c>
      <c r="F128" s="78">
        <v>24951.15</v>
      </c>
      <c r="G128" s="13">
        <f t="shared" si="3"/>
        <v>3.917228224200997E-2</v>
      </c>
    </row>
    <row r="129" spans="2:14" x14ac:dyDescent="0.35">
      <c r="B129" s="74">
        <v>45505</v>
      </c>
      <c r="C129" s="72">
        <v>813.2</v>
      </c>
      <c r="D129" s="83">
        <f t="shared" si="4"/>
        <v>-4.5902442009915223E-3</v>
      </c>
      <c r="F129" s="78">
        <v>25235.9</v>
      </c>
      <c r="G129" s="13">
        <f t="shared" si="3"/>
        <v>1.141229963348378E-2</v>
      </c>
    </row>
    <row r="130" spans="2:14" x14ac:dyDescent="0.35">
      <c r="B130" s="74">
        <v>45536</v>
      </c>
      <c r="C130" s="72">
        <v>766.2</v>
      </c>
      <c r="D130" s="83">
        <f t="shared" si="4"/>
        <v>-5.7796360059026108E-2</v>
      </c>
      <c r="F130" s="78">
        <v>25810.85</v>
      </c>
      <c r="G130" s="13">
        <f t="shared" si="3"/>
        <v>2.2783019428670892E-2</v>
      </c>
    </row>
    <row r="131" spans="2:14" x14ac:dyDescent="0.35">
      <c r="B131" s="74">
        <v>45566</v>
      </c>
      <c r="C131" s="72">
        <v>703.35</v>
      </c>
      <c r="D131" s="83">
        <f t="shared" si="4"/>
        <v>-8.2028191072826995E-2</v>
      </c>
      <c r="F131" s="78">
        <v>24205.35</v>
      </c>
      <c r="G131" s="13">
        <f t="shared" si="3"/>
        <v>-6.2202523357425266E-2</v>
      </c>
    </row>
    <row r="132" spans="2:14" x14ac:dyDescent="0.35">
      <c r="B132" s="74">
        <v>45597</v>
      </c>
      <c r="C132" s="72">
        <v>684</v>
      </c>
      <c r="D132" s="83">
        <f t="shared" si="4"/>
        <v>-2.75111964171465E-2</v>
      </c>
      <c r="F132" s="78">
        <v>24131.1</v>
      </c>
      <c r="G132" s="13">
        <f t="shared" si="3"/>
        <v>-3.0675036717089377E-3</v>
      </c>
    </row>
    <row r="133" spans="2:14" x14ac:dyDescent="0.35">
      <c r="B133" s="74">
        <v>45627</v>
      </c>
      <c r="C133" s="72">
        <v>600.75</v>
      </c>
      <c r="D133" s="83">
        <f t="shared" si="4"/>
        <v>-0.12171052631578949</v>
      </c>
      <c r="F133" s="78">
        <v>23644.799999999999</v>
      </c>
      <c r="G133" s="13">
        <f t="shared" si="3"/>
        <v>-2.0152417419844082E-2</v>
      </c>
    </row>
    <row r="134" spans="2:14" x14ac:dyDescent="0.35">
      <c r="B134" s="74">
        <v>45658</v>
      </c>
      <c r="C134" s="72">
        <v>589.65</v>
      </c>
      <c r="D134" s="83">
        <f t="shared" si="4"/>
        <v>-1.847690387016232E-2</v>
      </c>
      <c r="F134" s="78">
        <v>23508.400000000001</v>
      </c>
      <c r="G134" s="13">
        <f t="shared" si="3"/>
        <v>-5.7687102449586192E-3</v>
      </c>
    </row>
    <row r="135" spans="2:14" x14ac:dyDescent="0.35">
      <c r="B135" s="74">
        <v>45689</v>
      </c>
      <c r="C135" s="72">
        <v>529.95000000000005</v>
      </c>
      <c r="D135" s="83">
        <f t="shared" si="4"/>
        <v>-0.10124650216229958</v>
      </c>
      <c r="F135" s="78">
        <v>22124.7</v>
      </c>
      <c r="G135" s="13">
        <f t="shared" si="3"/>
        <v>-5.8859811811948104E-2</v>
      </c>
    </row>
    <row r="136" spans="2:14" x14ac:dyDescent="0.35">
      <c r="B136" s="74">
        <v>45717</v>
      </c>
      <c r="C136" s="72">
        <v>579.9</v>
      </c>
      <c r="D136" s="83">
        <f t="shared" si="4"/>
        <v>9.425417492216237E-2</v>
      </c>
      <c r="F136" s="78">
        <v>23519.35</v>
      </c>
      <c r="G136" s="13">
        <f t="shared" si="3"/>
        <v>6.3035882972424462E-2</v>
      </c>
    </row>
    <row r="137" spans="2:14" x14ac:dyDescent="0.35">
      <c r="B137" s="74">
        <v>45748</v>
      </c>
      <c r="C137" s="72">
        <v>624.70000000000005</v>
      </c>
      <c r="D137" s="83">
        <f t="shared" si="4"/>
        <v>7.7254699086049428E-2</v>
      </c>
      <c r="F137" s="78">
        <v>24334.2</v>
      </c>
      <c r="G137" s="13">
        <f t="shared" si="3"/>
        <v>3.4645940470293679E-2</v>
      </c>
    </row>
    <row r="138" spans="2:14" x14ac:dyDescent="0.35">
      <c r="B138" s="74">
        <v>45778</v>
      </c>
      <c r="C138" s="72">
        <v>589.85</v>
      </c>
      <c r="D138" s="83">
        <f t="shared" si="4"/>
        <v>-5.5786777653273556E-2</v>
      </c>
      <c r="F138" s="78">
        <v>24826.2</v>
      </c>
      <c r="G138" s="13">
        <f t="shared" si="3"/>
        <v>2.0218457972729809E-2</v>
      </c>
    </row>
    <row r="139" spans="2:14" x14ac:dyDescent="0.35">
      <c r="G139" s="13"/>
    </row>
    <row r="140" spans="2:14" x14ac:dyDescent="0.35">
      <c r="B140" s="199" t="s">
        <v>220</v>
      </c>
      <c r="C140" s="199"/>
      <c r="D140" s="199"/>
    </row>
    <row r="141" spans="2:14" x14ac:dyDescent="0.35">
      <c r="B141" s="195" t="s">
        <v>234</v>
      </c>
      <c r="C141" s="195"/>
      <c r="D141" s="195"/>
      <c r="F141" s="195" t="s">
        <v>230</v>
      </c>
      <c r="G141" s="195"/>
      <c r="I141" s="198" t="s">
        <v>214</v>
      </c>
      <c r="J141" s="198"/>
      <c r="K141" s="198"/>
      <c r="M141" t="s">
        <v>154</v>
      </c>
    </row>
    <row r="142" spans="2:14" ht="15" thickBot="1" x14ac:dyDescent="0.4">
      <c r="B142" t="s">
        <v>206</v>
      </c>
      <c r="C142" t="s">
        <v>207</v>
      </c>
      <c r="D142" s="86" t="s">
        <v>232</v>
      </c>
      <c r="F142" s="84" t="s">
        <v>207</v>
      </c>
      <c r="G142" s="86" t="s">
        <v>232</v>
      </c>
    </row>
    <row r="143" spans="2:14" x14ac:dyDescent="0.35">
      <c r="B143" s="87">
        <v>43983</v>
      </c>
      <c r="C143">
        <v>117.5</v>
      </c>
      <c r="F143" s="78">
        <v>10302.1</v>
      </c>
      <c r="G143" s="77"/>
      <c r="I143" s="2" t="s">
        <v>215</v>
      </c>
      <c r="K143" s="22">
        <f>N158</f>
        <v>0.80794411858764603</v>
      </c>
      <c r="M143" s="63" t="s">
        <v>155</v>
      </c>
      <c r="N143" s="63"/>
    </row>
    <row r="144" spans="2:14" x14ac:dyDescent="0.35">
      <c r="B144" s="87">
        <v>44013</v>
      </c>
      <c r="C144">
        <v>123.2</v>
      </c>
      <c r="D144" s="13">
        <f>C144/C143-1</f>
        <v>4.8510638297872388E-2</v>
      </c>
      <c r="F144" s="78">
        <v>11073.45</v>
      </c>
      <c r="G144" s="13">
        <f>F144/F143-1</f>
        <v>7.4873084128478595E-2</v>
      </c>
      <c r="I144" t="s">
        <v>216</v>
      </c>
      <c r="K144" s="71">
        <v>0.75</v>
      </c>
      <c r="M144" t="s">
        <v>156</v>
      </c>
      <c r="N144">
        <v>0.32135831589948871</v>
      </c>
    </row>
    <row r="145" spans="2:21" x14ac:dyDescent="0.35">
      <c r="B145" s="87">
        <v>44044</v>
      </c>
      <c r="C145">
        <v>142.15</v>
      </c>
      <c r="D145" s="13">
        <f t="shared" ref="D145:D202" si="5">C145/C144-1</f>
        <v>0.15381493506493515</v>
      </c>
      <c r="F145" s="78">
        <v>11387.5</v>
      </c>
      <c r="G145" s="13">
        <f t="shared" ref="G145:G202" si="6">F145/F144-1</f>
        <v>2.8360628349791472E-2</v>
      </c>
      <c r="M145" t="s">
        <v>157</v>
      </c>
      <c r="N145">
        <v>0.10327116719775559</v>
      </c>
    </row>
    <row r="146" spans="2:21" x14ac:dyDescent="0.35">
      <c r="B146" s="87">
        <v>44075</v>
      </c>
      <c r="C146">
        <v>147.05000000000001</v>
      </c>
      <c r="D146" s="13">
        <f t="shared" si="5"/>
        <v>3.4470629616602189E-2</v>
      </c>
      <c r="F146" s="78">
        <v>11247.55</v>
      </c>
      <c r="G146" s="13">
        <f t="shared" si="6"/>
        <v>-1.2289791437980258E-2</v>
      </c>
      <c r="I146" t="s">
        <v>218</v>
      </c>
      <c r="K146" s="22">
        <v>1</v>
      </c>
      <c r="M146" t="s">
        <v>158</v>
      </c>
      <c r="N146">
        <v>8.7539082411751304E-2</v>
      </c>
    </row>
    <row r="147" spans="2:21" x14ac:dyDescent="0.35">
      <c r="B147" s="87">
        <v>44105</v>
      </c>
      <c r="C147">
        <v>135.80000000000001</v>
      </c>
      <c r="D147" s="13">
        <f t="shared" si="5"/>
        <v>-7.6504590275416562E-2</v>
      </c>
      <c r="F147" s="78">
        <v>11642.4</v>
      </c>
      <c r="G147" s="13">
        <f t="shared" si="6"/>
        <v>3.5105422958777721E-2</v>
      </c>
      <c r="I147" t="s">
        <v>217</v>
      </c>
      <c r="K147" s="71">
        <v>0.25</v>
      </c>
      <c r="M147" t="s">
        <v>159</v>
      </c>
      <c r="N147">
        <v>9.5307114529626924E-2</v>
      </c>
    </row>
    <row r="148" spans="2:21" ht="15" thickBot="1" x14ac:dyDescent="0.4">
      <c r="B148" s="87">
        <v>44136</v>
      </c>
      <c r="C148">
        <v>140.9</v>
      </c>
      <c r="D148" s="13">
        <f t="shared" si="5"/>
        <v>3.7555228276877628E-2</v>
      </c>
      <c r="F148" s="78">
        <v>12968.95</v>
      </c>
      <c r="G148" s="13">
        <f t="shared" si="6"/>
        <v>0.11394128358414091</v>
      </c>
      <c r="M148" s="61" t="s">
        <v>160</v>
      </c>
      <c r="N148" s="61">
        <v>59</v>
      </c>
    </row>
    <row r="149" spans="2:21" x14ac:dyDescent="0.35">
      <c r="B149" s="87">
        <v>44166</v>
      </c>
      <c r="C149">
        <v>146.35</v>
      </c>
      <c r="D149" s="13">
        <f t="shared" si="5"/>
        <v>3.8679914833214868E-2</v>
      </c>
      <c r="F149" s="78">
        <v>13981.75</v>
      </c>
      <c r="G149" s="13">
        <f t="shared" si="6"/>
        <v>7.8094217342190353E-2</v>
      </c>
      <c r="I149" s="40" t="s">
        <v>219</v>
      </c>
      <c r="J149" s="40"/>
      <c r="K149" s="80">
        <f>(K143*K144)+(K146*K147)</f>
        <v>0.85595808894073455</v>
      </c>
    </row>
    <row r="150" spans="2:21" ht="15" thickBot="1" x14ac:dyDescent="0.4">
      <c r="B150" s="87">
        <v>44197</v>
      </c>
      <c r="C150">
        <v>162.1</v>
      </c>
      <c r="D150" s="13">
        <f t="shared" si="5"/>
        <v>0.10761872224120261</v>
      </c>
      <c r="F150" s="78">
        <v>13634.6</v>
      </c>
      <c r="G150" s="13">
        <f t="shared" si="6"/>
        <v>-2.4828794678777633E-2</v>
      </c>
      <c r="M150" t="s">
        <v>161</v>
      </c>
    </row>
    <row r="151" spans="2:21" x14ac:dyDescent="0.35">
      <c r="B151" s="87">
        <v>44228</v>
      </c>
      <c r="C151">
        <v>148.85</v>
      </c>
      <c r="D151" s="13">
        <f t="shared" si="5"/>
        <v>-8.1739666872301053E-2</v>
      </c>
      <c r="F151" s="78">
        <v>14529.15</v>
      </c>
      <c r="G151" s="13">
        <f t="shared" si="6"/>
        <v>6.5608818740557018E-2</v>
      </c>
      <c r="M151" s="62"/>
      <c r="N151" s="62" t="s">
        <v>165</v>
      </c>
      <c r="O151" s="62" t="s">
        <v>166</v>
      </c>
      <c r="P151" s="62" t="s">
        <v>167</v>
      </c>
      <c r="Q151" s="62" t="s">
        <v>168</v>
      </c>
      <c r="R151" s="62" t="s">
        <v>169</v>
      </c>
    </row>
    <row r="152" spans="2:21" x14ac:dyDescent="0.35">
      <c r="B152" s="87">
        <v>44256</v>
      </c>
      <c r="C152">
        <v>136.80000000000001</v>
      </c>
      <c r="D152" s="13">
        <f t="shared" si="5"/>
        <v>-8.0953980517299184E-2</v>
      </c>
      <c r="F152" s="78">
        <v>14690.7</v>
      </c>
      <c r="G152" s="13">
        <f t="shared" si="6"/>
        <v>1.111902623346861E-2</v>
      </c>
      <c r="M152" t="s">
        <v>162</v>
      </c>
      <c r="N152">
        <v>1</v>
      </c>
      <c r="O152">
        <v>5.9627067335044082E-2</v>
      </c>
      <c r="P152">
        <v>5.9627067335044082E-2</v>
      </c>
      <c r="Q152">
        <v>6.5643662999851466</v>
      </c>
      <c r="R152">
        <v>1.3072028180781611E-2</v>
      </c>
    </row>
    <row r="153" spans="2:21" x14ac:dyDescent="0.35">
      <c r="B153" s="87">
        <v>44287</v>
      </c>
      <c r="C153">
        <v>146.25</v>
      </c>
      <c r="D153" s="13">
        <f t="shared" si="5"/>
        <v>6.9078947368421018E-2</v>
      </c>
      <c r="F153" s="78">
        <v>14631.1</v>
      </c>
      <c r="G153" s="13">
        <f t="shared" si="6"/>
        <v>-4.0569884348601315E-3</v>
      </c>
      <c r="M153" t="s">
        <v>163</v>
      </c>
      <c r="N153">
        <v>57</v>
      </c>
      <c r="O153">
        <v>0.51775642655791509</v>
      </c>
      <c r="P153">
        <v>9.0834460799634233E-3</v>
      </c>
    </row>
    <row r="154" spans="2:21" ht="15" thickBot="1" x14ac:dyDescent="0.4">
      <c r="B154" s="87">
        <v>44317</v>
      </c>
      <c r="C154">
        <v>155.05000000000001</v>
      </c>
      <c r="D154" s="13">
        <f t="shared" si="5"/>
        <v>6.0170940170940268E-2</v>
      </c>
      <c r="F154" s="78">
        <v>15582.8</v>
      </c>
      <c r="G154" s="13">
        <f t="shared" si="6"/>
        <v>6.5046373820150105E-2</v>
      </c>
      <c r="M154" s="61" t="s">
        <v>12</v>
      </c>
      <c r="N154" s="61">
        <v>58</v>
      </c>
      <c r="O154" s="61">
        <v>0.57738349389295918</v>
      </c>
      <c r="P154" s="61"/>
      <c r="Q154" s="61"/>
      <c r="R154" s="61"/>
    </row>
    <row r="155" spans="2:21" ht="15" thickBot="1" x14ac:dyDescent="0.4">
      <c r="B155" s="87">
        <v>44348</v>
      </c>
      <c r="C155">
        <v>154.80000000000001</v>
      </c>
      <c r="D155" s="13">
        <f t="shared" si="5"/>
        <v>-1.6123831022251123E-3</v>
      </c>
      <c r="F155" s="78">
        <v>15721.5</v>
      </c>
      <c r="G155" s="13">
        <f t="shared" si="6"/>
        <v>8.9008393870164682E-3</v>
      </c>
    </row>
    <row r="156" spans="2:21" x14ac:dyDescent="0.35">
      <c r="B156" s="87">
        <v>44378</v>
      </c>
      <c r="C156">
        <v>170.25</v>
      </c>
      <c r="D156" s="13">
        <f t="shared" si="5"/>
        <v>9.9806201550387552E-2</v>
      </c>
      <c r="F156" s="78">
        <v>15763.05</v>
      </c>
      <c r="G156" s="13">
        <f t="shared" si="6"/>
        <v>2.6428775880162902E-3</v>
      </c>
      <c r="M156" s="62"/>
      <c r="N156" s="62" t="s">
        <v>170</v>
      </c>
      <c r="O156" s="62" t="s">
        <v>159</v>
      </c>
      <c r="P156" s="62" t="s">
        <v>171</v>
      </c>
      <c r="Q156" s="62" t="s">
        <v>172</v>
      </c>
      <c r="R156" s="62" t="s">
        <v>173</v>
      </c>
      <c r="S156" s="62" t="s">
        <v>174</v>
      </c>
      <c r="T156" s="62" t="s">
        <v>175</v>
      </c>
      <c r="U156" s="62" t="s">
        <v>176</v>
      </c>
    </row>
    <row r="157" spans="2:21" x14ac:dyDescent="0.35">
      <c r="B157" s="87">
        <v>44409</v>
      </c>
      <c r="C157">
        <v>161.9</v>
      </c>
      <c r="D157" s="13">
        <f t="shared" si="5"/>
        <v>-4.9045521292217287E-2</v>
      </c>
      <c r="F157" s="78">
        <v>17132.2</v>
      </c>
      <c r="G157" s="13">
        <f t="shared" si="6"/>
        <v>8.6858190515160638E-2</v>
      </c>
      <c r="M157" t="s">
        <v>164</v>
      </c>
      <c r="N157">
        <v>1.0059631768662654E-2</v>
      </c>
      <c r="O157">
        <v>1.3368377696083813E-2</v>
      </c>
      <c r="P157">
        <v>0.75249458067073938</v>
      </c>
      <c r="Q157">
        <v>0.45485017261982841</v>
      </c>
      <c r="R157">
        <v>-1.6710082814501467E-2</v>
      </c>
      <c r="S157">
        <v>3.6829346351826775E-2</v>
      </c>
      <c r="T157">
        <v>-1.6710082814501467E-2</v>
      </c>
      <c r="U157">
        <v>3.6829346351826775E-2</v>
      </c>
    </row>
    <row r="158" spans="2:21" ht="15" thickBot="1" x14ac:dyDescent="0.4">
      <c r="B158" s="87">
        <v>44440</v>
      </c>
      <c r="C158">
        <v>168.6</v>
      </c>
      <c r="D158" s="13">
        <f t="shared" si="5"/>
        <v>4.1383570105002931E-2</v>
      </c>
      <c r="F158" s="78">
        <v>17618.150000000001</v>
      </c>
      <c r="G158" s="13">
        <f t="shared" si="6"/>
        <v>2.8364716732235173E-2</v>
      </c>
      <c r="M158" s="61" t="s">
        <v>213</v>
      </c>
      <c r="N158" s="61">
        <v>0.80794411858764603</v>
      </c>
      <c r="O158" s="61">
        <v>0.31534425274434547</v>
      </c>
      <c r="P158" s="61">
        <v>2.5621019300537529</v>
      </c>
      <c r="Q158" s="61">
        <v>1.3072028180781516E-2</v>
      </c>
      <c r="R158" s="61">
        <v>0.17647814468116108</v>
      </c>
      <c r="S158" s="61">
        <v>1.4394100924941311</v>
      </c>
      <c r="T158" s="61">
        <v>0.17647814468116108</v>
      </c>
      <c r="U158" s="61">
        <v>1.4394100924941311</v>
      </c>
    </row>
    <row r="159" spans="2:21" x14ac:dyDescent="0.35">
      <c r="B159" s="87">
        <v>44470</v>
      </c>
      <c r="C159">
        <v>156.55000000000001</v>
      </c>
      <c r="D159" s="13">
        <f t="shared" si="5"/>
        <v>-7.1470937129299972E-2</v>
      </c>
      <c r="F159" s="78">
        <v>17671.650000000001</v>
      </c>
      <c r="G159" s="13">
        <f t="shared" si="6"/>
        <v>3.0366411910445201E-3</v>
      </c>
    </row>
    <row r="160" spans="2:21" x14ac:dyDescent="0.35">
      <c r="B160" s="87">
        <v>44501</v>
      </c>
      <c r="C160">
        <v>154.55000000000001</v>
      </c>
      <c r="D160" s="13">
        <f t="shared" si="5"/>
        <v>-1.2775471095496593E-2</v>
      </c>
      <c r="F160" s="78">
        <v>16983.2</v>
      </c>
      <c r="G160" s="13">
        <f t="shared" si="6"/>
        <v>-3.8957878862471818E-2</v>
      </c>
    </row>
    <row r="161" spans="2:7" x14ac:dyDescent="0.35">
      <c r="B161" s="87">
        <v>44531</v>
      </c>
      <c r="C161">
        <v>138.19999999999999</v>
      </c>
      <c r="D161" s="13">
        <f t="shared" si="5"/>
        <v>-0.1057910061468782</v>
      </c>
      <c r="F161" s="78">
        <v>17354.05</v>
      </c>
      <c r="G161" s="13">
        <f t="shared" si="6"/>
        <v>2.1836285270149247E-2</v>
      </c>
    </row>
    <row r="162" spans="2:7" x14ac:dyDescent="0.35">
      <c r="B162" s="87">
        <v>44562</v>
      </c>
      <c r="C162">
        <v>140.75</v>
      </c>
      <c r="D162" s="13">
        <f t="shared" si="5"/>
        <v>1.8451519536903049E-2</v>
      </c>
      <c r="F162" s="78">
        <v>17339.849999999999</v>
      </c>
      <c r="G162" s="13">
        <f t="shared" si="6"/>
        <v>-8.1825279977876253E-4</v>
      </c>
    </row>
    <row r="163" spans="2:7" x14ac:dyDescent="0.35">
      <c r="B163" s="87">
        <v>44593</v>
      </c>
      <c r="C163">
        <v>136.94999999999999</v>
      </c>
      <c r="D163" s="13">
        <f t="shared" si="5"/>
        <v>-2.6998223801065757E-2</v>
      </c>
      <c r="F163" s="78">
        <v>16793.900000000001</v>
      </c>
      <c r="G163" s="13">
        <f t="shared" si="6"/>
        <v>-3.1485278131010208E-2</v>
      </c>
    </row>
    <row r="164" spans="2:7" x14ac:dyDescent="0.35">
      <c r="B164" s="87">
        <v>44621</v>
      </c>
      <c r="C164">
        <v>147.44999999999999</v>
      </c>
      <c r="D164" s="13">
        <f t="shared" si="5"/>
        <v>7.667031763417298E-2</v>
      </c>
      <c r="F164" s="78">
        <v>17464.75</v>
      </c>
      <c r="G164" s="13">
        <f t="shared" si="6"/>
        <v>3.9946051840251462E-2</v>
      </c>
    </row>
    <row r="165" spans="2:7" x14ac:dyDescent="0.35">
      <c r="B165" s="87">
        <v>44652</v>
      </c>
      <c r="C165">
        <v>154.30000000000001</v>
      </c>
      <c r="D165" s="13">
        <f t="shared" si="5"/>
        <v>4.6456425907087207E-2</v>
      </c>
      <c r="F165" s="78">
        <v>17102.55</v>
      </c>
      <c r="G165" s="13">
        <f t="shared" si="6"/>
        <v>-2.0738916961307807E-2</v>
      </c>
    </row>
    <row r="166" spans="2:7" x14ac:dyDescent="0.35">
      <c r="B166" s="87">
        <v>44682</v>
      </c>
      <c r="C166">
        <v>149</v>
      </c>
      <c r="D166" s="13">
        <f t="shared" si="5"/>
        <v>-3.4348671419313082E-2</v>
      </c>
      <c r="F166" s="78">
        <v>16584.55</v>
      </c>
      <c r="G166" s="13">
        <f t="shared" si="6"/>
        <v>-3.0287881046978327E-2</v>
      </c>
    </row>
    <row r="167" spans="2:7" x14ac:dyDescent="0.35">
      <c r="B167" s="87">
        <v>44713</v>
      </c>
      <c r="C167">
        <v>149.65</v>
      </c>
      <c r="D167" s="13">
        <f t="shared" si="5"/>
        <v>4.3624161073825274E-3</v>
      </c>
      <c r="F167" s="78">
        <v>15780.25</v>
      </c>
      <c r="G167" s="13">
        <f t="shared" si="6"/>
        <v>-4.8496944445281853E-2</v>
      </c>
    </row>
    <row r="168" spans="2:7" x14ac:dyDescent="0.35">
      <c r="B168" s="87">
        <v>44743</v>
      </c>
      <c r="C168">
        <v>171.5</v>
      </c>
      <c r="D168" s="13">
        <f t="shared" si="5"/>
        <v>0.14600735048446367</v>
      </c>
      <c r="F168" s="78">
        <v>17158.25</v>
      </c>
      <c r="G168" s="13">
        <f t="shared" si="6"/>
        <v>8.7324345305048956E-2</v>
      </c>
    </row>
    <row r="169" spans="2:7" x14ac:dyDescent="0.35">
      <c r="B169" s="87">
        <v>44774</v>
      </c>
      <c r="C169">
        <v>188.7</v>
      </c>
      <c r="D169" s="13">
        <f t="shared" si="5"/>
        <v>0.10029154518950434</v>
      </c>
      <c r="F169" s="78">
        <v>17759.3</v>
      </c>
      <c r="G169" s="13">
        <f t="shared" si="6"/>
        <v>3.5029796162195925E-2</v>
      </c>
    </row>
    <row r="170" spans="2:7" x14ac:dyDescent="0.35">
      <c r="B170" s="87">
        <v>44805</v>
      </c>
      <c r="C170">
        <v>188.45</v>
      </c>
      <c r="D170" s="13">
        <f t="shared" si="5"/>
        <v>-1.3248542660306839E-3</v>
      </c>
      <c r="F170" s="78">
        <v>17094.349999999999</v>
      </c>
      <c r="G170" s="13">
        <f t="shared" si="6"/>
        <v>-3.7442354146841383E-2</v>
      </c>
    </row>
    <row r="171" spans="2:7" x14ac:dyDescent="0.35">
      <c r="B171" s="87">
        <v>44835</v>
      </c>
      <c r="C171">
        <v>197.95</v>
      </c>
      <c r="D171" s="13">
        <f t="shared" si="5"/>
        <v>5.0411249668347091E-2</v>
      </c>
      <c r="F171" s="78">
        <v>18012.2</v>
      </c>
      <c r="G171" s="13">
        <f t="shared" si="6"/>
        <v>5.3693179325332796E-2</v>
      </c>
    </row>
    <row r="172" spans="2:7" x14ac:dyDescent="0.35">
      <c r="B172" s="87">
        <v>44866</v>
      </c>
      <c r="C172">
        <v>203</v>
      </c>
      <c r="D172" s="13">
        <f t="shared" si="5"/>
        <v>2.5511492801212565E-2</v>
      </c>
      <c r="F172" s="78">
        <v>18758.349999999999</v>
      </c>
      <c r="G172" s="13">
        <f t="shared" si="6"/>
        <v>4.1424701035964295E-2</v>
      </c>
    </row>
    <row r="173" spans="2:7" x14ac:dyDescent="0.35">
      <c r="B173" s="87">
        <v>44896</v>
      </c>
      <c r="C173">
        <v>204.85</v>
      </c>
      <c r="D173" s="13">
        <f t="shared" si="5"/>
        <v>9.1133004926107208E-3</v>
      </c>
      <c r="F173" s="78">
        <v>18105.3</v>
      </c>
      <c r="G173" s="13">
        <f t="shared" si="6"/>
        <v>-3.4813829574562805E-2</v>
      </c>
    </row>
    <row r="174" spans="2:7" x14ac:dyDescent="0.35">
      <c r="B174" s="87">
        <v>44927</v>
      </c>
      <c r="C174">
        <v>205</v>
      </c>
      <c r="D174" s="13">
        <f t="shared" si="5"/>
        <v>7.3224310471076137E-4</v>
      </c>
      <c r="F174" s="78">
        <v>17662.150000000001</v>
      </c>
      <c r="G174" s="13">
        <f t="shared" si="6"/>
        <v>-2.4476258333195111E-2</v>
      </c>
    </row>
    <row r="175" spans="2:7" x14ac:dyDescent="0.35">
      <c r="B175" s="87">
        <v>44958</v>
      </c>
      <c r="C175">
        <v>190.25</v>
      </c>
      <c r="D175" s="13">
        <f t="shared" si="5"/>
        <v>-7.1951219512195075E-2</v>
      </c>
      <c r="F175" s="78">
        <v>17303.95</v>
      </c>
      <c r="G175" s="13">
        <f t="shared" si="6"/>
        <v>-2.0280656658447582E-2</v>
      </c>
    </row>
    <row r="176" spans="2:7" x14ac:dyDescent="0.35">
      <c r="B176" s="87">
        <v>44986</v>
      </c>
      <c r="C176">
        <v>190.5</v>
      </c>
      <c r="D176" s="13">
        <f t="shared" si="5"/>
        <v>1.3140604467805073E-3</v>
      </c>
      <c r="F176" s="78">
        <v>17359.75</v>
      </c>
      <c r="G176" s="13">
        <f t="shared" si="6"/>
        <v>3.2246972512055549E-3</v>
      </c>
    </row>
    <row r="177" spans="2:7" x14ac:dyDescent="0.35">
      <c r="B177" s="87">
        <v>45017</v>
      </c>
      <c r="C177">
        <v>194.75</v>
      </c>
      <c r="D177" s="13">
        <f t="shared" si="5"/>
        <v>2.2309711286089273E-2</v>
      </c>
      <c r="F177" s="78">
        <v>18065</v>
      </c>
      <c r="G177" s="13">
        <f t="shared" si="6"/>
        <v>4.0625585045867663E-2</v>
      </c>
    </row>
    <row r="178" spans="2:7" x14ac:dyDescent="0.35">
      <c r="B178" s="87">
        <v>45047</v>
      </c>
      <c r="C178">
        <v>209.25</v>
      </c>
      <c r="D178" s="13">
        <f t="shared" si="5"/>
        <v>7.4454428754813895E-2</v>
      </c>
      <c r="F178" s="78">
        <v>18534.400000000001</v>
      </c>
      <c r="G178" s="13">
        <f t="shared" si="6"/>
        <v>2.5983946858566309E-2</v>
      </c>
    </row>
    <row r="179" spans="2:7" x14ac:dyDescent="0.35">
      <c r="B179" s="87">
        <v>45078</v>
      </c>
      <c r="C179">
        <v>215.85</v>
      </c>
      <c r="D179" s="13">
        <f t="shared" si="5"/>
        <v>3.1541218637992863E-2</v>
      </c>
      <c r="F179" s="78">
        <v>19189.05</v>
      </c>
      <c r="G179" s="13">
        <f t="shared" si="6"/>
        <v>3.5320808874309328E-2</v>
      </c>
    </row>
    <row r="180" spans="2:7" x14ac:dyDescent="0.35">
      <c r="B180" s="87">
        <v>45108</v>
      </c>
      <c r="C180">
        <v>311.8</v>
      </c>
      <c r="D180" s="13">
        <f t="shared" si="5"/>
        <v>0.44452165855918468</v>
      </c>
      <c r="F180" s="78">
        <v>19753.8</v>
      </c>
      <c r="G180" s="13">
        <f t="shared" si="6"/>
        <v>2.9430847280089489E-2</v>
      </c>
    </row>
    <row r="181" spans="2:7" x14ac:dyDescent="0.35">
      <c r="B181" s="87">
        <v>45139</v>
      </c>
      <c r="C181">
        <v>348.35</v>
      </c>
      <c r="D181" s="13">
        <f t="shared" si="5"/>
        <v>0.11722257857601037</v>
      </c>
      <c r="F181" s="78">
        <v>19253.8</v>
      </c>
      <c r="G181" s="13">
        <f t="shared" si="6"/>
        <v>-2.5311585618969512E-2</v>
      </c>
    </row>
    <row r="182" spans="2:7" x14ac:dyDescent="0.35">
      <c r="B182" s="87">
        <v>45170</v>
      </c>
      <c r="C182">
        <v>360.5</v>
      </c>
      <c r="D182" s="13">
        <f t="shared" si="5"/>
        <v>3.4878713937132044E-2</v>
      </c>
      <c r="F182" s="78">
        <v>19638.3</v>
      </c>
      <c r="G182" s="13">
        <f t="shared" si="6"/>
        <v>1.9970083827608009E-2</v>
      </c>
    </row>
    <row r="183" spans="2:7" x14ac:dyDescent="0.35">
      <c r="B183" s="87">
        <v>45200</v>
      </c>
      <c r="C183">
        <v>362.6</v>
      </c>
      <c r="D183" s="13">
        <f t="shared" si="5"/>
        <v>5.8252427184466438E-3</v>
      </c>
      <c r="F183" s="78">
        <v>19079.599999999999</v>
      </c>
      <c r="G183" s="13">
        <f t="shared" si="6"/>
        <v>-2.844950937708457E-2</v>
      </c>
    </row>
    <row r="184" spans="2:7" x14ac:dyDescent="0.35">
      <c r="B184" s="87">
        <v>45231</v>
      </c>
      <c r="C184">
        <v>434.45</v>
      </c>
      <c r="D184" s="13">
        <f t="shared" si="5"/>
        <v>0.19815223386651937</v>
      </c>
      <c r="F184" s="78">
        <v>20133.150000000001</v>
      </c>
      <c r="G184" s="13">
        <f t="shared" si="6"/>
        <v>5.5218662865049728E-2</v>
      </c>
    </row>
    <row r="185" spans="2:7" x14ac:dyDescent="0.35">
      <c r="B185" s="87">
        <v>45261</v>
      </c>
      <c r="C185">
        <v>478.9</v>
      </c>
      <c r="D185" s="13">
        <f t="shared" si="5"/>
        <v>0.10231326965128318</v>
      </c>
      <c r="F185" s="78">
        <v>21731.4</v>
      </c>
      <c r="G185" s="13">
        <f t="shared" si="6"/>
        <v>7.9384001013254268E-2</v>
      </c>
    </row>
    <row r="186" spans="2:7" x14ac:dyDescent="0.35">
      <c r="B186" s="87">
        <v>45292</v>
      </c>
      <c r="C186">
        <v>515.15</v>
      </c>
      <c r="D186" s="13">
        <f t="shared" si="5"/>
        <v>7.5694299436207979E-2</v>
      </c>
      <c r="F186" s="78">
        <v>21725.7</v>
      </c>
      <c r="G186" s="13">
        <f t="shared" si="6"/>
        <v>-2.6229327148741266E-4</v>
      </c>
    </row>
    <row r="187" spans="2:7" x14ac:dyDescent="0.35">
      <c r="B187" s="87">
        <v>45323</v>
      </c>
      <c r="C187">
        <v>462.05</v>
      </c>
      <c r="D187" s="13">
        <f t="shared" si="5"/>
        <v>-0.10307677375521684</v>
      </c>
      <c r="F187" s="78">
        <v>21982.799999999999</v>
      </c>
      <c r="G187" s="13">
        <f t="shared" si="6"/>
        <v>1.1833910990209695E-2</v>
      </c>
    </row>
    <row r="188" spans="2:7" x14ac:dyDescent="0.35">
      <c r="B188" s="87">
        <v>45352</v>
      </c>
      <c r="C188">
        <v>439.95</v>
      </c>
      <c r="D188" s="13">
        <f t="shared" si="5"/>
        <v>-4.7830321393788622E-2</v>
      </c>
      <c r="F188" s="78">
        <v>22326.9</v>
      </c>
      <c r="G188" s="13">
        <f t="shared" si="6"/>
        <v>1.5653147005840973E-2</v>
      </c>
    </row>
    <row r="189" spans="2:7" x14ac:dyDescent="0.35">
      <c r="B189" s="87">
        <v>45383</v>
      </c>
      <c r="C189">
        <v>434.35</v>
      </c>
      <c r="D189" s="13">
        <f t="shared" si="5"/>
        <v>-1.2728719172633185E-2</v>
      </c>
      <c r="F189" s="78">
        <v>22604.85</v>
      </c>
      <c r="G189" s="13">
        <f t="shared" si="6"/>
        <v>1.2449108474530624E-2</v>
      </c>
    </row>
    <row r="190" spans="2:7" x14ac:dyDescent="0.35">
      <c r="B190" s="87">
        <v>45413</v>
      </c>
      <c r="C190">
        <v>400.5</v>
      </c>
      <c r="D190" s="13">
        <f t="shared" si="5"/>
        <v>-7.7932542880165823E-2</v>
      </c>
      <c r="F190" s="78">
        <v>22530.7</v>
      </c>
      <c r="G190" s="13">
        <f t="shared" si="6"/>
        <v>-3.2802694996869608E-3</v>
      </c>
    </row>
    <row r="191" spans="2:7" x14ac:dyDescent="0.35">
      <c r="B191" s="87">
        <v>45444</v>
      </c>
      <c r="C191">
        <v>431.6</v>
      </c>
      <c r="D191" s="13">
        <f t="shared" si="5"/>
        <v>7.7652933832709214E-2</v>
      </c>
      <c r="F191" s="78">
        <v>24010.6</v>
      </c>
      <c r="G191" s="13">
        <f t="shared" si="6"/>
        <v>6.5683711558007341E-2</v>
      </c>
    </row>
    <row r="192" spans="2:7" x14ac:dyDescent="0.35">
      <c r="B192" s="87">
        <v>45474</v>
      </c>
      <c r="C192">
        <v>526.79999999999995</v>
      </c>
      <c r="D192" s="13">
        <f t="shared" si="5"/>
        <v>0.2205746061167746</v>
      </c>
      <c r="F192" s="78">
        <v>24951.15</v>
      </c>
      <c r="G192" s="13">
        <f t="shared" si="6"/>
        <v>3.917228224200997E-2</v>
      </c>
    </row>
    <row r="193" spans="2:14" x14ac:dyDescent="0.35">
      <c r="B193" s="87">
        <v>45505</v>
      </c>
      <c r="C193">
        <v>539.79999999999995</v>
      </c>
      <c r="D193" s="13">
        <f t="shared" si="5"/>
        <v>2.4677296886864042E-2</v>
      </c>
      <c r="F193" s="78">
        <v>25235.9</v>
      </c>
      <c r="G193" s="13">
        <f t="shared" si="6"/>
        <v>1.141229963348378E-2</v>
      </c>
    </row>
    <row r="194" spans="2:14" x14ac:dyDescent="0.35">
      <c r="B194" s="87">
        <v>45536</v>
      </c>
      <c r="C194">
        <v>558</v>
      </c>
      <c r="D194" s="13">
        <f t="shared" si="5"/>
        <v>3.3716191181919264E-2</v>
      </c>
      <c r="F194" s="78">
        <v>25810.85</v>
      </c>
      <c r="G194" s="13">
        <f t="shared" si="6"/>
        <v>2.2783019428670892E-2</v>
      </c>
    </row>
    <row r="195" spans="2:14" x14ac:dyDescent="0.35">
      <c r="B195" s="87">
        <v>45566</v>
      </c>
      <c r="C195">
        <v>519.1</v>
      </c>
      <c r="D195" s="13">
        <f t="shared" si="5"/>
        <v>-6.9713261648745473E-2</v>
      </c>
      <c r="F195" s="78">
        <v>24205.35</v>
      </c>
      <c r="G195" s="13">
        <f t="shared" si="6"/>
        <v>-6.2202523357425266E-2</v>
      </c>
    </row>
    <row r="196" spans="2:14" x14ac:dyDescent="0.35">
      <c r="B196" s="87">
        <v>45597</v>
      </c>
      <c r="C196">
        <v>420.1</v>
      </c>
      <c r="D196" s="13">
        <f t="shared" si="5"/>
        <v>-0.19071469851666345</v>
      </c>
      <c r="F196" s="78">
        <v>24131.1</v>
      </c>
      <c r="G196" s="13">
        <f t="shared" si="6"/>
        <v>-3.0675036717089377E-3</v>
      </c>
    </row>
    <row r="197" spans="2:14" x14ac:dyDescent="0.35">
      <c r="B197" s="87">
        <v>45627</v>
      </c>
      <c r="C197">
        <v>397.1</v>
      </c>
      <c r="D197" s="13">
        <f t="shared" si="5"/>
        <v>-5.4748869316829318E-2</v>
      </c>
      <c r="F197" s="78">
        <v>23644.799999999999</v>
      </c>
      <c r="G197" s="13">
        <f t="shared" si="6"/>
        <v>-2.0152417419844082E-2</v>
      </c>
    </row>
    <row r="198" spans="2:14" x14ac:dyDescent="0.35">
      <c r="B198" s="87">
        <v>45658</v>
      </c>
      <c r="C198">
        <v>398.4</v>
      </c>
      <c r="D198" s="13">
        <f t="shared" si="5"/>
        <v>3.2737345756734815E-3</v>
      </c>
      <c r="F198" s="78">
        <v>23508.400000000001</v>
      </c>
      <c r="G198" s="13">
        <f t="shared" si="6"/>
        <v>-5.7687102449586192E-3</v>
      </c>
    </row>
    <row r="199" spans="2:14" x14ac:dyDescent="0.35">
      <c r="B199" s="87">
        <v>45689</v>
      </c>
      <c r="C199">
        <v>322.39999999999998</v>
      </c>
      <c r="D199" s="13">
        <f t="shared" si="5"/>
        <v>-0.19076305220883538</v>
      </c>
      <c r="F199" s="78">
        <v>22124.7</v>
      </c>
      <c r="G199" s="13">
        <f t="shared" si="6"/>
        <v>-5.8859811811948104E-2</v>
      </c>
    </row>
    <row r="200" spans="2:14" x14ac:dyDescent="0.35">
      <c r="B200" s="87">
        <v>45717</v>
      </c>
      <c r="C200">
        <v>328.7</v>
      </c>
      <c r="D200" s="13">
        <f t="shared" si="5"/>
        <v>1.9540942928039762E-2</v>
      </c>
      <c r="F200" s="78">
        <v>23519.35</v>
      </c>
      <c r="G200" s="13">
        <f t="shared" si="6"/>
        <v>6.3035882972424462E-2</v>
      </c>
    </row>
    <row r="201" spans="2:14" x14ac:dyDescent="0.35">
      <c r="B201" s="87">
        <v>45748</v>
      </c>
      <c r="C201">
        <v>374</v>
      </c>
      <c r="D201" s="13">
        <f t="shared" si="5"/>
        <v>0.13781563735929425</v>
      </c>
      <c r="F201" s="78">
        <v>24334.2</v>
      </c>
      <c r="G201" s="13">
        <f t="shared" si="6"/>
        <v>3.4645940470293679E-2</v>
      </c>
    </row>
    <row r="202" spans="2:14" x14ac:dyDescent="0.35">
      <c r="B202" s="87">
        <v>45778</v>
      </c>
      <c r="C202">
        <v>341.5</v>
      </c>
      <c r="D202" s="13">
        <f t="shared" si="5"/>
        <v>-8.6898395721925148E-2</v>
      </c>
      <c r="F202" s="78">
        <v>24826.2</v>
      </c>
      <c r="G202" s="13">
        <f t="shared" si="6"/>
        <v>2.0218457972729809E-2</v>
      </c>
    </row>
    <row r="204" spans="2:14" x14ac:dyDescent="0.35">
      <c r="B204" s="199" t="s">
        <v>220</v>
      </c>
      <c r="C204" s="199"/>
      <c r="D204" s="199"/>
    </row>
    <row r="205" spans="2:14" x14ac:dyDescent="0.35">
      <c r="B205" s="195" t="s">
        <v>235</v>
      </c>
      <c r="C205" s="195"/>
      <c r="D205" s="195"/>
      <c r="F205" s="195" t="s">
        <v>230</v>
      </c>
      <c r="G205" s="195"/>
      <c r="I205" s="198" t="s">
        <v>214</v>
      </c>
      <c r="J205" s="198"/>
      <c r="K205" s="198"/>
      <c r="M205" t="s">
        <v>154</v>
      </c>
    </row>
    <row r="206" spans="2:14" ht="15" thickBot="1" x14ac:dyDescent="0.4">
      <c r="B206" t="s">
        <v>206</v>
      </c>
      <c r="C206" t="s">
        <v>207</v>
      </c>
      <c r="D206" s="86" t="s">
        <v>232</v>
      </c>
      <c r="F206" s="84" t="s">
        <v>207</v>
      </c>
      <c r="G206" s="86" t="s">
        <v>232</v>
      </c>
    </row>
    <row r="207" spans="2:14" x14ac:dyDescent="0.35">
      <c r="B207" s="87">
        <v>43983</v>
      </c>
      <c r="C207">
        <v>10.38</v>
      </c>
      <c r="F207" s="78">
        <v>10302.1</v>
      </c>
      <c r="G207" s="77"/>
      <c r="I207" s="2" t="s">
        <v>215</v>
      </c>
      <c r="K207" s="22">
        <f>N222</f>
        <v>0.36478608522336642</v>
      </c>
      <c r="M207" s="63" t="s">
        <v>155</v>
      </c>
      <c r="N207" s="63"/>
    </row>
    <row r="208" spans="2:14" x14ac:dyDescent="0.35">
      <c r="B208" s="87">
        <v>44013</v>
      </c>
      <c r="C208">
        <v>10.38</v>
      </c>
      <c r="D208" s="13">
        <f>C208/C207-1</f>
        <v>0</v>
      </c>
      <c r="F208" s="78">
        <v>11073.45</v>
      </c>
      <c r="G208" s="13">
        <f>F208/F207-1</f>
        <v>7.4873084128478595E-2</v>
      </c>
      <c r="I208" t="s">
        <v>216</v>
      </c>
      <c r="K208" s="71">
        <v>0.75</v>
      </c>
      <c r="M208" t="s">
        <v>156</v>
      </c>
      <c r="N208">
        <v>8.7078253310446566E-2</v>
      </c>
    </row>
    <row r="209" spans="2:21" x14ac:dyDescent="0.35">
      <c r="B209" s="87">
        <v>44044</v>
      </c>
      <c r="C209">
        <v>10.91</v>
      </c>
      <c r="D209" s="13">
        <f t="shared" ref="D209:D266" si="7">C209/C208-1</f>
        <v>5.1059730250481605E-2</v>
      </c>
      <c r="F209" s="78">
        <v>11387.5</v>
      </c>
      <c r="G209" s="13">
        <f t="shared" ref="G209:G266" si="8">F209/F208-1</f>
        <v>2.8360628349791472E-2</v>
      </c>
      <c r="M209" t="s">
        <v>157</v>
      </c>
      <c r="N209">
        <v>7.5826221995982978E-3</v>
      </c>
    </row>
    <row r="210" spans="2:21" x14ac:dyDescent="0.35">
      <c r="B210" s="87">
        <v>44075</v>
      </c>
      <c r="C210">
        <v>10.83</v>
      </c>
      <c r="D210" s="13">
        <f t="shared" si="7"/>
        <v>-7.3327222731439656E-3</v>
      </c>
      <c r="F210" s="78">
        <v>11247.55</v>
      </c>
      <c r="G210" s="13">
        <f t="shared" si="8"/>
        <v>-1.2289791437980258E-2</v>
      </c>
      <c r="I210" t="s">
        <v>218</v>
      </c>
      <c r="K210" s="22">
        <v>1</v>
      </c>
      <c r="M210" t="s">
        <v>158</v>
      </c>
      <c r="N210">
        <v>-9.8282089898824327E-3</v>
      </c>
    </row>
    <row r="211" spans="2:21" x14ac:dyDescent="0.35">
      <c r="B211" s="87">
        <v>44105</v>
      </c>
      <c r="C211">
        <v>10.43</v>
      </c>
      <c r="D211" s="13">
        <f t="shared" si="7"/>
        <v>-3.6934441366574311E-2</v>
      </c>
      <c r="F211" s="78">
        <v>11642.4</v>
      </c>
      <c r="G211" s="13">
        <f t="shared" si="8"/>
        <v>3.5105422958777721E-2</v>
      </c>
      <c r="I211" t="s">
        <v>217</v>
      </c>
      <c r="K211" s="71">
        <v>0.25</v>
      </c>
      <c r="M211" t="s">
        <v>159</v>
      </c>
      <c r="N211">
        <v>0.16706239693893088</v>
      </c>
    </row>
    <row r="212" spans="2:21" ht="15" thickBot="1" x14ac:dyDescent="0.4">
      <c r="B212" s="87">
        <v>44136</v>
      </c>
      <c r="C212">
        <v>11.39</v>
      </c>
      <c r="D212" s="13">
        <f t="shared" si="7"/>
        <v>9.2042186001917603E-2</v>
      </c>
      <c r="F212" s="78">
        <v>12968.95</v>
      </c>
      <c r="G212" s="13">
        <f t="shared" si="8"/>
        <v>0.11394128358414091</v>
      </c>
      <c r="M212" s="61" t="s">
        <v>160</v>
      </c>
      <c r="N212" s="61">
        <v>59</v>
      </c>
    </row>
    <row r="213" spans="2:21" x14ac:dyDescent="0.35">
      <c r="B213" s="87">
        <v>44166</v>
      </c>
      <c r="C213">
        <v>12.27</v>
      </c>
      <c r="D213" s="13">
        <f t="shared" si="7"/>
        <v>7.7260755048287777E-2</v>
      </c>
      <c r="F213" s="78">
        <v>13981.75</v>
      </c>
      <c r="G213" s="13">
        <f t="shared" si="8"/>
        <v>7.8094217342190353E-2</v>
      </c>
      <c r="I213" s="40" t="s">
        <v>219</v>
      </c>
      <c r="J213" s="40"/>
      <c r="K213" s="80">
        <f>(K207*K208)+(K210*K211)</f>
        <v>0.52358956391752476</v>
      </c>
    </row>
    <row r="214" spans="2:21" ht="15" thickBot="1" x14ac:dyDescent="0.4">
      <c r="B214" s="87">
        <v>44197</v>
      </c>
      <c r="C214">
        <v>10.83</v>
      </c>
      <c r="D214" s="13">
        <f t="shared" si="7"/>
        <v>-0.11735941320293397</v>
      </c>
      <c r="F214" s="78">
        <v>13634.6</v>
      </c>
      <c r="G214" s="13">
        <f t="shared" si="8"/>
        <v>-2.4828794678777633E-2</v>
      </c>
      <c r="M214" t="s">
        <v>161</v>
      </c>
    </row>
    <row r="215" spans="2:21" x14ac:dyDescent="0.35">
      <c r="B215" s="87">
        <v>44228</v>
      </c>
      <c r="C215">
        <v>10.36</v>
      </c>
      <c r="D215" s="13">
        <f t="shared" si="7"/>
        <v>-4.3397968605724868E-2</v>
      </c>
      <c r="F215" s="78">
        <v>14529.15</v>
      </c>
      <c r="G215" s="13">
        <f t="shared" si="8"/>
        <v>6.5608818740557018E-2</v>
      </c>
      <c r="M215" s="62"/>
      <c r="N215" s="62" t="s">
        <v>165</v>
      </c>
      <c r="O215" s="62" t="s">
        <v>166</v>
      </c>
      <c r="P215" s="62" t="s">
        <v>167</v>
      </c>
      <c r="Q215" s="62" t="s">
        <v>168</v>
      </c>
      <c r="R215" s="62" t="s">
        <v>169</v>
      </c>
    </row>
    <row r="216" spans="2:21" x14ac:dyDescent="0.35">
      <c r="B216" s="87">
        <v>44256</v>
      </c>
      <c r="C216">
        <v>10.49</v>
      </c>
      <c r="D216" s="13">
        <f t="shared" si="7"/>
        <v>1.254826254826269E-2</v>
      </c>
      <c r="F216" s="78">
        <v>14690.7</v>
      </c>
      <c r="G216" s="13">
        <f t="shared" si="8"/>
        <v>1.111902623346861E-2</v>
      </c>
      <c r="M216" t="s">
        <v>162</v>
      </c>
      <c r="N216">
        <v>1</v>
      </c>
      <c r="O216">
        <v>1.2155066232613754E-2</v>
      </c>
      <c r="P216">
        <v>1.2155066232613754E-2</v>
      </c>
      <c r="Q216">
        <v>0.43551178671926721</v>
      </c>
      <c r="R216">
        <v>0.51195463722083057</v>
      </c>
    </row>
    <row r="217" spans="2:21" x14ac:dyDescent="0.35">
      <c r="B217" s="87">
        <v>44287</v>
      </c>
      <c r="C217">
        <v>10.91</v>
      </c>
      <c r="D217" s="13">
        <f t="shared" si="7"/>
        <v>4.0038131553860712E-2</v>
      </c>
      <c r="F217" s="78">
        <v>14631.1</v>
      </c>
      <c r="G217" s="13">
        <f t="shared" si="8"/>
        <v>-4.0569884348601315E-3</v>
      </c>
      <c r="M217" t="s">
        <v>163</v>
      </c>
      <c r="N217">
        <v>57</v>
      </c>
      <c r="O217">
        <v>1.5908611348459114</v>
      </c>
      <c r="P217">
        <v>2.7909844470980903E-2</v>
      </c>
    </row>
    <row r="218" spans="2:21" ht="15" thickBot="1" x14ac:dyDescent="0.4">
      <c r="B218" s="87">
        <v>44317</v>
      </c>
      <c r="C218">
        <v>12.01</v>
      </c>
      <c r="D218" s="13">
        <f t="shared" si="7"/>
        <v>0.10082493125572856</v>
      </c>
      <c r="F218" s="78">
        <v>15582.8</v>
      </c>
      <c r="G218" s="13">
        <f t="shared" si="8"/>
        <v>6.5046373820150105E-2</v>
      </c>
      <c r="M218" s="61" t="s">
        <v>12</v>
      </c>
      <c r="N218" s="61">
        <v>58</v>
      </c>
      <c r="O218" s="61">
        <v>1.6030162010785252</v>
      </c>
      <c r="P218" s="61"/>
      <c r="Q218" s="61"/>
      <c r="R218" s="61"/>
    </row>
    <row r="219" spans="2:21" ht="15" thickBot="1" x14ac:dyDescent="0.4">
      <c r="B219" s="87">
        <v>44348</v>
      </c>
      <c r="C219">
        <v>11.24</v>
      </c>
      <c r="D219" s="13">
        <f t="shared" si="7"/>
        <v>-6.4113238967527075E-2</v>
      </c>
      <c r="F219" s="78">
        <v>15721.5</v>
      </c>
      <c r="G219" s="13">
        <f t="shared" si="8"/>
        <v>8.9008393870164682E-3</v>
      </c>
    </row>
    <row r="220" spans="2:21" x14ac:dyDescent="0.35">
      <c r="B220" s="87">
        <v>44378</v>
      </c>
      <c r="C220">
        <v>12.31</v>
      </c>
      <c r="D220" s="13">
        <f t="shared" si="7"/>
        <v>9.5195729537366658E-2</v>
      </c>
      <c r="F220" s="78">
        <v>15763.05</v>
      </c>
      <c r="G220" s="13">
        <f t="shared" si="8"/>
        <v>2.6428775880162902E-3</v>
      </c>
      <c r="M220" s="62"/>
      <c r="N220" s="62" t="s">
        <v>170</v>
      </c>
      <c r="O220" s="62" t="s">
        <v>159</v>
      </c>
      <c r="P220" s="62" t="s">
        <v>171</v>
      </c>
      <c r="Q220" s="62" t="s">
        <v>172</v>
      </c>
      <c r="R220" s="62" t="s">
        <v>173</v>
      </c>
      <c r="S220" s="62" t="s">
        <v>174</v>
      </c>
      <c r="T220" s="62" t="s">
        <v>175</v>
      </c>
      <c r="U220" s="62" t="s">
        <v>176</v>
      </c>
    </row>
    <row r="221" spans="2:21" x14ac:dyDescent="0.35">
      <c r="B221" s="87">
        <v>44409</v>
      </c>
      <c r="C221">
        <v>11.36</v>
      </c>
      <c r="D221" s="13">
        <f t="shared" si="7"/>
        <v>-7.7173030056864378E-2</v>
      </c>
      <c r="F221" s="78">
        <v>17132.2</v>
      </c>
      <c r="G221" s="13">
        <f t="shared" si="8"/>
        <v>8.6858190515160638E-2</v>
      </c>
      <c r="M221" t="s">
        <v>164</v>
      </c>
      <c r="N221">
        <v>4.5551895609965067E-2</v>
      </c>
      <c r="O221">
        <v>2.3433226702067978E-2</v>
      </c>
      <c r="P221">
        <v>1.9439019725757665</v>
      </c>
      <c r="Q221">
        <v>5.6849408503430711E-2</v>
      </c>
      <c r="R221">
        <v>-1.3723314606617631E-3</v>
      </c>
      <c r="S221">
        <v>9.2476122680591896E-2</v>
      </c>
      <c r="T221">
        <v>-1.3723314606617631E-3</v>
      </c>
      <c r="U221">
        <v>9.2476122680591896E-2</v>
      </c>
    </row>
    <row r="222" spans="2:21" ht="15" thickBot="1" x14ac:dyDescent="0.4">
      <c r="B222" s="87">
        <v>44440</v>
      </c>
      <c r="C222">
        <v>11.49</v>
      </c>
      <c r="D222" s="13">
        <f t="shared" si="7"/>
        <v>1.1443661971830998E-2</v>
      </c>
      <c r="F222" s="78">
        <v>17618.150000000001</v>
      </c>
      <c r="G222" s="13">
        <f t="shared" si="8"/>
        <v>2.8364716732235173E-2</v>
      </c>
      <c r="M222" s="61" t="s">
        <v>213</v>
      </c>
      <c r="N222" s="61">
        <v>0.36478608522336642</v>
      </c>
      <c r="O222" s="61">
        <v>0.55276216245125898</v>
      </c>
      <c r="P222" s="61">
        <v>0.65993316837335481</v>
      </c>
      <c r="Q222" s="61">
        <v>0.51195463722081724</v>
      </c>
      <c r="R222" s="61">
        <v>-0.74210105228828382</v>
      </c>
      <c r="S222" s="61">
        <v>1.4716732227350167</v>
      </c>
      <c r="T222" s="61">
        <v>-0.74210105228828382</v>
      </c>
      <c r="U222" s="61">
        <v>1.4716732227350167</v>
      </c>
    </row>
    <row r="223" spans="2:21" x14ac:dyDescent="0.35">
      <c r="B223" s="87">
        <v>44470</v>
      </c>
      <c r="C223">
        <v>11.24</v>
      </c>
      <c r="D223" s="13">
        <f t="shared" si="7"/>
        <v>-2.1758050478677071E-2</v>
      </c>
      <c r="F223" s="78">
        <v>17671.650000000001</v>
      </c>
      <c r="G223" s="13">
        <f t="shared" si="8"/>
        <v>3.0366411910445201E-3</v>
      </c>
    </row>
    <row r="224" spans="2:21" x14ac:dyDescent="0.35">
      <c r="B224" s="87">
        <v>44501</v>
      </c>
      <c r="C224">
        <v>10.48</v>
      </c>
      <c r="D224" s="13">
        <f t="shared" si="7"/>
        <v>-6.7615658362989328E-2</v>
      </c>
      <c r="F224" s="78">
        <v>16983.2</v>
      </c>
      <c r="G224" s="13">
        <f t="shared" si="8"/>
        <v>-3.8957878862471818E-2</v>
      </c>
    </row>
    <row r="225" spans="2:7" x14ac:dyDescent="0.35">
      <c r="B225" s="87">
        <v>44531</v>
      </c>
      <c r="C225">
        <v>11.14</v>
      </c>
      <c r="D225" s="13">
        <f t="shared" si="7"/>
        <v>6.2977099236641187E-2</v>
      </c>
      <c r="F225" s="78">
        <v>17354.05</v>
      </c>
      <c r="G225" s="13">
        <f t="shared" si="8"/>
        <v>2.1836285270149247E-2</v>
      </c>
    </row>
    <row r="226" spans="2:7" x14ac:dyDescent="0.35">
      <c r="B226" s="87">
        <v>44562</v>
      </c>
      <c r="C226">
        <v>10.69</v>
      </c>
      <c r="D226" s="13">
        <f t="shared" si="7"/>
        <v>-4.0394973070018048E-2</v>
      </c>
      <c r="F226" s="78">
        <v>17339.849999999999</v>
      </c>
      <c r="G226" s="13">
        <f t="shared" si="8"/>
        <v>-8.1825279977876253E-4</v>
      </c>
    </row>
    <row r="227" spans="2:7" x14ac:dyDescent="0.35">
      <c r="B227" s="87">
        <v>44593</v>
      </c>
      <c r="C227">
        <v>10.67</v>
      </c>
      <c r="D227" s="13">
        <f t="shared" si="7"/>
        <v>-1.8709073900841089E-3</v>
      </c>
      <c r="F227" s="78">
        <v>16793.900000000001</v>
      </c>
      <c r="G227" s="13">
        <f t="shared" si="8"/>
        <v>-3.1485278131010208E-2</v>
      </c>
    </row>
    <row r="228" spans="2:7" x14ac:dyDescent="0.35">
      <c r="B228" s="87">
        <v>44621</v>
      </c>
      <c r="C228">
        <v>11.85</v>
      </c>
      <c r="D228" s="13">
        <f t="shared" si="7"/>
        <v>0.11059044048734767</v>
      </c>
      <c r="F228" s="78">
        <v>17464.75</v>
      </c>
      <c r="G228" s="13">
        <f t="shared" si="8"/>
        <v>3.9946051840251462E-2</v>
      </c>
    </row>
    <row r="229" spans="2:7" x14ac:dyDescent="0.35">
      <c r="B229" s="87">
        <v>44652</v>
      </c>
      <c r="C229">
        <v>15.05</v>
      </c>
      <c r="D229" s="13">
        <f t="shared" si="7"/>
        <v>0.27004219409282704</v>
      </c>
      <c r="F229" s="78">
        <v>17102.55</v>
      </c>
      <c r="G229" s="13">
        <f t="shared" si="8"/>
        <v>-2.0738916961307807E-2</v>
      </c>
    </row>
    <row r="230" spans="2:7" x14ac:dyDescent="0.35">
      <c r="B230" s="87">
        <v>44682</v>
      </c>
      <c r="C230">
        <v>12.01</v>
      </c>
      <c r="D230" s="13">
        <f t="shared" si="7"/>
        <v>-0.20199335548172759</v>
      </c>
      <c r="F230" s="78">
        <v>16584.55</v>
      </c>
      <c r="G230" s="13">
        <f t="shared" si="8"/>
        <v>-3.0287881046978327E-2</v>
      </c>
    </row>
    <row r="231" spans="2:7" x14ac:dyDescent="0.35">
      <c r="B231" s="87">
        <v>44713</v>
      </c>
      <c r="C231">
        <v>10.66</v>
      </c>
      <c r="D231" s="13">
        <f t="shared" si="7"/>
        <v>-0.11240632805994999</v>
      </c>
      <c r="F231" s="78">
        <v>15780.25</v>
      </c>
      <c r="G231" s="13">
        <f t="shared" si="8"/>
        <v>-4.8496944445281853E-2</v>
      </c>
    </row>
    <row r="232" spans="2:7" x14ac:dyDescent="0.35">
      <c r="B232" s="87">
        <v>44743</v>
      </c>
      <c r="C232">
        <v>11.03</v>
      </c>
      <c r="D232" s="13">
        <f t="shared" si="7"/>
        <v>3.4709193245778591E-2</v>
      </c>
      <c r="F232" s="78">
        <v>17158.25</v>
      </c>
      <c r="G232" s="13">
        <f t="shared" si="8"/>
        <v>8.7324345305048956E-2</v>
      </c>
    </row>
    <row r="233" spans="2:7" x14ac:dyDescent="0.35">
      <c r="B233" s="87">
        <v>44774</v>
      </c>
      <c r="C233">
        <v>10.96</v>
      </c>
      <c r="D233" s="13">
        <f t="shared" si="7"/>
        <v>-6.3463281958294759E-3</v>
      </c>
      <c r="F233" s="78">
        <v>17759.3</v>
      </c>
      <c r="G233" s="13">
        <f t="shared" si="8"/>
        <v>3.5029796162195925E-2</v>
      </c>
    </row>
    <row r="234" spans="2:7" x14ac:dyDescent="0.35">
      <c r="B234" s="87">
        <v>44805</v>
      </c>
      <c r="C234">
        <v>11.72</v>
      </c>
      <c r="D234" s="13">
        <f t="shared" si="7"/>
        <v>6.9343065693430628E-2</v>
      </c>
      <c r="F234" s="78">
        <v>17094.349999999999</v>
      </c>
      <c r="G234" s="13">
        <f t="shared" si="8"/>
        <v>-3.7442354146841383E-2</v>
      </c>
    </row>
    <row r="235" spans="2:7" x14ac:dyDescent="0.35">
      <c r="B235" s="87">
        <v>44835</v>
      </c>
      <c r="C235">
        <v>11.52</v>
      </c>
      <c r="D235" s="13">
        <f t="shared" si="7"/>
        <v>-1.7064846416382395E-2</v>
      </c>
      <c r="F235" s="78">
        <v>18012.2</v>
      </c>
      <c r="G235" s="13">
        <f t="shared" si="8"/>
        <v>5.3693179325332796E-2</v>
      </c>
    </row>
    <row r="236" spans="2:7" x14ac:dyDescent="0.35">
      <c r="B236" s="87">
        <v>44866</v>
      </c>
      <c r="C236">
        <v>12.53</v>
      </c>
      <c r="D236" s="13">
        <f t="shared" si="7"/>
        <v>8.767361111111116E-2</v>
      </c>
      <c r="F236" s="78">
        <v>18758.349999999999</v>
      </c>
      <c r="G236" s="13">
        <f t="shared" si="8"/>
        <v>4.1424701035964295E-2</v>
      </c>
    </row>
    <row r="237" spans="2:7" x14ac:dyDescent="0.35">
      <c r="B237" s="87">
        <v>44896</v>
      </c>
      <c r="C237">
        <v>13.76</v>
      </c>
      <c r="D237" s="13">
        <f t="shared" si="7"/>
        <v>9.8164405426975243E-2</v>
      </c>
      <c r="F237" s="78">
        <v>18105.3</v>
      </c>
      <c r="G237" s="13">
        <f t="shared" si="8"/>
        <v>-3.4813829574562805E-2</v>
      </c>
    </row>
    <row r="238" spans="2:7" x14ac:dyDescent="0.35">
      <c r="B238" s="87">
        <v>44927</v>
      </c>
      <c r="C238">
        <v>13.78</v>
      </c>
      <c r="D238" s="13">
        <f t="shared" si="7"/>
        <v>1.4534883720929148E-3</v>
      </c>
      <c r="F238" s="78">
        <v>17662.150000000001</v>
      </c>
      <c r="G238" s="13">
        <f t="shared" si="8"/>
        <v>-2.4476258333195111E-2</v>
      </c>
    </row>
    <row r="239" spans="2:7" x14ac:dyDescent="0.35">
      <c r="B239" s="87">
        <v>44958</v>
      </c>
      <c r="C239">
        <v>12.52</v>
      </c>
      <c r="D239" s="13">
        <f t="shared" si="7"/>
        <v>-9.1436865021770619E-2</v>
      </c>
      <c r="F239" s="78">
        <v>17303.95</v>
      </c>
      <c r="G239" s="13">
        <f t="shared" si="8"/>
        <v>-2.0280656658447582E-2</v>
      </c>
    </row>
    <row r="240" spans="2:7" x14ac:dyDescent="0.35">
      <c r="B240" s="87">
        <v>44986</v>
      </c>
      <c r="C240">
        <v>12.65</v>
      </c>
      <c r="D240" s="13">
        <f t="shared" si="7"/>
        <v>1.0383386581469756E-2</v>
      </c>
      <c r="F240" s="78">
        <v>17359.75</v>
      </c>
      <c r="G240" s="13">
        <f t="shared" si="8"/>
        <v>3.2246972512055549E-3</v>
      </c>
    </row>
    <row r="241" spans="2:7" x14ac:dyDescent="0.35">
      <c r="B241" s="87">
        <v>45017</v>
      </c>
      <c r="C241">
        <v>14.05</v>
      </c>
      <c r="D241" s="13">
        <f t="shared" si="7"/>
        <v>0.11067193675889331</v>
      </c>
      <c r="F241" s="78">
        <v>18065</v>
      </c>
      <c r="G241" s="13">
        <f t="shared" si="8"/>
        <v>4.0625585045867663E-2</v>
      </c>
    </row>
    <row r="242" spans="2:7" x14ac:dyDescent="0.35">
      <c r="B242" s="87">
        <v>45047</v>
      </c>
      <c r="C242">
        <v>12.82</v>
      </c>
      <c r="D242" s="13">
        <f t="shared" si="7"/>
        <v>-8.7544483985765198E-2</v>
      </c>
      <c r="F242" s="78">
        <v>18534.400000000001</v>
      </c>
      <c r="G242" s="13">
        <f t="shared" si="8"/>
        <v>2.5983946858566309E-2</v>
      </c>
    </row>
    <row r="243" spans="2:7" x14ac:dyDescent="0.35">
      <c r="B243" s="87">
        <v>45078</v>
      </c>
      <c r="C243">
        <v>12.56</v>
      </c>
      <c r="D243" s="13">
        <f t="shared" si="7"/>
        <v>-2.0280811232449292E-2</v>
      </c>
      <c r="F243" s="78">
        <v>19189.05</v>
      </c>
      <c r="G243" s="13">
        <f t="shared" si="8"/>
        <v>3.5320808874309328E-2</v>
      </c>
    </row>
    <row r="244" spans="2:7" x14ac:dyDescent="0.35">
      <c r="B244" s="87">
        <v>45108</v>
      </c>
      <c r="C244">
        <v>14.2</v>
      </c>
      <c r="D244" s="13">
        <f t="shared" si="7"/>
        <v>0.13057324840764317</v>
      </c>
      <c r="F244" s="78">
        <v>19753.8</v>
      </c>
      <c r="G244" s="13">
        <f t="shared" si="8"/>
        <v>2.9430847280089489E-2</v>
      </c>
    </row>
    <row r="245" spans="2:7" x14ac:dyDescent="0.35">
      <c r="B245" s="87">
        <v>45139</v>
      </c>
      <c r="C245">
        <v>18.260000000000002</v>
      </c>
      <c r="D245" s="13">
        <f t="shared" si="7"/>
        <v>0.28591549295774676</v>
      </c>
      <c r="F245" s="78">
        <v>19253.8</v>
      </c>
      <c r="G245" s="13">
        <f t="shared" si="8"/>
        <v>-2.5311585618969512E-2</v>
      </c>
    </row>
    <row r="246" spans="2:7" x14ac:dyDescent="0.35">
      <c r="B246" s="87">
        <v>45170</v>
      </c>
      <c r="C246">
        <v>20.46</v>
      </c>
      <c r="D246" s="13">
        <f t="shared" si="7"/>
        <v>0.12048192771084332</v>
      </c>
      <c r="F246" s="78">
        <v>19638.3</v>
      </c>
      <c r="G246" s="13">
        <f t="shared" si="8"/>
        <v>1.9970083827608009E-2</v>
      </c>
    </row>
    <row r="247" spans="2:7" x14ac:dyDescent="0.35">
      <c r="B247" s="87">
        <v>45200</v>
      </c>
      <c r="C247">
        <v>31.42</v>
      </c>
      <c r="D247" s="13">
        <f t="shared" si="7"/>
        <v>0.53567937438905178</v>
      </c>
      <c r="F247" s="78">
        <v>19079.599999999999</v>
      </c>
      <c r="G247" s="13">
        <f t="shared" si="8"/>
        <v>-2.844950937708457E-2</v>
      </c>
    </row>
    <row r="248" spans="2:7" x14ac:dyDescent="0.35">
      <c r="B248" s="87">
        <v>45231</v>
      </c>
      <c r="C248">
        <v>42.38</v>
      </c>
      <c r="D248" s="13">
        <f t="shared" si="7"/>
        <v>0.34882240611075743</v>
      </c>
      <c r="F248" s="78">
        <v>20133.150000000001</v>
      </c>
      <c r="G248" s="13">
        <f t="shared" si="8"/>
        <v>5.5218662865049728E-2</v>
      </c>
    </row>
    <row r="249" spans="2:7" x14ac:dyDescent="0.35">
      <c r="B249" s="87">
        <v>45261</v>
      </c>
      <c r="C249">
        <v>56.02</v>
      </c>
      <c r="D249" s="13">
        <f t="shared" si="7"/>
        <v>0.32184992921189237</v>
      </c>
      <c r="F249" s="78">
        <v>21731.4</v>
      </c>
      <c r="G249" s="13">
        <f t="shared" si="8"/>
        <v>7.9384001013254268E-2</v>
      </c>
    </row>
    <row r="250" spans="2:7" x14ac:dyDescent="0.35">
      <c r="B250" s="87">
        <v>45292</v>
      </c>
      <c r="C250">
        <v>88.05</v>
      </c>
      <c r="D250" s="13">
        <f t="shared" si="7"/>
        <v>0.57176008568368419</v>
      </c>
      <c r="F250" s="78">
        <v>21725.7</v>
      </c>
      <c r="G250" s="13">
        <f t="shared" si="8"/>
        <v>-2.6229327148741266E-4</v>
      </c>
    </row>
    <row r="251" spans="2:7" x14ac:dyDescent="0.35">
      <c r="B251" s="87">
        <v>45323</v>
      </c>
      <c r="C251">
        <v>135.06</v>
      </c>
      <c r="D251" s="13">
        <f t="shared" si="7"/>
        <v>0.53390119250425894</v>
      </c>
      <c r="F251" s="78">
        <v>21982.799999999999</v>
      </c>
      <c r="G251" s="13">
        <f t="shared" si="8"/>
        <v>1.1833910990209695E-2</v>
      </c>
    </row>
    <row r="252" spans="2:7" x14ac:dyDescent="0.35">
      <c r="B252" s="87">
        <v>45352</v>
      </c>
      <c r="C252">
        <v>121.16</v>
      </c>
      <c r="D252" s="13">
        <f t="shared" si="7"/>
        <v>-0.10291722197541842</v>
      </c>
      <c r="F252" s="78">
        <v>22326.9</v>
      </c>
      <c r="G252" s="13">
        <f t="shared" si="8"/>
        <v>1.5653147005840973E-2</v>
      </c>
    </row>
    <row r="253" spans="2:7" x14ac:dyDescent="0.35">
      <c r="B253" s="87">
        <v>45383</v>
      </c>
      <c r="C253">
        <v>108.35</v>
      </c>
      <c r="D253" s="13">
        <f t="shared" si="7"/>
        <v>-0.10572796302410037</v>
      </c>
      <c r="F253" s="78">
        <v>22604.85</v>
      </c>
      <c r="G253" s="13">
        <f t="shared" si="8"/>
        <v>1.2449108474530624E-2</v>
      </c>
    </row>
    <row r="254" spans="2:7" x14ac:dyDescent="0.35">
      <c r="B254" s="87">
        <v>45413</v>
      </c>
      <c r="C254">
        <v>92.95</v>
      </c>
      <c r="D254" s="13">
        <f t="shared" si="7"/>
        <v>-0.14213197969543145</v>
      </c>
      <c r="F254" s="78">
        <v>22530.7</v>
      </c>
      <c r="G254" s="13">
        <f t="shared" si="8"/>
        <v>-3.2802694996869608E-3</v>
      </c>
    </row>
    <row r="255" spans="2:7" x14ac:dyDescent="0.35">
      <c r="B255" s="87">
        <v>45444</v>
      </c>
      <c r="C255">
        <v>91</v>
      </c>
      <c r="D255" s="13">
        <f t="shared" si="7"/>
        <v>-2.0979020979021046E-2</v>
      </c>
      <c r="F255" s="78">
        <v>24010.6</v>
      </c>
      <c r="G255" s="13">
        <f t="shared" si="8"/>
        <v>6.5683711558007341E-2</v>
      </c>
    </row>
    <row r="256" spans="2:7" x14ac:dyDescent="0.35">
      <c r="B256" s="87">
        <v>45474</v>
      </c>
      <c r="C256">
        <v>92.36</v>
      </c>
      <c r="D256" s="13">
        <f t="shared" si="7"/>
        <v>1.4945054945054936E-2</v>
      </c>
      <c r="F256" s="78">
        <v>24951.15</v>
      </c>
      <c r="G256" s="13">
        <f t="shared" si="8"/>
        <v>3.917228224200997E-2</v>
      </c>
    </row>
    <row r="257" spans="2:14" x14ac:dyDescent="0.35">
      <c r="B257" s="87">
        <v>45505</v>
      </c>
      <c r="C257">
        <v>85.3</v>
      </c>
      <c r="D257" s="13">
        <f t="shared" si="7"/>
        <v>-7.6440017323516685E-2</v>
      </c>
      <c r="F257" s="78">
        <v>25235.9</v>
      </c>
      <c r="G257" s="13">
        <f t="shared" si="8"/>
        <v>1.141229963348378E-2</v>
      </c>
    </row>
    <row r="258" spans="2:14" x14ac:dyDescent="0.35">
      <c r="B258" s="87">
        <v>45536</v>
      </c>
      <c r="C258">
        <v>82.55</v>
      </c>
      <c r="D258" s="13">
        <f t="shared" si="7"/>
        <v>-3.223915592028137E-2</v>
      </c>
      <c r="F258" s="78">
        <v>25810.85</v>
      </c>
      <c r="G258" s="13">
        <f t="shared" si="8"/>
        <v>2.2783019428670892E-2</v>
      </c>
    </row>
    <row r="259" spans="2:14" x14ac:dyDescent="0.35">
      <c r="B259" s="87">
        <v>45566</v>
      </c>
      <c r="C259">
        <v>80.7</v>
      </c>
      <c r="D259" s="13">
        <f t="shared" si="7"/>
        <v>-2.241066020593574E-2</v>
      </c>
      <c r="F259" s="78">
        <v>24205.35</v>
      </c>
      <c r="G259" s="13">
        <f t="shared" si="8"/>
        <v>-6.2202523357425266E-2</v>
      </c>
    </row>
    <row r="260" spans="2:14" x14ac:dyDescent="0.35">
      <c r="B260" s="87">
        <v>45597</v>
      </c>
      <c r="C260">
        <v>86.26</v>
      </c>
      <c r="D260" s="13">
        <f t="shared" si="7"/>
        <v>6.889714993804219E-2</v>
      </c>
      <c r="F260" s="78">
        <v>24131.1</v>
      </c>
      <c r="G260" s="13">
        <f t="shared" si="8"/>
        <v>-3.0675036717089377E-3</v>
      </c>
    </row>
    <row r="261" spans="2:14" x14ac:dyDescent="0.35">
      <c r="B261" s="87">
        <v>45627</v>
      </c>
      <c r="C261">
        <v>75.709999999999994</v>
      </c>
      <c r="D261" s="13">
        <f t="shared" si="7"/>
        <v>-0.12230466032923737</v>
      </c>
      <c r="F261" s="78">
        <v>23644.799999999999</v>
      </c>
      <c r="G261" s="13">
        <f t="shared" si="8"/>
        <v>-2.0152417419844082E-2</v>
      </c>
    </row>
    <row r="262" spans="2:14" x14ac:dyDescent="0.35">
      <c r="B262" s="87">
        <v>45658</v>
      </c>
      <c r="C262">
        <v>71.56</v>
      </c>
      <c r="D262" s="13">
        <f t="shared" si="7"/>
        <v>-5.4814423457931527E-2</v>
      </c>
      <c r="F262" s="78">
        <v>23508.400000000001</v>
      </c>
      <c r="G262" s="13">
        <f t="shared" si="8"/>
        <v>-5.7687102449586192E-3</v>
      </c>
    </row>
    <row r="263" spans="2:14" x14ac:dyDescent="0.35">
      <c r="B263" s="87">
        <v>45689</v>
      </c>
      <c r="C263">
        <v>68.03</v>
      </c>
      <c r="D263" s="13">
        <f t="shared" si="7"/>
        <v>-4.9329234209055328E-2</v>
      </c>
      <c r="F263" s="78">
        <v>22124.7</v>
      </c>
      <c r="G263" s="13">
        <f t="shared" si="8"/>
        <v>-5.8859811811948104E-2</v>
      </c>
    </row>
    <row r="264" spans="2:14" x14ac:dyDescent="0.35">
      <c r="B264" s="87">
        <v>45717</v>
      </c>
      <c r="C264">
        <v>62.63</v>
      </c>
      <c r="D264" s="13">
        <f t="shared" si="7"/>
        <v>-7.9376745553432326E-2</v>
      </c>
      <c r="F264" s="78">
        <v>23519.35</v>
      </c>
      <c r="G264" s="13">
        <f t="shared" si="8"/>
        <v>6.3035882972424462E-2</v>
      </c>
    </row>
    <row r="265" spans="2:14" x14ac:dyDescent="0.35">
      <c r="B265" s="87">
        <v>45748</v>
      </c>
      <c r="C265">
        <v>78.319999999999993</v>
      </c>
      <c r="D265" s="13">
        <f t="shared" si="7"/>
        <v>0.25051892064505821</v>
      </c>
      <c r="F265" s="78">
        <v>24334.2</v>
      </c>
      <c r="G265" s="13">
        <f t="shared" si="8"/>
        <v>3.4645940470293679E-2</v>
      </c>
    </row>
    <row r="266" spans="2:14" x14ac:dyDescent="0.35">
      <c r="B266" s="87">
        <v>45778</v>
      </c>
      <c r="C266">
        <v>104.25</v>
      </c>
      <c r="D266" s="13">
        <f t="shared" si="7"/>
        <v>0.33107763023493364</v>
      </c>
      <c r="F266" s="78">
        <v>24826.2</v>
      </c>
      <c r="G266" s="13">
        <f t="shared" si="8"/>
        <v>2.0218457972729809E-2</v>
      </c>
    </row>
    <row r="268" spans="2:14" x14ac:dyDescent="0.35">
      <c r="B268" s="199" t="s">
        <v>220</v>
      </c>
      <c r="C268" s="199"/>
      <c r="D268" s="199"/>
    </row>
    <row r="269" spans="2:14" x14ac:dyDescent="0.35">
      <c r="B269" s="195" t="s">
        <v>236</v>
      </c>
      <c r="C269" s="195"/>
      <c r="D269" s="195"/>
      <c r="F269" s="195" t="s">
        <v>230</v>
      </c>
      <c r="G269" s="195"/>
      <c r="I269" s="198" t="s">
        <v>214</v>
      </c>
      <c r="J269" s="198"/>
      <c r="K269" s="198"/>
      <c r="M269" t="s">
        <v>154</v>
      </c>
    </row>
    <row r="270" spans="2:14" ht="15" thickBot="1" x14ac:dyDescent="0.4">
      <c r="B270" t="s">
        <v>206</v>
      </c>
      <c r="C270" t="s">
        <v>207</v>
      </c>
      <c r="D270" s="86" t="s">
        <v>232</v>
      </c>
      <c r="F270" s="84" t="s">
        <v>207</v>
      </c>
      <c r="G270" s="86" t="s">
        <v>232</v>
      </c>
    </row>
    <row r="271" spans="2:14" x14ac:dyDescent="0.35">
      <c r="B271" s="87">
        <v>43983</v>
      </c>
      <c r="C271">
        <v>146.15</v>
      </c>
      <c r="F271" s="78">
        <v>10302.1</v>
      </c>
      <c r="G271" s="77"/>
      <c r="I271" s="2" t="s">
        <v>215</v>
      </c>
      <c r="K271" s="22">
        <f>N286</f>
        <v>0.99783710343272747</v>
      </c>
      <c r="M271" s="63" t="s">
        <v>155</v>
      </c>
      <c r="N271" s="63"/>
    </row>
    <row r="272" spans="2:14" x14ac:dyDescent="0.35">
      <c r="B272" s="87">
        <v>44013</v>
      </c>
      <c r="C272">
        <v>175.55</v>
      </c>
      <c r="D272" s="13">
        <f>C272/C271-1</f>
        <v>0.20116318850496073</v>
      </c>
      <c r="F272" s="78">
        <v>11073.45</v>
      </c>
      <c r="G272" s="13">
        <f>F272/F271-1</f>
        <v>7.4873084128478595E-2</v>
      </c>
      <c r="I272" t="s">
        <v>216</v>
      </c>
      <c r="K272" s="71">
        <v>0.75</v>
      </c>
      <c r="M272" t="s">
        <v>156</v>
      </c>
      <c r="N272">
        <v>0.43235147410088792</v>
      </c>
    </row>
    <row r="273" spans="2:21" x14ac:dyDescent="0.35">
      <c r="B273" s="87">
        <v>44044</v>
      </c>
      <c r="C273">
        <v>172</v>
      </c>
      <c r="D273" s="13">
        <f t="shared" ref="D273:D330" si="9">C273/C272-1</f>
        <v>-2.0222158929080081E-2</v>
      </c>
      <c r="F273" s="78">
        <v>11387.5</v>
      </c>
      <c r="G273" s="13">
        <f t="shared" ref="G273:G330" si="10">F273/F272-1</f>
        <v>2.8360628349791472E-2</v>
      </c>
      <c r="M273" t="s">
        <v>157</v>
      </c>
      <c r="N273">
        <v>0.18692779715721075</v>
      </c>
    </row>
    <row r="274" spans="2:21" x14ac:dyDescent="0.35">
      <c r="B274" s="87">
        <v>44075</v>
      </c>
      <c r="C274">
        <v>182.8</v>
      </c>
      <c r="D274" s="13">
        <f t="shared" si="9"/>
        <v>6.2790697674418583E-2</v>
      </c>
      <c r="F274" s="78">
        <v>11247.55</v>
      </c>
      <c r="G274" s="13">
        <f t="shared" si="10"/>
        <v>-1.2289791437980258E-2</v>
      </c>
      <c r="I274" t="s">
        <v>218</v>
      </c>
      <c r="K274" s="22">
        <v>1</v>
      </c>
      <c r="M274" t="s">
        <v>158</v>
      </c>
      <c r="N274">
        <v>0.17266337254593372</v>
      </c>
    </row>
    <row r="275" spans="2:21" x14ac:dyDescent="0.35">
      <c r="B275" s="87">
        <v>44105</v>
      </c>
      <c r="C275">
        <v>186.5</v>
      </c>
      <c r="D275" s="13">
        <f t="shared" si="9"/>
        <v>2.0240700218818297E-2</v>
      </c>
      <c r="F275" s="78">
        <v>11642.4</v>
      </c>
      <c r="G275" s="13">
        <f t="shared" si="10"/>
        <v>3.5105422958777721E-2</v>
      </c>
      <c r="I275" t="s">
        <v>217</v>
      </c>
      <c r="K275" s="71">
        <v>0.25</v>
      </c>
      <c r="M275" t="s">
        <v>159</v>
      </c>
      <c r="N275">
        <v>8.3308676432937212E-2</v>
      </c>
    </row>
    <row r="276" spans="2:21" ht="15" thickBot="1" x14ac:dyDescent="0.4">
      <c r="B276" s="87">
        <v>44136</v>
      </c>
      <c r="C276">
        <v>204.2</v>
      </c>
      <c r="D276" s="13">
        <f t="shared" si="9"/>
        <v>9.4906166219839161E-2</v>
      </c>
      <c r="F276" s="78">
        <v>12968.95</v>
      </c>
      <c r="G276" s="13">
        <f t="shared" si="10"/>
        <v>0.11394128358414091</v>
      </c>
      <c r="M276" s="61" t="s">
        <v>160</v>
      </c>
      <c r="N276" s="61">
        <v>59</v>
      </c>
    </row>
    <row r="277" spans="2:21" x14ac:dyDescent="0.35">
      <c r="B277" s="87">
        <v>44166</v>
      </c>
      <c r="C277">
        <v>214.3</v>
      </c>
      <c r="D277" s="13">
        <f t="shared" si="9"/>
        <v>4.9461312438785709E-2</v>
      </c>
      <c r="F277" s="78">
        <v>13981.75</v>
      </c>
      <c r="G277" s="13">
        <f t="shared" si="10"/>
        <v>7.8094217342190353E-2</v>
      </c>
      <c r="I277" s="40" t="s">
        <v>219</v>
      </c>
      <c r="J277" s="40"/>
      <c r="K277" s="80">
        <f>(K271*K272)+(K274*K275)</f>
        <v>0.99837782757454563</v>
      </c>
    </row>
    <row r="278" spans="2:21" ht="15" thickBot="1" x14ac:dyDescent="0.4">
      <c r="B278" s="87">
        <v>44197</v>
      </c>
      <c r="C278">
        <v>209.25</v>
      </c>
      <c r="D278" s="13">
        <f t="shared" si="9"/>
        <v>-2.3565095660289415E-2</v>
      </c>
      <c r="F278" s="78">
        <v>13634.6</v>
      </c>
      <c r="G278" s="13">
        <f t="shared" si="10"/>
        <v>-2.4828794678777633E-2</v>
      </c>
      <c r="M278" t="s">
        <v>161</v>
      </c>
    </row>
    <row r="279" spans="2:21" x14ac:dyDescent="0.35">
      <c r="B279" s="87">
        <v>44228</v>
      </c>
      <c r="C279">
        <v>242.8</v>
      </c>
      <c r="D279" s="13">
        <f t="shared" si="9"/>
        <v>0.16033452807646364</v>
      </c>
      <c r="F279" s="78">
        <v>14529.15</v>
      </c>
      <c r="G279" s="13">
        <f t="shared" si="10"/>
        <v>6.5608818740557018E-2</v>
      </c>
      <c r="M279" s="62"/>
      <c r="N279" s="62" t="s">
        <v>165</v>
      </c>
      <c r="O279" s="62" t="s">
        <v>166</v>
      </c>
      <c r="P279" s="62" t="s">
        <v>167</v>
      </c>
      <c r="Q279" s="62" t="s">
        <v>168</v>
      </c>
      <c r="R279" s="62" t="s">
        <v>169</v>
      </c>
    </row>
    <row r="280" spans="2:21" x14ac:dyDescent="0.35">
      <c r="B280" s="87">
        <v>44256</v>
      </c>
      <c r="C280">
        <v>259.89999999999998</v>
      </c>
      <c r="D280" s="13">
        <f t="shared" si="9"/>
        <v>7.0428336079077392E-2</v>
      </c>
      <c r="F280" s="78">
        <v>14690.7</v>
      </c>
      <c r="G280" s="13">
        <f t="shared" si="10"/>
        <v>1.111902623346861E-2</v>
      </c>
      <c r="M280" t="s">
        <v>162</v>
      </c>
      <c r="N280">
        <v>1</v>
      </c>
      <c r="O280">
        <v>9.0949454660851359E-2</v>
      </c>
      <c r="P280">
        <v>9.0949454660851359E-2</v>
      </c>
      <c r="Q280">
        <v>13.104475101605678</v>
      </c>
      <c r="R280">
        <v>6.2698968469085674E-4</v>
      </c>
    </row>
    <row r="281" spans="2:21" x14ac:dyDescent="0.35">
      <c r="B281" s="87">
        <v>44287</v>
      </c>
      <c r="C281">
        <v>280.45</v>
      </c>
      <c r="D281" s="13">
        <f t="shared" si="9"/>
        <v>7.9068872643324406E-2</v>
      </c>
      <c r="F281" s="78">
        <v>14631.1</v>
      </c>
      <c r="G281" s="13">
        <f t="shared" si="10"/>
        <v>-4.0569884348601315E-3</v>
      </c>
      <c r="M281" t="s">
        <v>163</v>
      </c>
      <c r="N281">
        <v>57</v>
      </c>
      <c r="O281">
        <v>0.39559912743344622</v>
      </c>
      <c r="P281">
        <v>6.9403355690078284E-3</v>
      </c>
    </row>
    <row r="282" spans="2:21" ht="15" thickBot="1" x14ac:dyDescent="0.4">
      <c r="B282" s="87">
        <v>44317</v>
      </c>
      <c r="C282">
        <v>288.64999999999998</v>
      </c>
      <c r="D282" s="13">
        <f t="shared" si="9"/>
        <v>2.9238723480121243E-2</v>
      </c>
      <c r="F282" s="78">
        <v>15582.8</v>
      </c>
      <c r="G282" s="13">
        <f t="shared" si="10"/>
        <v>6.5046373820150105E-2</v>
      </c>
      <c r="M282" s="61" t="s">
        <v>12</v>
      </c>
      <c r="N282" s="61">
        <v>58</v>
      </c>
      <c r="O282" s="61">
        <v>0.48654858209429758</v>
      </c>
      <c r="P282" s="61"/>
      <c r="Q282" s="61"/>
      <c r="R282" s="61"/>
    </row>
    <row r="283" spans="2:21" ht="15" thickBot="1" x14ac:dyDescent="0.4">
      <c r="B283" s="87">
        <v>44348</v>
      </c>
      <c r="C283">
        <v>285.7</v>
      </c>
      <c r="D283" s="13">
        <f t="shared" si="9"/>
        <v>-1.0219989606790159E-2</v>
      </c>
      <c r="F283" s="78">
        <v>15721.5</v>
      </c>
      <c r="G283" s="13">
        <f t="shared" si="10"/>
        <v>8.9008393870164682E-3</v>
      </c>
    </row>
    <row r="284" spans="2:21" x14ac:dyDescent="0.35">
      <c r="B284" s="87">
        <v>44378</v>
      </c>
      <c r="C284">
        <v>285.2</v>
      </c>
      <c r="D284" s="13">
        <f t="shared" si="9"/>
        <v>-1.7500875043752195E-3</v>
      </c>
      <c r="F284" s="78">
        <v>15763.05</v>
      </c>
      <c r="G284" s="13">
        <f t="shared" si="10"/>
        <v>2.6428775880162902E-3</v>
      </c>
      <c r="M284" s="62"/>
      <c r="N284" s="62" t="s">
        <v>170</v>
      </c>
      <c r="O284" s="62" t="s">
        <v>159</v>
      </c>
      <c r="P284" s="62" t="s">
        <v>171</v>
      </c>
      <c r="Q284" s="62" t="s">
        <v>172</v>
      </c>
      <c r="R284" s="62" t="s">
        <v>173</v>
      </c>
      <c r="S284" s="62" t="s">
        <v>174</v>
      </c>
      <c r="T284" s="62" t="s">
        <v>175</v>
      </c>
      <c r="U284" s="62" t="s">
        <v>176</v>
      </c>
    </row>
    <row r="285" spans="2:21" x14ac:dyDescent="0.35">
      <c r="B285" s="87">
        <v>44409</v>
      </c>
      <c r="C285">
        <v>245.85</v>
      </c>
      <c r="D285" s="13">
        <f t="shared" si="9"/>
        <v>-0.13797335203366057</v>
      </c>
      <c r="F285" s="78">
        <v>17132.2</v>
      </c>
      <c r="G285" s="13">
        <f t="shared" si="10"/>
        <v>8.6858190515160638E-2</v>
      </c>
      <c r="M285" t="s">
        <v>164</v>
      </c>
      <c r="N285">
        <v>-8.0174002279847813E-3</v>
      </c>
      <c r="O285">
        <v>1.1685401005085919E-2</v>
      </c>
      <c r="P285">
        <v>-0.6861039877446492</v>
      </c>
      <c r="Q285">
        <v>0.49542899433455612</v>
      </c>
      <c r="R285">
        <v>-3.141701211863375E-2</v>
      </c>
      <c r="S285">
        <v>1.5382211662664184E-2</v>
      </c>
      <c r="T285">
        <v>-3.141701211863375E-2</v>
      </c>
      <c r="U285">
        <v>1.5382211662664184E-2</v>
      </c>
    </row>
    <row r="286" spans="2:21" ht="15" thickBot="1" x14ac:dyDescent="0.4">
      <c r="B286" s="87">
        <v>44440</v>
      </c>
      <c r="C286">
        <v>252.4</v>
      </c>
      <c r="D286" s="13">
        <f t="shared" si="9"/>
        <v>2.664226154159044E-2</v>
      </c>
      <c r="F286" s="78">
        <v>17618.150000000001</v>
      </c>
      <c r="G286" s="13">
        <f t="shared" si="10"/>
        <v>2.8364716732235173E-2</v>
      </c>
      <c r="M286" s="61" t="s">
        <v>213</v>
      </c>
      <c r="N286" s="61">
        <v>0.99783710343272747</v>
      </c>
      <c r="O286" s="61">
        <v>0.27564481882093428</v>
      </c>
      <c r="P286" s="61">
        <v>3.6200103731351003</v>
      </c>
      <c r="Q286" s="61">
        <v>6.2698968469084362E-4</v>
      </c>
      <c r="R286" s="61">
        <v>0.44586787471127909</v>
      </c>
      <c r="S286" s="61">
        <v>1.549806332154176</v>
      </c>
      <c r="T286" s="61">
        <v>0.44586787471127909</v>
      </c>
      <c r="U286" s="61">
        <v>1.549806332154176</v>
      </c>
    </row>
    <row r="287" spans="2:21" x14ac:dyDescent="0.35">
      <c r="B287" s="87">
        <v>44470</v>
      </c>
      <c r="C287">
        <v>231.3</v>
      </c>
      <c r="D287" s="13">
        <f t="shared" si="9"/>
        <v>-8.3597464342313743E-2</v>
      </c>
      <c r="F287" s="78">
        <v>17671.650000000001</v>
      </c>
      <c r="G287" s="13">
        <f t="shared" si="10"/>
        <v>3.0366411910445201E-3</v>
      </c>
    </row>
    <row r="288" spans="2:21" x14ac:dyDescent="0.35">
      <c r="B288" s="87">
        <v>44501</v>
      </c>
      <c r="C288">
        <v>183</v>
      </c>
      <c r="D288" s="13">
        <f t="shared" si="9"/>
        <v>-0.20881971465629057</v>
      </c>
      <c r="F288" s="78">
        <v>16983.2</v>
      </c>
      <c r="G288" s="13">
        <f t="shared" si="10"/>
        <v>-3.8957878862471818E-2</v>
      </c>
    </row>
    <row r="289" spans="2:7" x14ac:dyDescent="0.35">
      <c r="B289" s="87">
        <v>44531</v>
      </c>
      <c r="C289">
        <v>198</v>
      </c>
      <c r="D289" s="13">
        <f t="shared" si="9"/>
        <v>8.1967213114754189E-2</v>
      </c>
      <c r="F289" s="78">
        <v>17354.05</v>
      </c>
      <c r="G289" s="13">
        <f t="shared" si="10"/>
        <v>2.1836285270149247E-2</v>
      </c>
    </row>
    <row r="290" spans="2:7" x14ac:dyDescent="0.35">
      <c r="B290" s="87">
        <v>44562</v>
      </c>
      <c r="C290">
        <v>182.45</v>
      </c>
      <c r="D290" s="13">
        <f t="shared" si="9"/>
        <v>-7.8535353535353569E-2</v>
      </c>
      <c r="F290" s="78">
        <v>17339.849999999999</v>
      </c>
      <c r="G290" s="13">
        <f t="shared" si="10"/>
        <v>-8.1825279977876253E-4</v>
      </c>
    </row>
    <row r="291" spans="2:7" x14ac:dyDescent="0.35">
      <c r="B291" s="87">
        <v>44593</v>
      </c>
      <c r="C291">
        <v>162.25</v>
      </c>
      <c r="D291" s="13">
        <f t="shared" si="9"/>
        <v>-0.11071526445601532</v>
      </c>
      <c r="F291" s="78">
        <v>16793.900000000001</v>
      </c>
      <c r="G291" s="13">
        <f t="shared" si="10"/>
        <v>-3.1485278131010208E-2</v>
      </c>
    </row>
    <row r="292" spans="2:7" x14ac:dyDescent="0.35">
      <c r="B292" s="87">
        <v>44621</v>
      </c>
      <c r="C292">
        <v>163.30000000000001</v>
      </c>
      <c r="D292" s="13">
        <f t="shared" si="9"/>
        <v>6.4714946070878465E-3</v>
      </c>
      <c r="F292" s="78">
        <v>17464.75</v>
      </c>
      <c r="G292" s="13">
        <f t="shared" si="10"/>
        <v>3.9946051840251462E-2</v>
      </c>
    </row>
    <row r="293" spans="2:7" x14ac:dyDescent="0.35">
      <c r="B293" s="87">
        <v>44652</v>
      </c>
      <c r="C293">
        <v>167.6</v>
      </c>
      <c r="D293" s="13">
        <f t="shared" si="9"/>
        <v>2.6331904470299872E-2</v>
      </c>
      <c r="F293" s="78">
        <v>17102.55</v>
      </c>
      <c r="G293" s="13">
        <f t="shared" si="10"/>
        <v>-2.0738916961307807E-2</v>
      </c>
    </row>
    <row r="294" spans="2:7" x14ac:dyDescent="0.35">
      <c r="B294" s="87">
        <v>44682</v>
      </c>
      <c r="C294">
        <v>136.25</v>
      </c>
      <c r="D294" s="13">
        <f t="shared" si="9"/>
        <v>-0.18705250596658707</v>
      </c>
      <c r="F294" s="78">
        <v>16584.55</v>
      </c>
      <c r="G294" s="13">
        <f t="shared" si="10"/>
        <v>-3.0287881046978327E-2</v>
      </c>
    </row>
    <row r="295" spans="2:7" x14ac:dyDescent="0.35">
      <c r="B295" s="87">
        <v>44713</v>
      </c>
      <c r="C295">
        <v>138.35</v>
      </c>
      <c r="D295" s="13">
        <f t="shared" si="9"/>
        <v>1.5412844036697182E-2</v>
      </c>
      <c r="F295" s="78">
        <v>15780.25</v>
      </c>
      <c r="G295" s="13">
        <f t="shared" si="10"/>
        <v>-4.8496944445281853E-2</v>
      </c>
    </row>
    <row r="296" spans="2:7" x14ac:dyDescent="0.35">
      <c r="B296" s="87">
        <v>44743</v>
      </c>
      <c r="C296">
        <v>162.65</v>
      </c>
      <c r="D296" s="13">
        <f t="shared" si="9"/>
        <v>0.17564148897723175</v>
      </c>
      <c r="F296" s="78">
        <v>17158.25</v>
      </c>
      <c r="G296" s="13">
        <f t="shared" si="10"/>
        <v>8.7324345305048956E-2</v>
      </c>
    </row>
    <row r="297" spans="2:7" x14ac:dyDescent="0.35">
      <c r="B297" s="87">
        <v>44774</v>
      </c>
      <c r="C297">
        <v>161.19999999999999</v>
      </c>
      <c r="D297" s="13">
        <f t="shared" si="9"/>
        <v>-8.9148478327698566E-3</v>
      </c>
      <c r="F297" s="78">
        <v>17759.3</v>
      </c>
      <c r="G297" s="13">
        <f t="shared" si="10"/>
        <v>3.5029796162195925E-2</v>
      </c>
    </row>
    <row r="298" spans="2:7" x14ac:dyDescent="0.35">
      <c r="B298" s="87">
        <v>44805</v>
      </c>
      <c r="C298">
        <v>156</v>
      </c>
      <c r="D298" s="13">
        <f t="shared" si="9"/>
        <v>-3.2258064516129004E-2</v>
      </c>
      <c r="F298" s="78">
        <v>17094.349999999999</v>
      </c>
      <c r="G298" s="13">
        <f t="shared" si="10"/>
        <v>-3.7442354146841383E-2</v>
      </c>
    </row>
    <row r="299" spans="2:7" x14ac:dyDescent="0.35">
      <c r="B299" s="87">
        <v>44835</v>
      </c>
      <c r="C299">
        <v>159.4</v>
      </c>
      <c r="D299" s="13">
        <f t="shared" si="9"/>
        <v>2.1794871794871939E-2</v>
      </c>
      <c r="F299" s="78">
        <v>18012.2</v>
      </c>
      <c r="G299" s="13">
        <f t="shared" si="10"/>
        <v>5.3693179325332796E-2</v>
      </c>
    </row>
    <row r="300" spans="2:7" x14ac:dyDescent="0.35">
      <c r="B300" s="87">
        <v>44866</v>
      </c>
      <c r="C300">
        <v>165.25</v>
      </c>
      <c r="D300" s="13">
        <f t="shared" si="9"/>
        <v>3.6700125470514378E-2</v>
      </c>
      <c r="F300" s="78">
        <v>18758.349999999999</v>
      </c>
      <c r="G300" s="13">
        <f t="shared" si="10"/>
        <v>4.1424701035964295E-2</v>
      </c>
    </row>
    <row r="301" spans="2:7" x14ac:dyDescent="0.35">
      <c r="B301" s="87">
        <v>44896</v>
      </c>
      <c r="C301">
        <v>166.3</v>
      </c>
      <c r="D301" s="13">
        <f t="shared" si="9"/>
        <v>6.3540090771558866E-3</v>
      </c>
      <c r="F301" s="78">
        <v>18105.3</v>
      </c>
      <c r="G301" s="13">
        <f t="shared" si="10"/>
        <v>-3.4813829574562805E-2</v>
      </c>
    </row>
    <row r="302" spans="2:7" x14ac:dyDescent="0.35">
      <c r="B302" s="87">
        <v>44927</v>
      </c>
      <c r="C302">
        <v>170.4</v>
      </c>
      <c r="D302" s="13">
        <f t="shared" si="9"/>
        <v>2.4654239326518335E-2</v>
      </c>
      <c r="F302" s="78">
        <v>17662.150000000001</v>
      </c>
      <c r="G302" s="13">
        <f t="shared" si="10"/>
        <v>-2.4476258333195111E-2</v>
      </c>
    </row>
    <row r="303" spans="2:7" x14ac:dyDescent="0.35">
      <c r="B303" s="87">
        <v>44958</v>
      </c>
      <c r="C303">
        <v>163.19999999999999</v>
      </c>
      <c r="D303" s="13">
        <f t="shared" si="9"/>
        <v>-4.2253521126760618E-2</v>
      </c>
      <c r="F303" s="78">
        <v>17303.95</v>
      </c>
      <c r="G303" s="13">
        <f t="shared" si="10"/>
        <v>-2.0280656658447582E-2</v>
      </c>
    </row>
    <row r="304" spans="2:7" x14ac:dyDescent="0.35">
      <c r="B304" s="87">
        <v>44986</v>
      </c>
      <c r="C304">
        <v>151.94999999999999</v>
      </c>
      <c r="D304" s="13">
        <f t="shared" si="9"/>
        <v>-6.8933823529411797E-2</v>
      </c>
      <c r="F304" s="78">
        <v>17359.75</v>
      </c>
      <c r="G304" s="13">
        <f t="shared" si="10"/>
        <v>3.2246972512055549E-3</v>
      </c>
    </row>
    <row r="305" spans="2:7" x14ac:dyDescent="0.35">
      <c r="B305" s="87">
        <v>45017</v>
      </c>
      <c r="C305">
        <v>158.15</v>
      </c>
      <c r="D305" s="13">
        <f t="shared" si="9"/>
        <v>4.0802895689371566E-2</v>
      </c>
      <c r="F305" s="78">
        <v>18065</v>
      </c>
      <c r="G305" s="13">
        <f t="shared" si="10"/>
        <v>4.0625585045867663E-2</v>
      </c>
    </row>
    <row r="306" spans="2:7" x14ac:dyDescent="0.35">
      <c r="B306" s="87">
        <v>45047</v>
      </c>
      <c r="C306">
        <v>185.85</v>
      </c>
      <c r="D306" s="13">
        <f t="shared" si="9"/>
        <v>0.17515017388555165</v>
      </c>
      <c r="F306" s="78">
        <v>18534.400000000001</v>
      </c>
      <c r="G306" s="13">
        <f t="shared" si="10"/>
        <v>2.5983946858566309E-2</v>
      </c>
    </row>
    <row r="307" spans="2:7" x14ac:dyDescent="0.35">
      <c r="B307" s="87">
        <v>45078</v>
      </c>
      <c r="C307">
        <v>193.8</v>
      </c>
      <c r="D307" s="13">
        <f t="shared" si="9"/>
        <v>4.2776432606941084E-2</v>
      </c>
      <c r="F307" s="78">
        <v>19189.05</v>
      </c>
      <c r="G307" s="13">
        <f t="shared" si="10"/>
        <v>3.5320808874309328E-2</v>
      </c>
    </row>
    <row r="308" spans="2:7" x14ac:dyDescent="0.35">
      <c r="B308" s="87">
        <v>45108</v>
      </c>
      <c r="C308">
        <v>216.45</v>
      </c>
      <c r="D308" s="13">
        <f t="shared" si="9"/>
        <v>0.11687306501547967</v>
      </c>
      <c r="F308" s="78">
        <v>19753.8</v>
      </c>
      <c r="G308" s="13">
        <f t="shared" si="10"/>
        <v>2.9430847280089489E-2</v>
      </c>
    </row>
    <row r="309" spans="2:7" x14ac:dyDescent="0.35">
      <c r="B309" s="87">
        <v>45139</v>
      </c>
      <c r="C309">
        <v>256.89999999999998</v>
      </c>
      <c r="D309" s="13">
        <f t="shared" si="9"/>
        <v>0.18687918687918681</v>
      </c>
      <c r="F309" s="78">
        <v>19253.8</v>
      </c>
      <c r="G309" s="13">
        <f t="shared" si="10"/>
        <v>-2.5311585618969512E-2</v>
      </c>
    </row>
    <row r="310" spans="2:7" x14ac:dyDescent="0.35">
      <c r="B310" s="87">
        <v>45170</v>
      </c>
      <c r="C310">
        <v>225.2</v>
      </c>
      <c r="D310" s="13">
        <f t="shared" si="9"/>
        <v>-0.12339431685480728</v>
      </c>
      <c r="F310" s="78">
        <v>19638.3</v>
      </c>
      <c r="G310" s="13">
        <f t="shared" si="10"/>
        <v>1.9970083827608009E-2</v>
      </c>
    </row>
    <row r="311" spans="2:7" x14ac:dyDescent="0.35">
      <c r="B311" s="87">
        <v>45200</v>
      </c>
      <c r="C311">
        <v>232.3</v>
      </c>
      <c r="D311" s="13">
        <f t="shared" si="9"/>
        <v>3.1527531083481497E-2</v>
      </c>
      <c r="F311" s="78">
        <v>19079.599999999999</v>
      </c>
      <c r="G311" s="13">
        <f t="shared" si="10"/>
        <v>-2.844950937708457E-2</v>
      </c>
    </row>
    <row r="312" spans="2:7" x14ac:dyDescent="0.35">
      <c r="B312" s="87">
        <v>45231</v>
      </c>
      <c r="C312">
        <v>221.05</v>
      </c>
      <c r="D312" s="13">
        <f t="shared" si="9"/>
        <v>-4.8428755919070143E-2</v>
      </c>
      <c r="F312" s="78">
        <v>20133.150000000001</v>
      </c>
      <c r="G312" s="13">
        <f t="shared" si="10"/>
        <v>5.5218662865049728E-2</v>
      </c>
    </row>
    <row r="313" spans="2:7" x14ac:dyDescent="0.35">
      <c r="B313" s="87">
        <v>45261</v>
      </c>
      <c r="C313">
        <v>219.6</v>
      </c>
      <c r="D313" s="13">
        <f t="shared" si="9"/>
        <v>-6.5596019000226935E-3</v>
      </c>
      <c r="F313" s="78">
        <v>21731.4</v>
      </c>
      <c r="G313" s="13">
        <f t="shared" si="10"/>
        <v>7.9384001013254268E-2</v>
      </c>
    </row>
    <row r="314" spans="2:7" x14ac:dyDescent="0.35">
      <c r="B314" s="87">
        <v>45292</v>
      </c>
      <c r="C314">
        <v>219.2</v>
      </c>
      <c r="D314" s="13">
        <f t="shared" si="9"/>
        <v>-1.8214936247723523E-3</v>
      </c>
      <c r="F314" s="78">
        <v>21725.7</v>
      </c>
      <c r="G314" s="13">
        <f t="shared" si="10"/>
        <v>-2.6229327148741266E-4</v>
      </c>
    </row>
    <row r="315" spans="2:7" x14ac:dyDescent="0.35">
      <c r="B315" s="87">
        <v>45323</v>
      </c>
      <c r="C315">
        <v>234.65</v>
      </c>
      <c r="D315" s="13">
        <f t="shared" si="9"/>
        <v>7.0483576642335954E-2</v>
      </c>
      <c r="F315" s="78">
        <v>21982.799999999999</v>
      </c>
      <c r="G315" s="13">
        <f t="shared" si="10"/>
        <v>1.1833910990209695E-2</v>
      </c>
    </row>
    <row r="316" spans="2:7" x14ac:dyDescent="0.35">
      <c r="B316" s="87">
        <v>45352</v>
      </c>
      <c r="C316">
        <v>212.05</v>
      </c>
      <c r="D316" s="13">
        <f t="shared" si="9"/>
        <v>-9.6313658640528432E-2</v>
      </c>
      <c r="F316" s="78">
        <v>22326.9</v>
      </c>
      <c r="G316" s="13">
        <f t="shared" si="10"/>
        <v>1.5653147005840973E-2</v>
      </c>
    </row>
    <row r="317" spans="2:7" x14ac:dyDescent="0.35">
      <c r="B317" s="87">
        <v>45383</v>
      </c>
      <c r="C317">
        <v>241.35</v>
      </c>
      <c r="D317" s="13">
        <f t="shared" si="9"/>
        <v>0.13817495873614716</v>
      </c>
      <c r="F317" s="78">
        <v>22604.85</v>
      </c>
      <c r="G317" s="13">
        <f t="shared" si="10"/>
        <v>1.2449108474530624E-2</v>
      </c>
    </row>
    <row r="318" spans="2:7" x14ac:dyDescent="0.35">
      <c r="B318" s="87">
        <v>45413</v>
      </c>
      <c r="C318">
        <v>230.2</v>
      </c>
      <c r="D318" s="13">
        <f t="shared" si="9"/>
        <v>-4.6198466956701933E-2</v>
      </c>
      <c r="F318" s="78">
        <v>22530.7</v>
      </c>
      <c r="G318" s="13">
        <f t="shared" si="10"/>
        <v>-3.2802694996869608E-3</v>
      </c>
    </row>
    <row r="319" spans="2:7" x14ac:dyDescent="0.35">
      <c r="B319" s="87">
        <v>45444</v>
      </c>
      <c r="C319">
        <v>263.93</v>
      </c>
      <c r="D319" s="13">
        <f t="shared" si="9"/>
        <v>0.14652476107732415</v>
      </c>
      <c r="F319" s="78">
        <v>24010.6</v>
      </c>
      <c r="G319" s="13">
        <f t="shared" si="10"/>
        <v>6.5683711558007341E-2</v>
      </c>
    </row>
    <row r="320" spans="2:7" x14ac:dyDescent="0.35">
      <c r="B320" s="87">
        <v>45474</v>
      </c>
      <c r="C320">
        <v>264.95</v>
      </c>
      <c r="D320" s="13">
        <f t="shared" si="9"/>
        <v>3.8646610843784401E-3</v>
      </c>
      <c r="F320" s="78">
        <v>24951.15</v>
      </c>
      <c r="G320" s="13">
        <f t="shared" si="10"/>
        <v>3.917228224200997E-2</v>
      </c>
    </row>
    <row r="321" spans="2:7" x14ac:dyDescent="0.35">
      <c r="B321" s="87">
        <v>45505</v>
      </c>
      <c r="C321">
        <v>264.05</v>
      </c>
      <c r="D321" s="13">
        <f t="shared" si="9"/>
        <v>-3.3968673334590083E-3</v>
      </c>
      <c r="F321" s="78">
        <v>25235.9</v>
      </c>
      <c r="G321" s="13">
        <f t="shared" si="10"/>
        <v>1.141229963348378E-2</v>
      </c>
    </row>
    <row r="322" spans="2:7" x14ac:dyDescent="0.35">
      <c r="B322" s="87">
        <v>45536</v>
      </c>
      <c r="C322">
        <v>246.9</v>
      </c>
      <c r="D322" s="13">
        <f t="shared" si="9"/>
        <v>-6.4949820109827749E-2</v>
      </c>
      <c r="F322" s="78">
        <v>25810.85</v>
      </c>
      <c r="G322" s="13">
        <f t="shared" si="10"/>
        <v>2.2783019428670892E-2</v>
      </c>
    </row>
    <row r="323" spans="2:7" x14ac:dyDescent="0.35">
      <c r="B323" s="87">
        <v>45566</v>
      </c>
      <c r="C323">
        <v>228.85</v>
      </c>
      <c r="D323" s="13">
        <f t="shared" si="9"/>
        <v>-7.3106520858647217E-2</v>
      </c>
      <c r="F323" s="78">
        <v>24205.35</v>
      </c>
      <c r="G323" s="13">
        <f t="shared" si="10"/>
        <v>-6.2202523357425266E-2</v>
      </c>
    </row>
    <row r="324" spans="2:7" x14ac:dyDescent="0.35">
      <c r="B324" s="87">
        <v>45597</v>
      </c>
      <c r="C324">
        <v>210.35</v>
      </c>
      <c r="D324" s="13">
        <f t="shared" si="9"/>
        <v>-8.0838977496176523E-2</v>
      </c>
      <c r="F324" s="78">
        <v>24131.1</v>
      </c>
      <c r="G324" s="13">
        <f t="shared" si="10"/>
        <v>-3.0675036717089377E-3</v>
      </c>
    </row>
    <row r="325" spans="2:7" x14ac:dyDescent="0.35">
      <c r="B325" s="87">
        <v>45627</v>
      </c>
      <c r="C325">
        <v>197.44</v>
      </c>
      <c r="D325" s="13">
        <f t="shared" si="9"/>
        <v>-6.1373900641787493E-2</v>
      </c>
      <c r="F325" s="78">
        <v>23644.799999999999</v>
      </c>
      <c r="G325" s="13">
        <f t="shared" si="10"/>
        <v>-2.0152417419844082E-2</v>
      </c>
    </row>
    <row r="326" spans="2:7" x14ac:dyDescent="0.35">
      <c r="B326" s="87">
        <v>45658</v>
      </c>
      <c r="C326">
        <v>189.34</v>
      </c>
      <c r="D326" s="13">
        <f t="shared" si="9"/>
        <v>-4.1025121555915645E-2</v>
      </c>
      <c r="F326" s="78">
        <v>23508.400000000001</v>
      </c>
      <c r="G326" s="13">
        <f t="shared" si="10"/>
        <v>-5.7687102449586192E-3</v>
      </c>
    </row>
    <row r="327" spans="2:7" x14ac:dyDescent="0.35">
      <c r="B327" s="87">
        <v>45689</v>
      </c>
      <c r="C327">
        <v>155.54</v>
      </c>
      <c r="D327" s="13">
        <f t="shared" si="9"/>
        <v>-0.17851484102672444</v>
      </c>
      <c r="F327" s="78">
        <v>22124.7</v>
      </c>
      <c r="G327" s="13">
        <f t="shared" si="10"/>
        <v>-5.8859811811948104E-2</v>
      </c>
    </row>
    <row r="328" spans="2:7" x14ac:dyDescent="0.35">
      <c r="B328" s="87">
        <v>45717</v>
      </c>
      <c r="C328">
        <v>157.25</v>
      </c>
      <c r="D328" s="13">
        <f t="shared" si="9"/>
        <v>1.0993956538511096E-2</v>
      </c>
      <c r="F328" s="78">
        <v>23519.35</v>
      </c>
      <c r="G328" s="13">
        <f t="shared" si="10"/>
        <v>6.3035882972424462E-2</v>
      </c>
    </row>
    <row r="329" spans="2:7" x14ac:dyDescent="0.35">
      <c r="B329" s="87">
        <v>45748</v>
      </c>
      <c r="C329">
        <v>166.16</v>
      </c>
      <c r="D329" s="13">
        <f t="shared" si="9"/>
        <v>5.6661367249602579E-2</v>
      </c>
      <c r="F329" s="78">
        <v>24334.2</v>
      </c>
      <c r="G329" s="13">
        <f t="shared" si="10"/>
        <v>3.4645940470293679E-2</v>
      </c>
    </row>
    <row r="330" spans="2:7" x14ac:dyDescent="0.35">
      <c r="B330" s="87">
        <v>45778</v>
      </c>
      <c r="C330">
        <v>180.5</v>
      </c>
      <c r="D330" s="13">
        <f t="shared" si="9"/>
        <v>8.6302359171882559E-2</v>
      </c>
      <c r="F330" s="78">
        <v>24826.2</v>
      </c>
      <c r="G330" s="13">
        <f t="shared" si="10"/>
        <v>2.0218457972729809E-2</v>
      </c>
    </row>
  </sheetData>
  <mergeCells count="20">
    <mergeCell ref="B269:D269"/>
    <mergeCell ref="F205:G205"/>
    <mergeCell ref="F269:G269"/>
    <mergeCell ref="B11:D11"/>
    <mergeCell ref="B12:D12"/>
    <mergeCell ref="F12:G12"/>
    <mergeCell ref="B77:D77"/>
    <mergeCell ref="F77:G77"/>
    <mergeCell ref="B76:D76"/>
    <mergeCell ref="B140:D140"/>
    <mergeCell ref="B204:D204"/>
    <mergeCell ref="B268:D268"/>
    <mergeCell ref="F141:G141"/>
    <mergeCell ref="B141:D141"/>
    <mergeCell ref="B205:D205"/>
    <mergeCell ref="I269:K269"/>
    <mergeCell ref="I12:K12"/>
    <mergeCell ref="I77:K77"/>
    <mergeCell ref="I141:K141"/>
    <mergeCell ref="I205:K20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E058-74B8-42C6-8D84-642B60EECC5C}">
  <dimension ref="A2:L62"/>
  <sheetViews>
    <sheetView showGridLines="0" topLeftCell="A55" workbookViewId="0">
      <selection activeCell="L62" sqref="L62"/>
    </sheetView>
  </sheetViews>
  <sheetFormatPr defaultRowHeight="14.5" x14ac:dyDescent="0.35"/>
  <cols>
    <col min="1" max="1" width="1.81640625" customWidth="1"/>
    <col min="9" max="9" width="7.81640625" bestFit="1" customWidth="1"/>
  </cols>
  <sheetData>
    <row r="2" spans="2:12" x14ac:dyDescent="0.35">
      <c r="B2" s="192" t="s">
        <v>246</v>
      </c>
      <c r="C2" s="192"/>
      <c r="D2" s="192"/>
      <c r="E2" s="192"/>
      <c r="F2" s="192"/>
      <c r="G2" s="192"/>
      <c r="H2" s="192"/>
      <c r="I2" s="192"/>
      <c r="J2" s="192"/>
      <c r="K2" s="192"/>
      <c r="L2" s="192"/>
    </row>
    <row r="4" spans="2:12" x14ac:dyDescent="0.35">
      <c r="B4" s="9" t="s">
        <v>304</v>
      </c>
      <c r="C4" s="9"/>
      <c r="D4" s="9"/>
      <c r="E4" s="9"/>
      <c r="F4" s="9"/>
      <c r="G4" s="9"/>
      <c r="H4" s="10">
        <f>RawFS!H2</f>
        <v>44256</v>
      </c>
      <c r="I4" s="10">
        <f>RawFS!I2</f>
        <v>44621</v>
      </c>
      <c r="J4" s="10">
        <f>RawFS!J2</f>
        <v>44986</v>
      </c>
      <c r="K4" s="10">
        <f>RawFS!K2</f>
        <v>45352</v>
      </c>
      <c r="L4" s="10">
        <f>RawFS!L2</f>
        <v>45717</v>
      </c>
    </row>
    <row r="6" spans="2:12" x14ac:dyDescent="0.35">
      <c r="B6" s="2" t="s">
        <v>305</v>
      </c>
    </row>
    <row r="7" spans="2:12" x14ac:dyDescent="0.35">
      <c r="B7" s="144" t="s">
        <v>298</v>
      </c>
      <c r="C7" s="144"/>
      <c r="D7" s="144"/>
      <c r="E7" s="144"/>
      <c r="F7" s="144"/>
      <c r="G7" s="144"/>
      <c r="H7" s="144">
        <f>RawFS!H35</f>
        <v>1734</v>
      </c>
      <c r="I7" s="144">
        <f>RawFS!I35</f>
        <v>1911</v>
      </c>
      <c r="J7" s="144">
        <f>RawFS!J35</f>
        <v>2024</v>
      </c>
      <c r="K7" s="144">
        <f>RawFS!K35</f>
        <v>1947</v>
      </c>
      <c r="L7" s="144">
        <f>RawFS!L35</f>
        <v>2300</v>
      </c>
    </row>
    <row r="8" spans="2:12" x14ac:dyDescent="0.35">
      <c r="B8" s="144" t="s">
        <v>299</v>
      </c>
      <c r="C8" s="144"/>
      <c r="D8" s="144"/>
      <c r="E8" s="144"/>
      <c r="F8" s="144"/>
      <c r="G8" s="144"/>
      <c r="H8" s="144">
        <f>RawFS!H36</f>
        <v>562</v>
      </c>
      <c r="I8" s="144">
        <f>RawFS!I36</f>
        <v>646</v>
      </c>
      <c r="J8" s="144">
        <f>RawFS!J36</f>
        <v>849</v>
      </c>
      <c r="K8" s="144">
        <f>RawFS!K36</f>
        <v>899</v>
      </c>
      <c r="L8" s="144">
        <f>RawFS!L36</f>
        <v>888</v>
      </c>
    </row>
    <row r="9" spans="2:12" x14ac:dyDescent="0.35">
      <c r="B9" s="144" t="s">
        <v>301</v>
      </c>
      <c r="C9" s="144"/>
      <c r="D9" s="144"/>
      <c r="E9" s="144"/>
      <c r="F9" s="144"/>
      <c r="G9" s="144"/>
      <c r="H9" s="144">
        <f>RawFS!H38</f>
        <v>138</v>
      </c>
      <c r="I9" s="144">
        <f>RawFS!I38</f>
        <v>147</v>
      </c>
      <c r="J9" s="144">
        <f>RawFS!J38</f>
        <v>101</v>
      </c>
      <c r="K9" s="144">
        <f>RawFS!K38</f>
        <v>216</v>
      </c>
      <c r="L9" s="144">
        <f>RawFS!L38</f>
        <v>21</v>
      </c>
    </row>
    <row r="10" spans="2:12" x14ac:dyDescent="0.35">
      <c r="B10" s="144" t="s">
        <v>302</v>
      </c>
      <c r="C10" s="144"/>
      <c r="D10" s="144"/>
      <c r="E10" s="144"/>
      <c r="F10" s="144"/>
      <c r="G10" s="144"/>
      <c r="H10" s="144">
        <f>RawFS!H39</f>
        <v>520</v>
      </c>
      <c r="I10" s="144">
        <f>RawFS!I39</f>
        <v>314</v>
      </c>
      <c r="J10" s="144">
        <f>RawFS!J39</f>
        <v>333</v>
      </c>
      <c r="K10" s="144">
        <f>RawFS!K39</f>
        <v>408</v>
      </c>
      <c r="L10" s="144">
        <f>RawFS!L39</f>
        <v>818</v>
      </c>
    </row>
    <row r="11" spans="2:12" x14ac:dyDescent="0.35">
      <c r="B11" s="138" t="s">
        <v>306</v>
      </c>
      <c r="C11" s="138"/>
      <c r="D11" s="138"/>
      <c r="E11" s="138"/>
      <c r="F11" s="138"/>
      <c r="G11" s="138"/>
      <c r="H11" s="138">
        <f>SUM(H7:H10)</f>
        <v>2954</v>
      </c>
      <c r="I11" s="138">
        <f t="shared" ref="I11:L11" si="0">SUM(I7:I10)</f>
        <v>3018</v>
      </c>
      <c r="J11" s="138">
        <f t="shared" si="0"/>
        <v>3307</v>
      </c>
      <c r="K11" s="138">
        <f t="shared" si="0"/>
        <v>3470</v>
      </c>
      <c r="L11" s="138">
        <f t="shared" si="0"/>
        <v>4027</v>
      </c>
    </row>
    <row r="13" spans="2:12" x14ac:dyDescent="0.35">
      <c r="B13" s="2" t="s">
        <v>307</v>
      </c>
    </row>
    <row r="14" spans="2:12" x14ac:dyDescent="0.35">
      <c r="B14" s="144" t="str">
        <f>RawFS!B13</f>
        <v>Trade Payables</v>
      </c>
      <c r="C14" s="144"/>
      <c r="D14" s="144"/>
      <c r="E14" s="144"/>
      <c r="F14" s="144"/>
      <c r="G14" s="144"/>
      <c r="H14" s="144">
        <f>RawFS!H13</f>
        <v>1915</v>
      </c>
      <c r="I14" s="144">
        <f>RawFS!I13</f>
        <v>2018</v>
      </c>
      <c r="J14" s="144">
        <f>RawFS!J13</f>
        <v>2187</v>
      </c>
      <c r="K14" s="144">
        <f>RawFS!K13</f>
        <v>2422</v>
      </c>
      <c r="L14" s="144">
        <f>RawFS!L13</f>
        <v>2825</v>
      </c>
    </row>
    <row r="15" spans="2:12" x14ac:dyDescent="0.35">
      <c r="B15" s="144" t="str">
        <f>RawFS!B14</f>
        <v>Advance from Customers</v>
      </c>
      <c r="C15" s="144"/>
      <c r="D15" s="144"/>
      <c r="E15" s="144"/>
      <c r="F15" s="144"/>
      <c r="G15" s="144"/>
      <c r="H15" s="144">
        <f>RawFS!H14</f>
        <v>43</v>
      </c>
      <c r="I15" s="144">
        <f>RawFS!I14</f>
        <v>37</v>
      </c>
      <c r="J15" s="144">
        <f>RawFS!J14</f>
        <v>9</v>
      </c>
      <c r="K15" s="144">
        <f>RawFS!K14</f>
        <v>33</v>
      </c>
      <c r="L15" s="144">
        <f>RawFS!L14</f>
        <v>0</v>
      </c>
    </row>
    <row r="16" spans="2:12" x14ac:dyDescent="0.35">
      <c r="B16" s="144" t="str">
        <f>RawFS!B15</f>
        <v>Other liability items</v>
      </c>
      <c r="C16" s="144"/>
      <c r="D16" s="144"/>
      <c r="E16" s="144"/>
      <c r="F16" s="144"/>
      <c r="G16" s="144"/>
      <c r="H16" s="144">
        <f>RawFS!H15</f>
        <v>666</v>
      </c>
      <c r="I16" s="144">
        <f>RawFS!I15</f>
        <v>777</v>
      </c>
      <c r="J16" s="144">
        <f>RawFS!J15</f>
        <v>842</v>
      </c>
      <c r="K16" s="144">
        <f>RawFS!K15</f>
        <v>994</v>
      </c>
      <c r="L16" s="144">
        <f>RawFS!L15</f>
        <v>1246</v>
      </c>
    </row>
    <row r="17" spans="1:12" x14ac:dyDescent="0.35">
      <c r="B17" s="138" t="s">
        <v>308</v>
      </c>
      <c r="C17" s="138"/>
      <c r="D17" s="138"/>
      <c r="E17" s="138"/>
      <c r="F17" s="138"/>
      <c r="G17" s="138"/>
      <c r="H17" s="138">
        <f>SUM(H14:H16)</f>
        <v>2624</v>
      </c>
      <c r="I17" s="138">
        <f t="shared" ref="I17:L17" si="1">SUM(I14:I16)</f>
        <v>2832</v>
      </c>
      <c r="J17" s="138">
        <f t="shared" si="1"/>
        <v>3038</v>
      </c>
      <c r="K17" s="138">
        <f t="shared" si="1"/>
        <v>3449</v>
      </c>
      <c r="L17" s="138">
        <f t="shared" si="1"/>
        <v>4071</v>
      </c>
    </row>
    <row r="19" spans="1:12" ht="15" thickBot="1" x14ac:dyDescent="0.4">
      <c r="A19" t="s">
        <v>56</v>
      </c>
      <c r="B19" s="145" t="s">
        <v>309</v>
      </c>
      <c r="C19" s="145"/>
      <c r="D19" s="145"/>
      <c r="E19" s="145"/>
      <c r="F19" s="145"/>
      <c r="G19" s="145"/>
      <c r="H19" s="145">
        <f>H11-H17</f>
        <v>330</v>
      </c>
      <c r="I19" s="145">
        <f t="shared" ref="I19:L19" si="2">I11-I17</f>
        <v>186</v>
      </c>
      <c r="J19" s="145">
        <f t="shared" si="2"/>
        <v>269</v>
      </c>
      <c r="K19" s="145">
        <f t="shared" si="2"/>
        <v>21</v>
      </c>
      <c r="L19" s="145">
        <f t="shared" si="2"/>
        <v>-44</v>
      </c>
    </row>
    <row r="20" spans="1:12" ht="15" thickTop="1" x14ac:dyDescent="0.35"/>
    <row r="21" spans="1:12" x14ac:dyDescent="0.35">
      <c r="B21" s="2" t="s">
        <v>310</v>
      </c>
    </row>
    <row r="22" spans="1:12" x14ac:dyDescent="0.35">
      <c r="B22" s="144" t="str">
        <f>RawFS!B19</f>
        <v>Land</v>
      </c>
      <c r="C22" s="144"/>
      <c r="D22" s="144"/>
      <c r="E22" s="144"/>
      <c r="F22" s="144"/>
      <c r="G22" s="144"/>
      <c r="H22" s="144">
        <f>RawFS!H19</f>
        <v>93</v>
      </c>
      <c r="I22" s="144">
        <f>RawFS!I19</f>
        <v>123</v>
      </c>
      <c r="J22" s="144">
        <f>RawFS!J19</f>
        <v>141</v>
      </c>
      <c r="K22" s="144">
        <f>RawFS!K19</f>
        <v>145</v>
      </c>
      <c r="L22" s="144">
        <f>RawFS!L19</f>
        <v>0</v>
      </c>
    </row>
    <row r="23" spans="1:12" x14ac:dyDescent="0.35">
      <c r="B23" s="144" t="str">
        <f>RawFS!B20</f>
        <v>Building</v>
      </c>
      <c r="C23" s="144"/>
      <c r="D23" s="144"/>
      <c r="E23" s="144"/>
      <c r="F23" s="144"/>
      <c r="G23" s="144"/>
      <c r="H23" s="144">
        <f>RawFS!H20</f>
        <v>1057</v>
      </c>
      <c r="I23" s="144">
        <f>RawFS!I20</f>
        <v>1144</v>
      </c>
      <c r="J23" s="144">
        <f>RawFS!J20</f>
        <v>1279</v>
      </c>
      <c r="K23" s="144">
        <f>RawFS!K20</f>
        <v>1513</v>
      </c>
      <c r="L23" s="144">
        <f>RawFS!L20</f>
        <v>0</v>
      </c>
    </row>
    <row r="24" spans="1:12" x14ac:dyDescent="0.35">
      <c r="B24" s="144" t="str">
        <f>RawFS!B21</f>
        <v>Plant Machinery</v>
      </c>
      <c r="C24" s="144"/>
      <c r="D24" s="144"/>
      <c r="E24" s="144"/>
      <c r="F24" s="144"/>
      <c r="G24" s="144"/>
      <c r="H24" s="144">
        <f>RawFS!H21</f>
        <v>1862</v>
      </c>
      <c r="I24" s="144">
        <f>RawFS!I21</f>
        <v>2074</v>
      </c>
      <c r="J24" s="144">
        <f>RawFS!J21</f>
        <v>2408</v>
      </c>
      <c r="K24" s="144">
        <f>RawFS!K21</f>
        <v>2775</v>
      </c>
      <c r="L24" s="144">
        <f>RawFS!L21</f>
        <v>0</v>
      </c>
    </row>
    <row r="25" spans="1:12" x14ac:dyDescent="0.35">
      <c r="B25" s="144" t="str">
        <f>RawFS!B22</f>
        <v>Equipments</v>
      </c>
      <c r="C25" s="144"/>
      <c r="D25" s="144"/>
      <c r="E25" s="144"/>
      <c r="F25" s="144"/>
      <c r="G25" s="144"/>
      <c r="H25" s="144">
        <f>RawFS!H22</f>
        <v>73</v>
      </c>
      <c r="I25" s="144">
        <f>RawFS!I22</f>
        <v>78</v>
      </c>
      <c r="J25" s="144">
        <f>RawFS!J22</f>
        <v>88</v>
      </c>
      <c r="K25" s="144">
        <f>RawFS!K22</f>
        <v>93</v>
      </c>
      <c r="L25" s="144">
        <f>RawFS!L22</f>
        <v>0</v>
      </c>
    </row>
    <row r="26" spans="1:12" x14ac:dyDescent="0.35">
      <c r="B26" s="144" t="str">
        <f>RawFS!B23</f>
        <v>Furniture n fittings</v>
      </c>
      <c r="C26" s="144"/>
      <c r="D26" s="144"/>
      <c r="E26" s="144"/>
      <c r="F26" s="144"/>
      <c r="G26" s="144"/>
      <c r="H26" s="144">
        <f>RawFS!H23</f>
        <v>129</v>
      </c>
      <c r="I26" s="144">
        <f>RawFS!I23</f>
        <v>134</v>
      </c>
      <c r="J26" s="144">
        <f>RawFS!J23</f>
        <v>148</v>
      </c>
      <c r="K26" s="144">
        <f>RawFS!K23</f>
        <v>159</v>
      </c>
      <c r="L26" s="144">
        <f>RawFS!L23</f>
        <v>0</v>
      </c>
    </row>
    <row r="27" spans="1:12" x14ac:dyDescent="0.35">
      <c r="B27" s="144" t="str">
        <f>RawFS!B24</f>
        <v>Vehicles</v>
      </c>
      <c r="C27" s="144"/>
      <c r="D27" s="144"/>
      <c r="E27" s="144"/>
      <c r="F27" s="144"/>
      <c r="G27" s="144"/>
      <c r="H27" s="144">
        <f>RawFS!H24</f>
        <v>45</v>
      </c>
      <c r="I27" s="144">
        <f>RawFS!I24</f>
        <v>47</v>
      </c>
      <c r="J27" s="144">
        <f>RawFS!J24</f>
        <v>43</v>
      </c>
      <c r="K27" s="144">
        <f>RawFS!K24</f>
        <v>44</v>
      </c>
      <c r="L27" s="144">
        <f>RawFS!L24</f>
        <v>0</v>
      </c>
    </row>
    <row r="28" spans="1:12" x14ac:dyDescent="0.35">
      <c r="B28" s="144" t="str">
        <f>RawFS!B25</f>
        <v>Intangible Assets</v>
      </c>
      <c r="C28" s="144"/>
      <c r="D28" s="144"/>
      <c r="E28" s="144"/>
      <c r="F28" s="144"/>
      <c r="G28" s="144"/>
      <c r="H28" s="144">
        <f>RawFS!H25</f>
        <v>375</v>
      </c>
      <c r="I28" s="144">
        <f>RawFS!I25</f>
        <v>291</v>
      </c>
      <c r="J28" s="144">
        <f>RawFS!J25</f>
        <v>1322</v>
      </c>
      <c r="K28" s="144">
        <f>RawFS!K25</f>
        <v>1321</v>
      </c>
      <c r="L28" s="144">
        <f>RawFS!L25</f>
        <v>1149</v>
      </c>
    </row>
    <row r="29" spans="1:12" x14ac:dyDescent="0.35">
      <c r="B29" s="144" t="str">
        <f>RawFS!B26</f>
        <v>Other fixed assets</v>
      </c>
      <c r="C29" s="144"/>
      <c r="D29" s="144"/>
      <c r="E29" s="144"/>
      <c r="F29" s="144"/>
      <c r="G29" s="144"/>
      <c r="H29" s="144">
        <f>RawFS!H26</f>
        <v>146</v>
      </c>
      <c r="I29" s="144">
        <f>RawFS!I26</f>
        <v>149</v>
      </c>
      <c r="J29" s="144">
        <f>RawFS!J26</f>
        <v>154</v>
      </c>
      <c r="K29" s="144">
        <f>RawFS!K26</f>
        <v>164</v>
      </c>
      <c r="L29" s="144">
        <f>RawFS!L26</f>
        <v>0</v>
      </c>
    </row>
    <row r="30" spans="1:12" x14ac:dyDescent="0.35">
      <c r="B30" s="138" t="s">
        <v>294</v>
      </c>
      <c r="C30" s="138"/>
      <c r="D30" s="138"/>
      <c r="E30" s="138"/>
      <c r="F30" s="138"/>
      <c r="G30" s="138"/>
      <c r="H30" s="138">
        <f>SUM(H22:H29)</f>
        <v>3780</v>
      </c>
      <c r="I30" s="138">
        <f>SUM(I22:I29)</f>
        <v>4040</v>
      </c>
      <c r="J30" s="138">
        <f>SUM(J22:J29)</f>
        <v>5583</v>
      </c>
      <c r="K30" s="138">
        <f>SUM(K22:K29)</f>
        <v>6214</v>
      </c>
      <c r="L30" s="138">
        <f>SUM(L22:L29)</f>
        <v>1149</v>
      </c>
    </row>
    <row r="31" spans="1:12" x14ac:dyDescent="0.35">
      <c r="B31" t="s">
        <v>311</v>
      </c>
      <c r="H31">
        <f>-RawFS!H28</f>
        <v>-1536</v>
      </c>
      <c r="I31">
        <f>-RawFS!I28</f>
        <v>-1733</v>
      </c>
      <c r="J31">
        <f>-RawFS!J28</f>
        <v>-2004</v>
      </c>
      <c r="K31">
        <f>-RawFS!K28</f>
        <v>-2400</v>
      </c>
      <c r="L31">
        <f>-RawFS!L28</f>
        <v>0</v>
      </c>
    </row>
    <row r="32" spans="1:12" ht="15" thickBot="1" x14ac:dyDescent="0.4">
      <c r="A32" t="s">
        <v>56</v>
      </c>
      <c r="B32" s="145" t="s">
        <v>312</v>
      </c>
      <c r="C32" s="145"/>
      <c r="D32" s="145"/>
      <c r="E32" s="145"/>
      <c r="F32" s="145"/>
      <c r="G32" s="145"/>
      <c r="H32" s="145">
        <f>SUM(H30:H31)</f>
        <v>2244</v>
      </c>
      <c r="I32" s="145">
        <f t="shared" ref="I32:L32" si="3">SUM(I30:I31)</f>
        <v>2307</v>
      </c>
      <c r="J32" s="145">
        <f t="shared" si="3"/>
        <v>3579</v>
      </c>
      <c r="K32" s="145">
        <f t="shared" si="3"/>
        <v>3814</v>
      </c>
      <c r="L32" s="145">
        <f t="shared" si="3"/>
        <v>1149</v>
      </c>
    </row>
    <row r="33" spans="1:12" ht="15" thickTop="1" x14ac:dyDescent="0.35"/>
    <row r="34" spans="1:12" x14ac:dyDescent="0.35">
      <c r="A34" t="s">
        <v>56</v>
      </c>
      <c r="B34" s="2" t="s">
        <v>313</v>
      </c>
      <c r="H34" s="2">
        <f>H32+H19</f>
        <v>2574</v>
      </c>
      <c r="I34" s="2">
        <f t="shared" ref="I34:L34" si="4">I32+I19</f>
        <v>2493</v>
      </c>
      <c r="J34" s="2">
        <f t="shared" si="4"/>
        <v>3848</v>
      </c>
      <c r="K34" s="2">
        <f t="shared" si="4"/>
        <v>3835</v>
      </c>
      <c r="L34" s="2">
        <f t="shared" si="4"/>
        <v>1105</v>
      </c>
    </row>
    <row r="35" spans="1:12" x14ac:dyDescent="0.35">
      <c r="B35" s="2" t="s">
        <v>314</v>
      </c>
      <c r="H35">
        <f>(HistoricalFS!H27+HistoricalFS!H21)</f>
        <v>1761.5399999999981</v>
      </c>
      <c r="I35">
        <f>(HistoricalFS!I27+HistoricalFS!I21)</f>
        <v>1999.1200000000006</v>
      </c>
      <c r="J35">
        <f>(HistoricalFS!J27+HistoricalFS!J21)</f>
        <v>1851.5299999999993</v>
      </c>
      <c r="K35">
        <f>(HistoricalFS!K27+HistoricalFS!K21)</f>
        <v>2000.5100000000014</v>
      </c>
      <c r="L35">
        <f>(HistoricalFS!L27+HistoricalFS!L21)</f>
        <v>1870.7400000000002</v>
      </c>
    </row>
    <row r="36" spans="1:12" x14ac:dyDescent="0.35">
      <c r="B36" s="2"/>
    </row>
    <row r="37" spans="1:12" ht="15" thickBot="1" x14ac:dyDescent="0.4">
      <c r="A37" t="s">
        <v>56</v>
      </c>
      <c r="B37" s="145" t="s">
        <v>315</v>
      </c>
      <c r="C37" s="145"/>
      <c r="D37" s="145"/>
      <c r="E37" s="145"/>
      <c r="F37" s="145"/>
      <c r="G37" s="145"/>
      <c r="H37" s="146">
        <f>H35/H34</f>
        <v>0.68435897435897364</v>
      </c>
      <c r="I37" s="146">
        <f t="shared" ref="I37:L37" si="5">I35/I34</f>
        <v>0.80189330124348202</v>
      </c>
      <c r="J37" s="146">
        <f t="shared" si="5"/>
        <v>0.48116683991683973</v>
      </c>
      <c r="K37" s="146">
        <f t="shared" si="5"/>
        <v>0.52164537157757529</v>
      </c>
      <c r="L37" s="146">
        <f t="shared" si="5"/>
        <v>1.692977375565611</v>
      </c>
    </row>
    <row r="38" spans="1:12" ht="15" thickTop="1" x14ac:dyDescent="0.35"/>
    <row r="39" spans="1:12" x14ac:dyDescent="0.35">
      <c r="B39" s="9" t="s">
        <v>316</v>
      </c>
      <c r="C39" s="9"/>
      <c r="D39" s="9"/>
      <c r="E39" s="9"/>
      <c r="F39" s="9"/>
      <c r="G39" s="9"/>
      <c r="H39" s="10">
        <f>RawFS!H2</f>
        <v>44256</v>
      </c>
      <c r="I39" s="10">
        <f>RawFS!I2</f>
        <v>44621</v>
      </c>
      <c r="J39" s="10">
        <f>RawFS!J2</f>
        <v>44986</v>
      </c>
      <c r="K39" s="10">
        <f>RawFS!K2</f>
        <v>45352</v>
      </c>
      <c r="L39" s="10">
        <f>RawFS!L2</f>
        <v>45717</v>
      </c>
    </row>
    <row r="41" spans="1:12" x14ac:dyDescent="0.35">
      <c r="B41" t="s">
        <v>317</v>
      </c>
      <c r="H41">
        <f>-SUM('Cashflow Data'!J12:J13)</f>
        <v>306</v>
      </c>
      <c r="I41">
        <f>-SUM('Cashflow Data'!K12:K13)</f>
        <v>369</v>
      </c>
      <c r="J41">
        <f>-SUM('Cashflow Data'!L12:L13)</f>
        <v>486</v>
      </c>
      <c r="K41">
        <f>-SUM('Cashflow Data'!M12:M13)</f>
        <v>561</v>
      </c>
      <c r="L41">
        <f>-SUM('Cashflow Data'!N12:N13)</f>
        <v>540</v>
      </c>
    </row>
    <row r="42" spans="1:12" x14ac:dyDescent="0.35">
      <c r="B42" t="s">
        <v>318</v>
      </c>
      <c r="I42">
        <f>I19-H19</f>
        <v>-144</v>
      </c>
      <c r="J42">
        <f t="shared" ref="J42:L42" si="6">J19-I19</f>
        <v>83</v>
      </c>
      <c r="K42">
        <f t="shared" si="6"/>
        <v>-248</v>
      </c>
      <c r="L42">
        <f t="shared" si="6"/>
        <v>-65</v>
      </c>
    </row>
    <row r="44" spans="1:12" x14ac:dyDescent="0.35">
      <c r="B44" t="s">
        <v>314</v>
      </c>
      <c r="H44">
        <f>H35</f>
        <v>1761.5399999999981</v>
      </c>
      <c r="I44">
        <f t="shared" ref="I44:L44" si="7">I35</f>
        <v>1999.1200000000006</v>
      </c>
      <c r="J44">
        <f t="shared" si="7"/>
        <v>1851.5299999999993</v>
      </c>
      <c r="K44">
        <f t="shared" si="7"/>
        <v>2000.5100000000014</v>
      </c>
      <c r="L44">
        <f t="shared" si="7"/>
        <v>1870.7400000000002</v>
      </c>
    </row>
    <row r="45" spans="1:12" x14ac:dyDescent="0.35">
      <c r="B45" t="s">
        <v>319</v>
      </c>
      <c r="H45" s="147">
        <v>0.25</v>
      </c>
      <c r="I45" s="147">
        <v>0.25</v>
      </c>
      <c r="J45" s="147">
        <v>0.25</v>
      </c>
      <c r="K45" s="147">
        <v>0.25</v>
      </c>
      <c r="L45" s="147">
        <v>0.25</v>
      </c>
    </row>
    <row r="46" spans="1:12" x14ac:dyDescent="0.35">
      <c r="B46" t="s">
        <v>322</v>
      </c>
      <c r="H46" s="148">
        <f>H44*(1-H45)</f>
        <v>1321.1549999999986</v>
      </c>
      <c r="I46" s="148">
        <f t="shared" ref="I46:L46" si="8">I44*(1-I45)</f>
        <v>1499.3400000000004</v>
      </c>
      <c r="J46" s="148">
        <f t="shared" si="8"/>
        <v>1388.6474999999996</v>
      </c>
      <c r="K46" s="148">
        <f t="shared" si="8"/>
        <v>1500.3825000000011</v>
      </c>
      <c r="L46" s="148">
        <f t="shared" si="8"/>
        <v>1403.0550000000003</v>
      </c>
    </row>
    <row r="48" spans="1:12" x14ac:dyDescent="0.35">
      <c r="B48" t="s">
        <v>320</v>
      </c>
      <c r="I48">
        <f>SUM(I41:I42)</f>
        <v>225</v>
      </c>
      <c r="J48">
        <f t="shared" ref="J48:L48" si="9">SUM(J41:J42)</f>
        <v>569</v>
      </c>
      <c r="K48">
        <f t="shared" si="9"/>
        <v>313</v>
      </c>
      <c r="L48">
        <f t="shared" si="9"/>
        <v>475</v>
      </c>
    </row>
    <row r="49" spans="2:12" x14ac:dyDescent="0.35">
      <c r="B49" t="s">
        <v>321</v>
      </c>
      <c r="I49" s="13">
        <f>I48/I46</f>
        <v>0.15006602905278318</v>
      </c>
      <c r="J49" s="13">
        <f t="shared" ref="J49:L49" si="10">J48/J46</f>
        <v>0.40975121476112558</v>
      </c>
      <c r="K49" s="13">
        <f t="shared" si="10"/>
        <v>0.20861347023175741</v>
      </c>
      <c r="L49" s="13">
        <f t="shared" si="10"/>
        <v>0.33854695646286131</v>
      </c>
    </row>
    <row r="50" spans="2:12" x14ac:dyDescent="0.35">
      <c r="I50" s="13"/>
      <c r="J50" s="13"/>
      <c r="K50" s="13"/>
      <c r="L50" s="13"/>
    </row>
    <row r="51" spans="2:12" x14ac:dyDescent="0.35">
      <c r="K51" s="2" t="s">
        <v>323</v>
      </c>
      <c r="L51" s="91">
        <f>AVERAGE(I49:L49)</f>
        <v>0.27674441762713187</v>
      </c>
    </row>
    <row r="52" spans="2:12" x14ac:dyDescent="0.35">
      <c r="K52" s="2" t="s">
        <v>324</v>
      </c>
      <c r="L52" s="91">
        <f>MEDIAN(I49:L49)</f>
        <v>0.27358021334730936</v>
      </c>
    </row>
    <row r="54" spans="2:12" x14ac:dyDescent="0.35">
      <c r="B54" s="9" t="s">
        <v>325</v>
      </c>
      <c r="C54" s="9"/>
      <c r="D54" s="9"/>
      <c r="E54" s="9"/>
      <c r="F54" s="9"/>
      <c r="G54" s="9"/>
      <c r="H54" s="10">
        <f>RawFS!H2</f>
        <v>44256</v>
      </c>
      <c r="I54" s="10">
        <f>RawFS!I2</f>
        <v>44621</v>
      </c>
      <c r="J54" s="10">
        <f>RawFS!J2</f>
        <v>44986</v>
      </c>
      <c r="K54" s="10">
        <f>RawFS!K2</f>
        <v>45352</v>
      </c>
      <c r="L54" s="10">
        <f>RawFS!L2</f>
        <v>45717</v>
      </c>
    </row>
    <row r="56" spans="2:12" x14ac:dyDescent="0.35">
      <c r="B56" t="s">
        <v>321</v>
      </c>
      <c r="I56" s="70">
        <f>I49</f>
        <v>0.15006602905278318</v>
      </c>
      <c r="J56" s="70">
        <f t="shared" ref="J56:L56" si="11">J49</f>
        <v>0.40975121476112558</v>
      </c>
      <c r="K56" s="70">
        <f t="shared" si="11"/>
        <v>0.20861347023175741</v>
      </c>
      <c r="L56" s="70">
        <f t="shared" si="11"/>
        <v>0.33854695646286131</v>
      </c>
    </row>
    <row r="57" spans="2:12" x14ac:dyDescent="0.35">
      <c r="B57" t="s">
        <v>315</v>
      </c>
      <c r="I57" s="70">
        <f>I37</f>
        <v>0.80189330124348202</v>
      </c>
      <c r="J57" s="70">
        <f t="shared" ref="J57:L57" si="12">J37</f>
        <v>0.48116683991683973</v>
      </c>
      <c r="K57" s="70">
        <f t="shared" si="12"/>
        <v>0.52164537157757529</v>
      </c>
      <c r="L57" s="70">
        <f t="shared" si="12"/>
        <v>1.692977375565611</v>
      </c>
    </row>
    <row r="59" spans="2:12" x14ac:dyDescent="0.35">
      <c r="B59" s="2" t="s">
        <v>326</v>
      </c>
      <c r="C59" s="2"/>
      <c r="D59" s="2"/>
      <c r="E59" s="2"/>
      <c r="F59" s="2"/>
      <c r="G59" s="2"/>
      <c r="H59" s="2"/>
      <c r="I59" s="91">
        <f>I56*I57</f>
        <v>0.12033694344163659</v>
      </c>
      <c r="J59" s="91">
        <f t="shared" ref="J59:L59" si="13">J56*J57</f>
        <v>0.19715869715869713</v>
      </c>
      <c r="K59" s="91">
        <f t="shared" si="13"/>
        <v>0.10882225119513254</v>
      </c>
      <c r="L59" s="91">
        <f t="shared" si="13"/>
        <v>0.57315233785822017</v>
      </c>
    </row>
    <row r="61" spans="2:12" x14ac:dyDescent="0.35">
      <c r="K61" s="2" t="s">
        <v>336</v>
      </c>
      <c r="L61" s="91">
        <f>AVERAGE(I59:L59)</f>
        <v>0.24986755741342162</v>
      </c>
    </row>
    <row r="62" spans="2:12" x14ac:dyDescent="0.35">
      <c r="K62" s="2" t="s">
        <v>335</v>
      </c>
      <c r="L62" s="91">
        <f>MEDIAN(I59:L59)</f>
        <v>0.15874782030016688</v>
      </c>
    </row>
  </sheetData>
  <mergeCells count="1">
    <mergeCell ref="B2:L2"/>
  </mergeCells>
  <pageMargins left="0.7" right="0.7" top="0.75" bottom="0.75" header="0.3" footer="0.3"/>
  <ignoredErrors>
    <ignoredError sqref="H41:L41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6CA4-43C6-4751-9881-9CD5B313AEFC}">
  <dimension ref="B2:L42"/>
  <sheetViews>
    <sheetView showGridLines="0" tabSelected="1" topLeftCell="A7" zoomScale="85" zoomScaleNormal="85" workbookViewId="0">
      <selection activeCell="P15" sqref="P15"/>
    </sheetView>
  </sheetViews>
  <sheetFormatPr defaultRowHeight="14.5" x14ac:dyDescent="0.35"/>
  <cols>
    <col min="1" max="1" width="1.81640625" customWidth="1"/>
    <col min="2" max="2" width="32.6328125" bestFit="1" customWidth="1"/>
    <col min="4" max="4" width="10.54296875" bestFit="1" customWidth="1"/>
    <col min="6" max="6" width="10.1796875" bestFit="1" customWidth="1"/>
    <col min="8" max="12" width="9.08984375" bestFit="1" customWidth="1"/>
  </cols>
  <sheetData>
    <row r="2" spans="2:12" x14ac:dyDescent="0.35">
      <c r="B2" s="192" t="s">
        <v>246</v>
      </c>
      <c r="C2" s="192"/>
      <c r="D2" s="192"/>
      <c r="E2" s="192"/>
      <c r="F2" s="192"/>
      <c r="G2" s="192"/>
      <c r="H2" s="192"/>
      <c r="I2" s="192"/>
      <c r="J2" s="192"/>
      <c r="K2" s="192"/>
      <c r="L2" s="192"/>
    </row>
    <row r="4" spans="2:12" x14ac:dyDescent="0.35">
      <c r="B4" s="9" t="s">
        <v>327</v>
      </c>
      <c r="C4" s="9"/>
      <c r="D4" s="9"/>
      <c r="E4" s="9"/>
      <c r="F4" s="9"/>
      <c r="G4" s="9"/>
      <c r="H4" s="150">
        <f>RawFS!L2</f>
        <v>45717</v>
      </c>
      <c r="I4" s="151">
        <f>H4+365</f>
        <v>46082</v>
      </c>
      <c r="J4" s="151">
        <f t="shared" ref="J4:L4" si="0">I4+365</f>
        <v>46447</v>
      </c>
      <c r="K4" s="151">
        <f>J4+366</f>
        <v>46813</v>
      </c>
      <c r="L4" s="151">
        <f t="shared" si="0"/>
        <v>47178</v>
      </c>
    </row>
    <row r="6" spans="2:12" x14ac:dyDescent="0.35">
      <c r="B6" t="s">
        <v>314</v>
      </c>
      <c r="G6" t="s">
        <v>238</v>
      </c>
      <c r="H6" s="154">
        <f>'Data Sheet'!K33-'Data Sheet'!K26</f>
        <v>2448.6000000000004</v>
      </c>
      <c r="I6" s="125">
        <f>H6*(1+$H$15)</f>
        <v>2837.1928200000007</v>
      </c>
      <c r="J6" s="125">
        <f>I6*(1+$H$15)</f>
        <v>3287.4553205340007</v>
      </c>
      <c r="K6" s="125">
        <f>J6*(1+$H$15)</f>
        <v>3809.174479902747</v>
      </c>
      <c r="L6" s="125">
        <f>K6*(1+$H$15)</f>
        <v>4413.6904698633134</v>
      </c>
    </row>
    <row r="7" spans="2:12" x14ac:dyDescent="0.35">
      <c r="B7" t="s">
        <v>192</v>
      </c>
      <c r="H7" s="155">
        <v>0.25</v>
      </c>
      <c r="I7" s="71">
        <v>0.25</v>
      </c>
      <c r="J7" s="71">
        <v>0.25</v>
      </c>
      <c r="K7" s="71">
        <v>0.25</v>
      </c>
      <c r="L7" s="71">
        <v>0.25</v>
      </c>
    </row>
    <row r="8" spans="2:12" x14ac:dyDescent="0.35">
      <c r="B8" t="s">
        <v>322</v>
      </c>
      <c r="H8" s="154">
        <f>H6*(1-H7)</f>
        <v>1836.4500000000003</v>
      </c>
      <c r="I8" s="125">
        <f>I6*(1-I7)</f>
        <v>2127.8946150000006</v>
      </c>
      <c r="J8" s="125">
        <f>J6*(1-J7)</f>
        <v>2465.5914904005003</v>
      </c>
      <c r="K8" s="125">
        <f>K6*(1-K7)</f>
        <v>2856.8808599270601</v>
      </c>
      <c r="L8" s="125">
        <f>L6*(1-L7)</f>
        <v>3310.2678523974851</v>
      </c>
    </row>
    <row r="9" spans="2:12" x14ac:dyDescent="0.35">
      <c r="B9" t="s">
        <v>328</v>
      </c>
      <c r="H9" s="156">
        <f>'Intrinsic- Growth'!L52</f>
        <v>0.27358021334730936</v>
      </c>
      <c r="I9" s="70">
        <f>H9</f>
        <v>0.27358021334730936</v>
      </c>
      <c r="J9" s="70">
        <f>H9</f>
        <v>0.27358021334730936</v>
      </c>
      <c r="K9" s="70">
        <f>H9</f>
        <v>0.27358021334730936</v>
      </c>
      <c r="L9" s="70">
        <f>H9</f>
        <v>0.27358021334730936</v>
      </c>
    </row>
    <row r="10" spans="2:12" x14ac:dyDescent="0.35">
      <c r="B10" t="s">
        <v>329</v>
      </c>
      <c r="H10" s="154">
        <f>H8*(1-H9)</f>
        <v>1334.033617198334</v>
      </c>
      <c r="I10" s="125">
        <f>I8*(1-I9)</f>
        <v>1545.7447522477098</v>
      </c>
      <c r="J10" s="125">
        <f>J8*(1-J9)</f>
        <v>1791.0544444294212</v>
      </c>
      <c r="K10" s="125">
        <f>K8*(1-K9)</f>
        <v>2075.2947847603705</v>
      </c>
      <c r="L10" s="125">
        <f>L8*(1-L9)</f>
        <v>2404.6440671018418</v>
      </c>
    </row>
    <row r="11" spans="2:12" x14ac:dyDescent="0.35">
      <c r="B11" t="s">
        <v>330</v>
      </c>
      <c r="H11" s="157"/>
      <c r="I11">
        <v>0.5</v>
      </c>
      <c r="J11">
        <f>I11+1</f>
        <v>1.5</v>
      </c>
      <c r="K11">
        <f t="shared" ref="K11:L11" si="1">J11+1</f>
        <v>2.5</v>
      </c>
      <c r="L11">
        <f t="shared" si="1"/>
        <v>3.5</v>
      </c>
    </row>
    <row r="12" spans="2:12" x14ac:dyDescent="0.35">
      <c r="B12" t="s">
        <v>331</v>
      </c>
      <c r="H12" s="157"/>
      <c r="I12" s="159">
        <f>1/(1+$H$17)^I11</f>
        <v>0.92262004942389442</v>
      </c>
      <c r="J12" s="159">
        <f t="shared" ref="J12:L12" si="2">1/(1+$H$17)^J11</f>
        <v>0.78535979394169331</v>
      </c>
      <c r="K12" s="159">
        <f t="shared" si="2"/>
        <v>0.66852005473464104</v>
      </c>
      <c r="L12" s="159">
        <f t="shared" si="2"/>
        <v>0.56906282576465528</v>
      </c>
    </row>
    <row r="13" spans="2:12" ht="15" thickBot="1" x14ac:dyDescent="0.4">
      <c r="B13" s="152" t="s">
        <v>332</v>
      </c>
      <c r="C13" s="152"/>
      <c r="D13" s="152"/>
      <c r="E13" s="152"/>
      <c r="F13" s="152"/>
      <c r="G13" s="152"/>
      <c r="H13" s="158"/>
      <c r="I13" s="160">
        <f>I10*I12</f>
        <v>1426.1350997155075</v>
      </c>
      <c r="J13" s="160">
        <f t="shared" ref="J13:L13" si="3">J10*J12</f>
        <v>1406.6221494154443</v>
      </c>
      <c r="K13" s="160">
        <f t="shared" si="3"/>
        <v>1387.3761830985179</v>
      </c>
      <c r="L13" s="160">
        <f t="shared" si="3"/>
        <v>1368.3935477831874</v>
      </c>
    </row>
    <row r="14" spans="2:12" ht="15" thickTop="1" x14ac:dyDescent="0.35"/>
    <row r="15" spans="2:12" x14ac:dyDescent="0.35">
      <c r="B15" t="s">
        <v>334</v>
      </c>
      <c r="H15" s="153">
        <v>0.15870000000000001</v>
      </c>
    </row>
    <row r="16" spans="2:12" x14ac:dyDescent="0.35">
      <c r="B16" t="s">
        <v>333</v>
      </c>
      <c r="H16" s="153">
        <v>6.5000000000000002E-2</v>
      </c>
    </row>
    <row r="17" spans="2:10" x14ac:dyDescent="0.35">
      <c r="B17" t="s">
        <v>267</v>
      </c>
      <c r="H17" s="153">
        <f>WACC!K47</f>
        <v>0.17477372350995526</v>
      </c>
    </row>
    <row r="19" spans="2:10" x14ac:dyDescent="0.35">
      <c r="B19" s="9" t="s">
        <v>337</v>
      </c>
      <c r="C19" s="9"/>
      <c r="D19" s="9"/>
      <c r="F19" s="200" t="s">
        <v>388</v>
      </c>
      <c r="G19" s="200"/>
      <c r="H19" s="200"/>
      <c r="I19" s="200"/>
      <c r="J19" s="200"/>
    </row>
    <row r="20" spans="2:10" x14ac:dyDescent="0.35">
      <c r="F20" s="183">
        <f>D31</f>
        <v>18864.373710828251</v>
      </c>
      <c r="G20" s="184">
        <v>0.18</v>
      </c>
      <c r="H20" s="184">
        <v>0.2</v>
      </c>
      <c r="I20" s="184">
        <v>0.22</v>
      </c>
      <c r="J20" s="184">
        <v>0.24</v>
      </c>
    </row>
    <row r="21" spans="2:10" x14ac:dyDescent="0.35">
      <c r="B21" t="s">
        <v>338</v>
      </c>
      <c r="D21" s="125">
        <f>L10*(1+H16)</f>
        <v>2560.9459314634614</v>
      </c>
      <c r="F21" s="184">
        <v>0.03</v>
      </c>
      <c r="G21" s="185">
        <f t="dataTable" ref="G21:J25" dt2D="1" dtr="1" r1="D22" r2="D23"/>
        <v>15304.121169273289</v>
      </c>
      <c r="H21" s="185">
        <v>14161.110088183801</v>
      </c>
      <c r="I21" s="185">
        <v>13258.732918902628</v>
      </c>
      <c r="J21" s="185">
        <v>12528.237115198823</v>
      </c>
    </row>
    <row r="22" spans="2:10" x14ac:dyDescent="0.35">
      <c r="B22" t="s">
        <v>267</v>
      </c>
      <c r="D22" s="70">
        <f>H17</f>
        <v>0.17477372350995526</v>
      </c>
      <c r="F22" s="184">
        <v>0.04</v>
      </c>
      <c r="G22" s="185">
        <v>15998.092182791905</v>
      </c>
      <c r="H22" s="185">
        <v>14696.896532444498</v>
      </c>
      <c r="I22" s="185">
        <v>13684.855471063183</v>
      </c>
      <c r="J22" s="185">
        <v>12875.222621958132</v>
      </c>
    </row>
    <row r="23" spans="2:10" x14ac:dyDescent="0.35">
      <c r="B23" t="s">
        <v>339</v>
      </c>
      <c r="D23" s="70">
        <f>H16</f>
        <v>6.5000000000000002E-2</v>
      </c>
      <c r="F23" s="184">
        <v>5.3800000000000001E-2</v>
      </c>
      <c r="G23" s="185">
        <v>17136.380612255882</v>
      </c>
      <c r="H23" s="185">
        <v>15556.646873234917</v>
      </c>
      <c r="I23" s="185">
        <v>14357.113793424778</v>
      </c>
      <c r="J23" s="185">
        <v>13415.267733982017</v>
      </c>
    </row>
    <row r="24" spans="2:10" x14ac:dyDescent="0.35">
      <c r="D24" s="70"/>
      <c r="F24" s="184">
        <v>0.06</v>
      </c>
      <c r="G24" s="185">
        <v>17733.019716588446</v>
      </c>
      <c r="H24" s="185">
        <v>15998.092182791903</v>
      </c>
      <c r="I24" s="185">
        <v>14696.896532444498</v>
      </c>
      <c r="J24" s="185">
        <v>13684.855471063183</v>
      </c>
    </row>
    <row r="25" spans="2:10" ht="15" thickBot="1" x14ac:dyDescent="0.4">
      <c r="B25" s="145" t="s">
        <v>340</v>
      </c>
      <c r="C25" s="145"/>
      <c r="D25" s="161">
        <f>D21/(D22-D23)</f>
        <v>23329.316430003506</v>
      </c>
      <c r="F25" s="184">
        <v>7.0000000000000007E-2</v>
      </c>
      <c r="G25" s="185">
        <v>18837.064510822609</v>
      </c>
      <c r="H25" s="185">
        <v>16798.827967621077</v>
      </c>
      <c r="I25" s="185">
        <v>15304.121169273289</v>
      </c>
      <c r="J25" s="185">
        <v>14161.110088183801</v>
      </c>
    </row>
    <row r="26" spans="2:10" ht="15" thickTop="1" x14ac:dyDescent="0.35"/>
    <row r="27" spans="2:10" x14ac:dyDescent="0.35">
      <c r="B27" s="9" t="s">
        <v>345</v>
      </c>
      <c r="C27" s="9"/>
      <c r="D27" s="9"/>
    </row>
    <row r="29" spans="2:10" x14ac:dyDescent="0.35">
      <c r="B29" t="s">
        <v>332</v>
      </c>
      <c r="D29" s="125">
        <f>SUM(I13:L13)</f>
        <v>5588.5269800126571</v>
      </c>
    </row>
    <row r="30" spans="2:10" x14ac:dyDescent="0.35">
      <c r="B30" t="s">
        <v>341</v>
      </c>
      <c r="D30" s="22">
        <f>D25*L12</f>
        <v>13275.846730815594</v>
      </c>
    </row>
    <row r="31" spans="2:10" x14ac:dyDescent="0.35">
      <c r="B31" s="2" t="s">
        <v>342</v>
      </c>
      <c r="C31" s="2"/>
      <c r="D31" s="126">
        <f>SUM(D29:D30)</f>
        <v>18864.373710828251</v>
      </c>
    </row>
    <row r="32" spans="2:10" x14ac:dyDescent="0.35">
      <c r="B32" s="2"/>
      <c r="C32" s="2"/>
      <c r="D32" s="126"/>
    </row>
    <row r="33" spans="2:4" x14ac:dyDescent="0.35">
      <c r="B33" t="s">
        <v>343</v>
      </c>
      <c r="D33" s="125">
        <f>'Data Sheet'!K69</f>
        <v>578.01</v>
      </c>
    </row>
    <row r="34" spans="2:4" x14ac:dyDescent="0.35">
      <c r="B34" t="s">
        <v>344</v>
      </c>
      <c r="D34" s="125">
        <f>SUM(RawFS!L7:L8)</f>
        <v>730</v>
      </c>
    </row>
    <row r="35" spans="2:4" x14ac:dyDescent="0.35">
      <c r="B35" s="2" t="s">
        <v>346</v>
      </c>
      <c r="C35" s="2"/>
      <c r="D35" s="126">
        <f>D31+D33-D34</f>
        <v>18712.38371082825</v>
      </c>
    </row>
    <row r="36" spans="2:4" x14ac:dyDescent="0.35">
      <c r="B36" t="s">
        <v>347</v>
      </c>
      <c r="D36" s="125">
        <f>'Data Sheet'!B6</f>
        <v>177.195032487948</v>
      </c>
    </row>
    <row r="38" spans="2:4" x14ac:dyDescent="0.35">
      <c r="B38" s="2" t="s">
        <v>348</v>
      </c>
      <c r="C38" s="2"/>
      <c r="D38" s="2">
        <f>D35/D36</f>
        <v>105.60331995819907</v>
      </c>
    </row>
    <row r="40" spans="2:4" x14ac:dyDescent="0.35">
      <c r="B40" t="s">
        <v>349</v>
      </c>
      <c r="D40" s="162">
        <v>483</v>
      </c>
    </row>
    <row r="41" spans="2:4" x14ac:dyDescent="0.35">
      <c r="B41" t="s">
        <v>387</v>
      </c>
      <c r="D41" s="149">
        <f>D40/D38-1</f>
        <v>3.5737198431941888</v>
      </c>
    </row>
    <row r="42" spans="2:4" x14ac:dyDescent="0.35">
      <c r="B42" t="s">
        <v>387</v>
      </c>
      <c r="D42" s="163">
        <f>D40/D38</f>
        <v>4.5737198431941888</v>
      </c>
    </row>
  </sheetData>
  <mergeCells count="2">
    <mergeCell ref="B2:L2"/>
    <mergeCell ref="F19:J19"/>
  </mergeCells>
  <pageMargins left="0.7" right="0.7" top="0.75" bottom="0.75" header="0.3" footer="0.3"/>
  <ignoredErrors>
    <ignoredError sqref="D34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E797-02B7-4E35-A2D7-C602044BADDA}">
  <dimension ref="B2:Q32"/>
  <sheetViews>
    <sheetView showGridLines="0" topLeftCell="A5" zoomScale="94" workbookViewId="0">
      <selection activeCell="B32" sqref="B32"/>
    </sheetView>
  </sheetViews>
  <sheetFormatPr defaultRowHeight="14.5" x14ac:dyDescent="0.35"/>
  <cols>
    <col min="1" max="1" width="1.81640625" customWidth="1"/>
    <col min="2" max="2" width="15.08984375" customWidth="1"/>
    <col min="4" max="5" width="8.81640625" bestFit="1" customWidth="1"/>
    <col min="6" max="6" width="9.81640625" bestFit="1" customWidth="1"/>
    <col min="7" max="7" width="8.81640625" bestFit="1" customWidth="1"/>
    <col min="8" max="8" width="9.81640625" bestFit="1" customWidth="1"/>
    <col min="10" max="10" width="1.81640625" customWidth="1"/>
    <col min="11" max="13" width="8.81640625" bestFit="1" customWidth="1"/>
    <col min="14" max="14" width="1.81640625" customWidth="1"/>
    <col min="15" max="15" width="12" bestFit="1" customWidth="1"/>
    <col min="16" max="16" width="12.08984375" bestFit="1" customWidth="1"/>
    <col min="17" max="17" width="12" bestFit="1" customWidth="1"/>
  </cols>
  <sheetData>
    <row r="2" spans="2:17" x14ac:dyDescent="0.35">
      <c r="B2" s="182" t="s">
        <v>350</v>
      </c>
      <c r="C2" s="49"/>
    </row>
    <row r="3" spans="2:17" x14ac:dyDescent="0.35">
      <c r="B3" s="59"/>
      <c r="C3" s="59"/>
      <c r="D3" s="201" t="s">
        <v>354</v>
      </c>
      <c r="E3" s="201"/>
      <c r="F3" s="201"/>
      <c r="G3" s="201"/>
      <c r="H3" s="201"/>
      <c r="I3" s="201"/>
      <c r="J3" s="165"/>
      <c r="K3" s="201" t="s">
        <v>354</v>
      </c>
      <c r="L3" s="201"/>
      <c r="M3" s="201"/>
      <c r="N3" s="165"/>
      <c r="O3" s="201" t="s">
        <v>357</v>
      </c>
      <c r="P3" s="201"/>
      <c r="Q3" s="201"/>
    </row>
    <row r="4" spans="2:17" ht="43.5" x14ac:dyDescent="0.35">
      <c r="B4" s="59" t="s">
        <v>358</v>
      </c>
      <c r="C4" s="59" t="s">
        <v>359</v>
      </c>
      <c r="D4" s="164" t="s">
        <v>349</v>
      </c>
      <c r="E4" s="164" t="s">
        <v>351</v>
      </c>
      <c r="F4" s="164" t="s">
        <v>352</v>
      </c>
      <c r="G4" s="164" t="s">
        <v>353</v>
      </c>
      <c r="H4" s="164" t="s">
        <v>342</v>
      </c>
      <c r="I4" s="59"/>
      <c r="J4" s="59"/>
      <c r="K4" s="59" t="s">
        <v>355</v>
      </c>
      <c r="L4" s="59" t="s">
        <v>65</v>
      </c>
      <c r="M4" s="59" t="s">
        <v>356</v>
      </c>
      <c r="N4" s="59"/>
      <c r="O4" s="59" t="s">
        <v>376</v>
      </c>
      <c r="P4" s="59" t="s">
        <v>377</v>
      </c>
      <c r="Q4" s="59" t="s">
        <v>378</v>
      </c>
    </row>
    <row r="5" spans="2:17" x14ac:dyDescent="0.35">
      <c r="B5" s="130"/>
      <c r="C5" s="130"/>
      <c r="D5" s="167"/>
      <c r="E5" s="167"/>
      <c r="F5" s="167"/>
      <c r="G5" s="167"/>
      <c r="H5" s="167"/>
      <c r="I5" s="130"/>
      <c r="J5" s="130"/>
      <c r="K5" s="130"/>
      <c r="L5" s="130"/>
      <c r="M5" s="130"/>
      <c r="N5" s="130"/>
      <c r="O5" s="130"/>
      <c r="P5" s="130"/>
      <c r="Q5" s="130"/>
    </row>
    <row r="6" spans="2:17" x14ac:dyDescent="0.35">
      <c r="B6" s="169" t="s">
        <v>246</v>
      </c>
      <c r="C6" s="169"/>
      <c r="D6" s="170">
        <v>481.25</v>
      </c>
      <c r="E6" s="170">
        <v>177.23</v>
      </c>
      <c r="F6" s="170">
        <v>85291.9375</v>
      </c>
      <c r="G6" s="170">
        <v>372.36</v>
      </c>
      <c r="H6" s="170">
        <v>85664.297500000001</v>
      </c>
      <c r="I6" s="170"/>
      <c r="J6" s="170"/>
      <c r="K6" s="170">
        <v>12563.09</v>
      </c>
      <c r="L6" s="170">
        <v>2866</v>
      </c>
      <c r="M6" s="170">
        <v>1740.42</v>
      </c>
      <c r="N6" s="169"/>
      <c r="O6" s="171">
        <f>$H6/L6</f>
        <v>29.88984560362875</v>
      </c>
      <c r="P6" s="171">
        <f>$H6/K6</f>
        <v>6.8187283144513016</v>
      </c>
      <c r="Q6" s="171">
        <f>F6/M6</f>
        <v>49.006525723675892</v>
      </c>
    </row>
    <row r="7" spans="2:17" x14ac:dyDescent="0.35">
      <c r="B7" s="172" t="str">
        <f>Sheet1!C3</f>
        <v>Hind. Unilever</v>
      </c>
      <c r="C7" s="173"/>
      <c r="D7" s="174">
        <f>Sheet1!D3</f>
        <v>2361.9</v>
      </c>
      <c r="E7" s="174">
        <f>Sheet1!H3</f>
        <v>234.96</v>
      </c>
      <c r="F7" s="174">
        <f>E7*D7</f>
        <v>554952.02400000009</v>
      </c>
      <c r="G7" s="174">
        <f>Sheet1!G3</f>
        <v>-5906</v>
      </c>
      <c r="H7" s="174">
        <f>F7+G7</f>
        <v>549046.02400000009</v>
      </c>
      <c r="I7" s="174"/>
      <c r="J7" s="174"/>
      <c r="K7" s="174">
        <f>Sheet1!K3</f>
        <v>63121</v>
      </c>
      <c r="L7" s="174">
        <f>Sheet1!L3</f>
        <v>15860</v>
      </c>
      <c r="M7" s="174">
        <f>Sheet1!M3</f>
        <v>10671</v>
      </c>
      <c r="N7" s="173"/>
      <c r="O7" s="175">
        <f t="shared" ref="O7:O14" si="0">$H7/L7</f>
        <v>34.618286506935696</v>
      </c>
      <c r="P7" s="175">
        <f t="shared" ref="P7:P14" si="1">$H7/K7</f>
        <v>8.6983099760776934</v>
      </c>
      <c r="Q7" s="175">
        <f t="shared" ref="Q7:Q14" si="2">F7/M7</f>
        <v>52.005624964858036</v>
      </c>
    </row>
    <row r="8" spans="2:17" x14ac:dyDescent="0.35">
      <c r="B8" s="172" t="str">
        <f>Sheet1!C4</f>
        <v>Nestle India</v>
      </c>
      <c r="C8" s="173"/>
      <c r="D8" s="174">
        <f>Sheet1!D4</f>
        <v>2431.1999999999998</v>
      </c>
      <c r="E8" s="174">
        <f>Sheet1!H4</f>
        <v>96.42</v>
      </c>
      <c r="F8" s="174">
        <f t="shared" ref="F8:F14" si="3">E8*D8</f>
        <v>234416.30399999997</v>
      </c>
      <c r="G8" s="174">
        <f>Sheet1!G4</f>
        <v>3819.8799999999997</v>
      </c>
      <c r="H8" s="174">
        <f t="shared" ref="H8:H14" si="4">F8+G8</f>
        <v>238236.18399999998</v>
      </c>
      <c r="I8" s="174"/>
      <c r="J8" s="174"/>
      <c r="K8" s="174">
        <f>Sheet1!K4</f>
        <v>20201.560000000001</v>
      </c>
      <c r="L8" s="174">
        <f>Sheet1!L4</f>
        <v>4832</v>
      </c>
      <c r="M8" s="174">
        <f>Sheet1!M4</f>
        <v>3314.5</v>
      </c>
      <c r="N8" s="173"/>
      <c r="O8" s="175">
        <f t="shared" si="0"/>
        <v>49.303846026490064</v>
      </c>
      <c r="P8" s="175">
        <f t="shared" si="1"/>
        <v>11.79295975162314</v>
      </c>
      <c r="Q8" s="175">
        <f t="shared" si="2"/>
        <v>70.72448453763765</v>
      </c>
    </row>
    <row r="9" spans="2:17" x14ac:dyDescent="0.35">
      <c r="B9" s="172" t="str">
        <f>Sheet1!C5</f>
        <v>Varun Beverages</v>
      </c>
      <c r="C9" s="173"/>
      <c r="D9" s="174">
        <f>Sheet1!D5</f>
        <v>480</v>
      </c>
      <c r="E9" s="174">
        <f>Sheet1!H5</f>
        <v>338.19</v>
      </c>
      <c r="F9" s="174">
        <f t="shared" si="3"/>
        <v>162331.20000000001</v>
      </c>
      <c r="G9" s="174">
        <f>Sheet1!G5</f>
        <v>376.19999999999982</v>
      </c>
      <c r="H9" s="174">
        <f t="shared" si="4"/>
        <v>162707.40000000002</v>
      </c>
      <c r="I9" s="174"/>
      <c r="J9" s="174"/>
      <c r="K9" s="174">
        <f>Sheet1!K5</f>
        <v>21257.27</v>
      </c>
      <c r="L9" s="174">
        <f>Sheet1!L5</f>
        <v>5125</v>
      </c>
      <c r="M9" s="174">
        <f>Sheet1!M5</f>
        <v>2817.66</v>
      </c>
      <c r="N9" s="173"/>
      <c r="O9" s="175">
        <f t="shared" si="0"/>
        <v>31.747785365853662</v>
      </c>
      <c r="P9" s="175">
        <f t="shared" si="1"/>
        <v>7.6542001865714653</v>
      </c>
      <c r="Q9" s="175">
        <f t="shared" si="2"/>
        <v>57.612061071953327</v>
      </c>
    </row>
    <row r="10" spans="2:17" x14ac:dyDescent="0.35">
      <c r="B10" s="172" t="str">
        <f>Sheet1!C6</f>
        <v>Britannia Inds.</v>
      </c>
      <c r="C10" s="173"/>
      <c r="D10" s="174">
        <f>Sheet1!D6</f>
        <v>5509.95</v>
      </c>
      <c r="E10" s="174">
        <f>Sheet1!H6</f>
        <v>24.09</v>
      </c>
      <c r="F10" s="174">
        <f t="shared" si="3"/>
        <v>132734.6955</v>
      </c>
      <c r="G10" s="174">
        <f>Sheet1!G6</f>
        <v>934.03</v>
      </c>
      <c r="H10" s="174">
        <f t="shared" si="4"/>
        <v>133668.7255</v>
      </c>
      <c r="I10" s="174"/>
      <c r="J10" s="174"/>
      <c r="K10" s="174">
        <f>Sheet1!K6</f>
        <v>17942.669999999998</v>
      </c>
      <c r="L10" s="174">
        <f>Sheet1!L6</f>
        <v>3403</v>
      </c>
      <c r="M10" s="174">
        <f>Sheet1!M6</f>
        <v>2177.86</v>
      </c>
      <c r="N10" s="173"/>
      <c r="O10" s="175">
        <f t="shared" si="0"/>
        <v>39.279672494857479</v>
      </c>
      <c r="P10" s="175">
        <f t="shared" si="1"/>
        <v>7.4497678160496745</v>
      </c>
      <c r="Q10" s="175">
        <f t="shared" si="2"/>
        <v>60.947304004848796</v>
      </c>
    </row>
    <row r="11" spans="2:17" x14ac:dyDescent="0.35">
      <c r="B11" s="172" t="str">
        <f>Sheet1!C7</f>
        <v>Godrej Consumer</v>
      </c>
      <c r="C11" s="173"/>
      <c r="D11" s="174">
        <f>Sheet1!D7</f>
        <v>1236.4000000000001</v>
      </c>
      <c r="E11" s="174">
        <f>Sheet1!H7</f>
        <v>102.3</v>
      </c>
      <c r="F11" s="174">
        <f t="shared" si="3"/>
        <v>126483.72</v>
      </c>
      <c r="G11" s="174">
        <f>Sheet1!G7</f>
        <v>3521.43</v>
      </c>
      <c r="H11" s="174">
        <f t="shared" si="4"/>
        <v>130005.15</v>
      </c>
      <c r="I11" s="174"/>
      <c r="J11" s="174"/>
      <c r="K11" s="174">
        <f>Sheet1!K7</f>
        <v>14364.29</v>
      </c>
      <c r="L11" s="174">
        <f>Sheet1!L7</f>
        <v>3319</v>
      </c>
      <c r="M11" s="174">
        <f>Sheet1!M7</f>
        <v>1852.3</v>
      </c>
      <c r="N11" s="173"/>
      <c r="O11" s="175">
        <f t="shared" si="0"/>
        <v>39.169975896354323</v>
      </c>
      <c r="P11" s="175">
        <f t="shared" si="1"/>
        <v>9.0505795970423861</v>
      </c>
      <c r="Q11" s="175">
        <f t="shared" si="2"/>
        <v>68.284683906494635</v>
      </c>
    </row>
    <row r="12" spans="2:17" x14ac:dyDescent="0.35">
      <c r="B12" s="172" t="str">
        <f>Sheet1!C9</f>
        <v>Colgate-Palmoliv</v>
      </c>
      <c r="C12" s="173"/>
      <c r="D12" s="174">
        <f>Sheet1!D9</f>
        <v>2484.4499999999998</v>
      </c>
      <c r="E12" s="174">
        <f>Sheet1!H9</f>
        <v>27.2</v>
      </c>
      <c r="F12" s="174">
        <f t="shared" si="3"/>
        <v>67577.039999999994</v>
      </c>
      <c r="G12" s="174">
        <f>Sheet1!G9</f>
        <v>-1034.2900000000002</v>
      </c>
      <c r="H12" s="174">
        <f t="shared" si="4"/>
        <v>66542.75</v>
      </c>
      <c r="I12" s="174"/>
      <c r="J12" s="174"/>
      <c r="K12" s="174">
        <f>Sheet1!K9</f>
        <v>6040.17</v>
      </c>
      <c r="L12" s="174">
        <f>Sheet1!L9</f>
        <v>2096</v>
      </c>
      <c r="M12" s="174">
        <f>Sheet1!M9</f>
        <v>1436.81</v>
      </c>
      <c r="N12" s="173"/>
      <c r="O12" s="175">
        <f t="shared" si="0"/>
        <v>31.747495229007633</v>
      </c>
      <c r="P12" s="175">
        <f t="shared" si="1"/>
        <v>11.016701516679166</v>
      </c>
      <c r="Q12" s="175">
        <f t="shared" si="2"/>
        <v>47.032690474036229</v>
      </c>
    </row>
    <row r="13" spans="2:17" x14ac:dyDescent="0.35">
      <c r="B13" s="172" t="str">
        <f>Sheet1!C10</f>
        <v>P &amp; G Hygiene</v>
      </c>
      <c r="C13" s="173"/>
      <c r="D13" s="174">
        <f>Sheet1!D10</f>
        <v>13836.1</v>
      </c>
      <c r="E13" s="174">
        <f>Sheet1!H10</f>
        <v>3.25</v>
      </c>
      <c r="F13" s="174">
        <f t="shared" si="3"/>
        <v>44967.325000000004</v>
      </c>
      <c r="G13" s="174">
        <f>Sheet1!G10</f>
        <v>-585.88</v>
      </c>
      <c r="H13" s="174">
        <f t="shared" si="4"/>
        <v>44381.445000000007</v>
      </c>
      <c r="I13" s="174"/>
      <c r="J13" s="174"/>
      <c r="K13" s="174">
        <f>Sheet1!K10</f>
        <v>4306.17</v>
      </c>
      <c r="L13" s="174">
        <f>Sheet1!L10</f>
        <v>1034</v>
      </c>
      <c r="M13" s="174">
        <f>Sheet1!M10</f>
        <v>717.65</v>
      </c>
      <c r="N13" s="173"/>
      <c r="O13" s="175">
        <f t="shared" si="0"/>
        <v>42.922093810444878</v>
      </c>
      <c r="P13" s="175">
        <f t="shared" si="1"/>
        <v>10.306477682023703</v>
      </c>
      <c r="Q13" s="175">
        <f t="shared" si="2"/>
        <v>62.659130495366831</v>
      </c>
    </row>
    <row r="14" spans="2:17" x14ac:dyDescent="0.35">
      <c r="B14" s="172" t="str">
        <f>Sheet1!C11</f>
        <v>Gillette India</v>
      </c>
      <c r="C14" s="173"/>
      <c r="D14" s="174">
        <f>Sheet1!D11</f>
        <v>9292.5</v>
      </c>
      <c r="E14" s="174">
        <f>Sheet1!H11</f>
        <v>3.26</v>
      </c>
      <c r="F14" s="174">
        <f t="shared" si="3"/>
        <v>30293.55</v>
      </c>
      <c r="G14" s="174">
        <f>Sheet1!G11</f>
        <v>-475.58</v>
      </c>
      <c r="H14" s="174">
        <f t="shared" si="4"/>
        <v>29817.969999999998</v>
      </c>
      <c r="I14" s="174"/>
      <c r="J14" s="174"/>
      <c r="K14" s="174">
        <f>Sheet1!K11</f>
        <v>2880.17</v>
      </c>
      <c r="L14" s="174">
        <f>Sheet1!L11</f>
        <v>807</v>
      </c>
      <c r="M14" s="174">
        <f>Sheet1!M11</f>
        <v>533.63</v>
      </c>
      <c r="N14" s="173"/>
      <c r="O14" s="175">
        <f t="shared" si="0"/>
        <v>36.949157372986363</v>
      </c>
      <c r="P14" s="175">
        <f t="shared" si="1"/>
        <v>10.352850699785082</v>
      </c>
      <c r="Q14" s="175">
        <f t="shared" si="2"/>
        <v>56.768828589097311</v>
      </c>
    </row>
    <row r="15" spans="2:17" x14ac:dyDescent="0.35">
      <c r="B15" s="72" t="str">
        <f>Sheet1!C12</f>
        <v>Emami</v>
      </c>
    </row>
    <row r="17" spans="2:17" x14ac:dyDescent="0.35">
      <c r="B17" s="168" t="s">
        <v>382</v>
      </c>
      <c r="C17" s="168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76">
        <f>MAX(O6:O14)</f>
        <v>49.303846026490064</v>
      </c>
      <c r="P17" s="176">
        <f>MAX(P6:P14)</f>
        <v>11.79295975162314</v>
      </c>
      <c r="Q17" s="176">
        <f>MAX(Q6:Q14)</f>
        <v>70.72448453763765</v>
      </c>
    </row>
    <row r="18" spans="2:17" x14ac:dyDescent="0.35">
      <c r="B18" s="168" t="s">
        <v>379</v>
      </c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76">
        <f>QUARTILE(O6:O14,3)</f>
        <v>39.279672494857479</v>
      </c>
      <c r="P18" s="176">
        <f>QUARTILE(P6:P14,3)</f>
        <v>10.352850699785082</v>
      </c>
      <c r="Q18" s="176">
        <f>QUARTILE(Q6:Q14,3)</f>
        <v>62.659130495366831</v>
      </c>
    </row>
    <row r="19" spans="2:17" x14ac:dyDescent="0.35">
      <c r="B19" s="177" t="s">
        <v>258</v>
      </c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8">
        <f>AVERAGE(O6:O14)</f>
        <v>37.292017589617643</v>
      </c>
      <c r="P19" s="178">
        <f>AVERAGE(P6:P14)</f>
        <v>9.2378417267004007</v>
      </c>
      <c r="Q19" s="178">
        <f>AVERAGE(Q6:Q14)</f>
        <v>58.337925974218741</v>
      </c>
    </row>
    <row r="20" spans="2:17" x14ac:dyDescent="0.35">
      <c r="B20" s="177" t="s">
        <v>148</v>
      </c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8">
        <f>MEDIAN(O6:O14)</f>
        <v>36.949157372986363</v>
      </c>
      <c r="P20" s="178">
        <f>MEDIAN(P6:P14)</f>
        <v>9.0505795970423861</v>
      </c>
      <c r="Q20" s="178">
        <f>MEDIAN(Q6:Q14)</f>
        <v>57.612061071953327</v>
      </c>
    </row>
    <row r="21" spans="2:17" x14ac:dyDescent="0.35">
      <c r="B21" s="168" t="s">
        <v>380</v>
      </c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76">
        <f>QUARTILE(O6:O14,1)</f>
        <v>31.747785365853662</v>
      </c>
      <c r="P21" s="176">
        <f>QUARTILE(P6:P14,1)</f>
        <v>7.6542001865714653</v>
      </c>
      <c r="Q21" s="176">
        <f>QUARTILE(Q6:Q14,1)</f>
        <v>52.005624964858036</v>
      </c>
    </row>
    <row r="22" spans="2:17" x14ac:dyDescent="0.35">
      <c r="B22" s="168" t="s">
        <v>381</v>
      </c>
      <c r="C22" s="168"/>
      <c r="D22" s="168"/>
      <c r="E22" s="168"/>
      <c r="F22" s="168"/>
      <c r="G22" s="168"/>
      <c r="H22" s="168"/>
      <c r="I22" s="168"/>
      <c r="J22" s="168"/>
      <c r="K22" s="168"/>
      <c r="L22" s="168"/>
      <c r="M22" s="168"/>
      <c r="N22" s="168"/>
      <c r="O22" s="176">
        <f>MIN(O6:O14)</f>
        <v>29.88984560362875</v>
      </c>
      <c r="P22" s="176">
        <f>MIN(P6:P14)</f>
        <v>6.8187283144513016</v>
      </c>
      <c r="Q22" s="176">
        <f>MIN(Q6:Q14)</f>
        <v>47.032690474036229</v>
      </c>
    </row>
    <row r="24" spans="2:17" x14ac:dyDescent="0.35">
      <c r="B24" s="179" t="s">
        <v>383</v>
      </c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 t="s">
        <v>376</v>
      </c>
      <c r="P24" s="179" t="s">
        <v>377</v>
      </c>
      <c r="Q24" s="179" t="s">
        <v>378</v>
      </c>
    </row>
    <row r="25" spans="2:17" ht="2.5" customHeight="1" x14ac:dyDescent="0.35"/>
    <row r="26" spans="2:17" x14ac:dyDescent="0.35">
      <c r="B26" t="s">
        <v>384</v>
      </c>
      <c r="O26" s="22">
        <f>O20*L6</f>
        <v>105896.28503097892</v>
      </c>
      <c r="P26" s="22">
        <f>P20*K6</f>
        <v>113703.24602980723</v>
      </c>
      <c r="Q26" s="22">
        <f>Q28+Q27</f>
        <v>100641.54333084902</v>
      </c>
    </row>
    <row r="27" spans="2:17" x14ac:dyDescent="0.35">
      <c r="B27" t="s">
        <v>353</v>
      </c>
      <c r="O27" s="22">
        <f>G6</f>
        <v>372.36</v>
      </c>
      <c r="P27" s="22">
        <v>372.36</v>
      </c>
      <c r="Q27" s="22">
        <v>372.36</v>
      </c>
    </row>
    <row r="28" spans="2:17" x14ac:dyDescent="0.35">
      <c r="B28" t="s">
        <v>385</v>
      </c>
      <c r="O28" s="22">
        <f>O26-O27</f>
        <v>105523.92503097892</v>
      </c>
      <c r="P28" s="22">
        <f t="shared" ref="P28" si="5">P26-P27</f>
        <v>113330.88602980722</v>
      </c>
      <c r="Q28" s="22">
        <f>Q20*M6</f>
        <v>100269.18333084902</v>
      </c>
    </row>
    <row r="29" spans="2:17" x14ac:dyDescent="0.35">
      <c r="B29" t="s">
        <v>351</v>
      </c>
      <c r="O29" s="22">
        <v>177.23</v>
      </c>
      <c r="P29" s="22">
        <v>177.23</v>
      </c>
      <c r="Q29" s="22">
        <v>177.23</v>
      </c>
    </row>
    <row r="30" spans="2:17" ht="15" thickBot="1" x14ac:dyDescent="0.4">
      <c r="B30" s="180" t="s">
        <v>386</v>
      </c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1">
        <f>O28/O29</f>
        <v>595.40667511696063</v>
      </c>
      <c r="P30" s="181">
        <f t="shared" ref="P30:Q30" si="6">P28/P29</f>
        <v>639.4565594414446</v>
      </c>
      <c r="Q30" s="181">
        <f t="shared" si="6"/>
        <v>565.75739621310743</v>
      </c>
    </row>
    <row r="31" spans="2:17" ht="15" thickTop="1" x14ac:dyDescent="0.35"/>
    <row r="32" spans="2:17" x14ac:dyDescent="0.35">
      <c r="P32" t="str">
        <f>IF(P30&gt;$D$6,"undervalued","Overvalued")</f>
        <v>undervalued</v>
      </c>
    </row>
  </sheetData>
  <mergeCells count="3">
    <mergeCell ref="D3:I3"/>
    <mergeCell ref="K3:M3"/>
    <mergeCell ref="O3:Q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7647-50E5-4882-9A4A-73AE430665F1}">
  <dimension ref="B2:C4306"/>
  <sheetViews>
    <sheetView showGridLines="0" workbookViewId="0">
      <selection activeCell="O13" sqref="O13"/>
    </sheetView>
  </sheetViews>
  <sheetFormatPr defaultRowHeight="14.5" x14ac:dyDescent="0.35"/>
  <cols>
    <col min="1" max="1" width="1.81640625" customWidth="1"/>
    <col min="2" max="2" width="10.08984375" bestFit="1" customWidth="1"/>
    <col min="3" max="3" width="8.7265625" style="22"/>
  </cols>
  <sheetData>
    <row r="2" spans="2:3" x14ac:dyDescent="0.35">
      <c r="B2" t="s">
        <v>206</v>
      </c>
      <c r="C2" s="22" t="s">
        <v>207</v>
      </c>
    </row>
    <row r="3" spans="2:3" x14ac:dyDescent="0.35">
      <c r="B3" s="87">
        <v>39449</v>
      </c>
      <c r="C3" s="22">
        <v>58.2</v>
      </c>
    </row>
    <row r="4" spans="2:3" x14ac:dyDescent="0.35">
      <c r="B4" s="87">
        <v>39450</v>
      </c>
      <c r="C4" s="22">
        <v>59.17</v>
      </c>
    </row>
    <row r="5" spans="2:3" x14ac:dyDescent="0.35">
      <c r="B5" s="87">
        <v>39451</v>
      </c>
      <c r="C5" s="22">
        <v>60.65</v>
      </c>
    </row>
    <row r="6" spans="2:3" x14ac:dyDescent="0.35">
      <c r="B6" s="87">
        <v>39454</v>
      </c>
      <c r="C6" s="22">
        <v>62.3</v>
      </c>
    </row>
    <row r="7" spans="2:3" x14ac:dyDescent="0.35">
      <c r="B7" s="87">
        <v>39455</v>
      </c>
      <c r="C7" s="22">
        <v>59.67</v>
      </c>
    </row>
    <row r="8" spans="2:3" x14ac:dyDescent="0.35">
      <c r="B8" s="87">
        <v>39456</v>
      </c>
      <c r="C8" s="22">
        <v>59.33</v>
      </c>
    </row>
    <row r="9" spans="2:3" x14ac:dyDescent="0.35">
      <c r="B9" s="87">
        <v>39457</v>
      </c>
      <c r="C9" s="22">
        <v>56.88</v>
      </c>
    </row>
    <row r="10" spans="2:3" x14ac:dyDescent="0.35">
      <c r="B10" s="87">
        <v>39458</v>
      </c>
      <c r="C10" s="22">
        <v>56.35</v>
      </c>
    </row>
    <row r="11" spans="2:3" x14ac:dyDescent="0.35">
      <c r="B11" s="87">
        <v>39461</v>
      </c>
      <c r="C11" s="22">
        <v>56.67</v>
      </c>
    </row>
    <row r="12" spans="2:3" x14ac:dyDescent="0.35">
      <c r="B12" s="87">
        <v>39462</v>
      </c>
      <c r="C12" s="22">
        <v>57.12</v>
      </c>
    </row>
    <row r="13" spans="2:3" x14ac:dyDescent="0.35">
      <c r="B13" s="87">
        <v>39463</v>
      </c>
      <c r="C13" s="22">
        <v>56.27</v>
      </c>
    </row>
    <row r="14" spans="2:3" x14ac:dyDescent="0.35">
      <c r="B14" s="87">
        <v>39464</v>
      </c>
      <c r="C14" s="22">
        <v>56.1</v>
      </c>
    </row>
    <row r="15" spans="2:3" x14ac:dyDescent="0.35">
      <c r="B15" s="87">
        <v>39465</v>
      </c>
      <c r="C15" s="22">
        <v>56.75</v>
      </c>
    </row>
    <row r="16" spans="2:3" x14ac:dyDescent="0.35">
      <c r="B16" s="87">
        <v>39468</v>
      </c>
      <c r="C16" s="22">
        <v>50.9</v>
      </c>
    </row>
    <row r="17" spans="2:3" x14ac:dyDescent="0.35">
      <c r="B17" s="87">
        <v>39469</v>
      </c>
      <c r="C17" s="22">
        <v>44.27</v>
      </c>
    </row>
    <row r="18" spans="2:3" x14ac:dyDescent="0.35">
      <c r="B18" s="87">
        <v>39470</v>
      </c>
      <c r="C18" s="22">
        <v>50.15</v>
      </c>
    </row>
    <row r="19" spans="2:3" x14ac:dyDescent="0.35">
      <c r="B19" s="87">
        <v>39471</v>
      </c>
      <c r="C19" s="22">
        <v>51</v>
      </c>
    </row>
    <row r="20" spans="2:3" x14ac:dyDescent="0.35">
      <c r="B20" s="87">
        <v>39472</v>
      </c>
      <c r="C20" s="22">
        <v>50.8</v>
      </c>
    </row>
    <row r="21" spans="2:3" x14ac:dyDescent="0.35">
      <c r="B21" s="87">
        <v>39475</v>
      </c>
      <c r="C21" s="22">
        <v>49.83</v>
      </c>
    </row>
    <row r="22" spans="2:3" x14ac:dyDescent="0.35">
      <c r="B22" s="87">
        <v>39476</v>
      </c>
      <c r="C22" s="22">
        <v>50.38</v>
      </c>
    </row>
    <row r="23" spans="2:3" x14ac:dyDescent="0.35">
      <c r="B23" s="87">
        <v>39477</v>
      </c>
      <c r="C23" s="22">
        <v>48.98</v>
      </c>
    </row>
    <row r="24" spans="2:3" x14ac:dyDescent="0.35">
      <c r="B24" s="87">
        <v>39478</v>
      </c>
      <c r="C24" s="22">
        <v>46.15</v>
      </c>
    </row>
    <row r="25" spans="2:3" x14ac:dyDescent="0.35">
      <c r="B25" s="87">
        <v>39479</v>
      </c>
      <c r="C25" s="22">
        <v>48.17</v>
      </c>
    </row>
    <row r="26" spans="2:3" x14ac:dyDescent="0.35">
      <c r="B26" s="87">
        <v>39482</v>
      </c>
      <c r="C26" s="22">
        <v>50.08</v>
      </c>
    </row>
    <row r="27" spans="2:3" x14ac:dyDescent="0.35">
      <c r="B27" s="87">
        <v>39483</v>
      </c>
      <c r="C27" s="22">
        <v>50.55</v>
      </c>
    </row>
    <row r="28" spans="2:3" x14ac:dyDescent="0.35">
      <c r="B28" s="87">
        <v>39484</v>
      </c>
      <c r="C28" s="22">
        <v>49.67</v>
      </c>
    </row>
    <row r="29" spans="2:3" x14ac:dyDescent="0.35">
      <c r="B29" s="87">
        <v>39485</v>
      </c>
      <c r="C29" s="22">
        <v>49.45</v>
      </c>
    </row>
    <row r="30" spans="2:3" x14ac:dyDescent="0.35">
      <c r="B30" s="87">
        <v>39486</v>
      </c>
      <c r="C30" s="22">
        <v>50.12</v>
      </c>
    </row>
    <row r="31" spans="2:3" x14ac:dyDescent="0.35">
      <c r="B31" s="87">
        <v>39489</v>
      </c>
      <c r="C31" s="22">
        <v>47.02</v>
      </c>
    </row>
    <row r="32" spans="2:3" x14ac:dyDescent="0.35">
      <c r="B32" s="87">
        <v>39490</v>
      </c>
      <c r="C32" s="22">
        <v>47.12</v>
      </c>
    </row>
    <row r="33" spans="2:3" x14ac:dyDescent="0.35">
      <c r="B33" s="87">
        <v>39491</v>
      </c>
      <c r="C33" s="22">
        <v>47.08</v>
      </c>
    </row>
    <row r="34" spans="2:3" x14ac:dyDescent="0.35">
      <c r="B34" s="87">
        <v>39492</v>
      </c>
      <c r="C34" s="22">
        <v>47.92</v>
      </c>
    </row>
    <row r="35" spans="2:3" x14ac:dyDescent="0.35">
      <c r="B35" s="87">
        <v>39493</v>
      </c>
      <c r="C35" s="22">
        <v>47.48</v>
      </c>
    </row>
    <row r="36" spans="2:3" x14ac:dyDescent="0.35">
      <c r="B36" s="87">
        <v>39496</v>
      </c>
      <c r="C36" s="22">
        <v>47.5</v>
      </c>
    </row>
    <row r="37" spans="2:3" x14ac:dyDescent="0.35">
      <c r="B37" s="87">
        <v>39497</v>
      </c>
      <c r="C37" s="22">
        <v>49.6</v>
      </c>
    </row>
    <row r="38" spans="2:3" x14ac:dyDescent="0.35">
      <c r="B38" s="87">
        <v>39498</v>
      </c>
      <c r="C38" s="22">
        <v>49.55</v>
      </c>
    </row>
    <row r="39" spans="2:3" x14ac:dyDescent="0.35">
      <c r="B39" s="87">
        <v>39499</v>
      </c>
      <c r="C39" s="22">
        <v>50.05</v>
      </c>
    </row>
    <row r="40" spans="2:3" x14ac:dyDescent="0.35">
      <c r="B40" s="87">
        <v>39500</v>
      </c>
      <c r="C40" s="22">
        <v>51.5</v>
      </c>
    </row>
    <row r="41" spans="2:3" x14ac:dyDescent="0.35">
      <c r="B41" s="87">
        <v>39503</v>
      </c>
      <c r="C41" s="22">
        <v>50.52</v>
      </c>
    </row>
    <row r="42" spans="2:3" x14ac:dyDescent="0.35">
      <c r="B42" s="87">
        <v>39504</v>
      </c>
      <c r="C42" s="22">
        <v>51.25</v>
      </c>
    </row>
    <row r="43" spans="2:3" x14ac:dyDescent="0.35">
      <c r="B43" s="87">
        <v>39505</v>
      </c>
      <c r="C43" s="22">
        <v>50.08</v>
      </c>
    </row>
    <row r="44" spans="2:3" x14ac:dyDescent="0.35">
      <c r="B44" s="87">
        <v>39506</v>
      </c>
      <c r="C44" s="22">
        <v>48.67</v>
      </c>
    </row>
    <row r="45" spans="2:3" x14ac:dyDescent="0.35">
      <c r="B45" s="87">
        <v>39507</v>
      </c>
      <c r="C45" s="22">
        <v>49.9</v>
      </c>
    </row>
    <row r="46" spans="2:3" x14ac:dyDescent="0.35">
      <c r="B46" s="87">
        <v>39510</v>
      </c>
      <c r="C46" s="22">
        <v>49.2</v>
      </c>
    </row>
    <row r="47" spans="2:3" x14ac:dyDescent="0.35">
      <c r="B47" s="87">
        <v>39511</v>
      </c>
      <c r="C47" s="22">
        <v>49.58</v>
      </c>
    </row>
    <row r="48" spans="2:3" x14ac:dyDescent="0.35">
      <c r="B48" s="87">
        <v>39512</v>
      </c>
      <c r="C48" s="22">
        <v>50.58</v>
      </c>
    </row>
    <row r="49" spans="2:3" x14ac:dyDescent="0.35">
      <c r="B49" s="87">
        <v>39514</v>
      </c>
      <c r="C49" s="22">
        <v>49.62</v>
      </c>
    </row>
    <row r="50" spans="2:3" x14ac:dyDescent="0.35">
      <c r="B50" s="87">
        <v>39517</v>
      </c>
      <c r="C50" s="22">
        <v>49.55</v>
      </c>
    </row>
    <row r="51" spans="2:3" x14ac:dyDescent="0.35">
      <c r="B51" s="87">
        <v>39518</v>
      </c>
      <c r="C51" s="22">
        <v>50.05</v>
      </c>
    </row>
    <row r="52" spans="2:3" x14ac:dyDescent="0.35">
      <c r="B52" s="87">
        <v>39519</v>
      </c>
      <c r="C52" s="22">
        <v>50.75</v>
      </c>
    </row>
    <row r="53" spans="2:3" x14ac:dyDescent="0.35">
      <c r="B53" s="87">
        <v>39520</v>
      </c>
      <c r="C53" s="22">
        <v>49.02</v>
      </c>
    </row>
    <row r="54" spans="2:3" x14ac:dyDescent="0.35">
      <c r="B54" s="87">
        <v>39521</v>
      </c>
      <c r="C54" s="22">
        <v>49.17</v>
      </c>
    </row>
    <row r="55" spans="2:3" x14ac:dyDescent="0.35">
      <c r="B55" s="87">
        <v>39524</v>
      </c>
      <c r="C55" s="22">
        <v>47.67</v>
      </c>
    </row>
    <row r="56" spans="2:3" x14ac:dyDescent="0.35">
      <c r="B56" s="87">
        <v>39525</v>
      </c>
      <c r="C56" s="22">
        <v>48.58</v>
      </c>
    </row>
    <row r="57" spans="2:3" x14ac:dyDescent="0.35">
      <c r="B57" s="87">
        <v>39526</v>
      </c>
      <c r="C57" s="22">
        <v>47.55</v>
      </c>
    </row>
    <row r="58" spans="2:3" x14ac:dyDescent="0.35">
      <c r="B58" s="87">
        <v>39531</v>
      </c>
      <c r="C58" s="22">
        <v>48.6</v>
      </c>
    </row>
    <row r="59" spans="2:3" x14ac:dyDescent="0.35">
      <c r="B59" s="87">
        <v>39532</v>
      </c>
      <c r="C59" s="22">
        <v>51.12</v>
      </c>
    </row>
    <row r="60" spans="2:3" x14ac:dyDescent="0.35">
      <c r="B60" s="87">
        <v>39533</v>
      </c>
      <c r="C60" s="22">
        <v>53.27</v>
      </c>
    </row>
    <row r="61" spans="2:3" x14ac:dyDescent="0.35">
      <c r="B61" s="87">
        <v>39534</v>
      </c>
      <c r="C61" s="22">
        <v>52.55</v>
      </c>
    </row>
    <row r="62" spans="2:3" x14ac:dyDescent="0.35">
      <c r="B62" s="87">
        <v>39535</v>
      </c>
      <c r="C62" s="22">
        <v>54.1</v>
      </c>
    </row>
    <row r="63" spans="2:3" x14ac:dyDescent="0.35">
      <c r="B63" s="87">
        <v>39538</v>
      </c>
      <c r="C63" s="22">
        <v>55.4</v>
      </c>
    </row>
    <row r="64" spans="2:3" x14ac:dyDescent="0.35">
      <c r="B64" s="87">
        <v>39539</v>
      </c>
      <c r="C64" s="22">
        <v>53.33</v>
      </c>
    </row>
    <row r="65" spans="2:3" x14ac:dyDescent="0.35">
      <c r="B65" s="87">
        <v>39540</v>
      </c>
      <c r="C65" s="22">
        <v>53.02</v>
      </c>
    </row>
    <row r="66" spans="2:3" x14ac:dyDescent="0.35">
      <c r="B66" s="87">
        <v>39541</v>
      </c>
      <c r="C66" s="22">
        <v>52.08</v>
      </c>
    </row>
    <row r="67" spans="2:3" x14ac:dyDescent="0.35">
      <c r="B67" s="87">
        <v>39542</v>
      </c>
      <c r="C67" s="22">
        <v>52.48</v>
      </c>
    </row>
    <row r="68" spans="2:3" x14ac:dyDescent="0.35">
      <c r="B68" s="87">
        <v>39545</v>
      </c>
      <c r="C68" s="22">
        <v>55.08</v>
      </c>
    </row>
    <row r="69" spans="2:3" x14ac:dyDescent="0.35">
      <c r="B69" s="87">
        <v>39546</v>
      </c>
      <c r="C69" s="22">
        <v>55.23</v>
      </c>
    </row>
    <row r="70" spans="2:3" x14ac:dyDescent="0.35">
      <c r="B70" s="87">
        <v>39547</v>
      </c>
      <c r="C70" s="22">
        <v>54.23</v>
      </c>
    </row>
    <row r="71" spans="2:3" x14ac:dyDescent="0.35">
      <c r="B71" s="87">
        <v>39548</v>
      </c>
      <c r="C71" s="22">
        <v>53.27</v>
      </c>
    </row>
    <row r="72" spans="2:3" x14ac:dyDescent="0.35">
      <c r="B72" s="87">
        <v>39549</v>
      </c>
      <c r="C72" s="22">
        <v>52.92</v>
      </c>
    </row>
    <row r="73" spans="2:3" x14ac:dyDescent="0.35">
      <c r="B73" s="87">
        <v>39553</v>
      </c>
      <c r="C73" s="22">
        <v>53.38</v>
      </c>
    </row>
    <row r="74" spans="2:3" x14ac:dyDescent="0.35">
      <c r="B74" s="87">
        <v>39554</v>
      </c>
      <c r="C74" s="22">
        <v>53.42</v>
      </c>
    </row>
    <row r="75" spans="2:3" x14ac:dyDescent="0.35">
      <c r="B75" s="87">
        <v>39555</v>
      </c>
      <c r="C75" s="22">
        <v>54.77</v>
      </c>
    </row>
    <row r="76" spans="2:3" x14ac:dyDescent="0.35">
      <c r="B76" s="87">
        <v>39559</v>
      </c>
      <c r="C76" s="22">
        <v>56.65</v>
      </c>
    </row>
    <row r="77" spans="2:3" x14ac:dyDescent="0.35">
      <c r="B77" s="87">
        <v>39560</v>
      </c>
      <c r="C77" s="22">
        <v>54.12</v>
      </c>
    </row>
    <row r="78" spans="2:3" x14ac:dyDescent="0.35">
      <c r="B78" s="87">
        <v>39561</v>
      </c>
      <c r="C78" s="22">
        <v>52.73</v>
      </c>
    </row>
    <row r="79" spans="2:3" x14ac:dyDescent="0.35">
      <c r="B79" s="87">
        <v>39562</v>
      </c>
      <c r="C79" s="22">
        <v>52.85</v>
      </c>
    </row>
    <row r="80" spans="2:3" x14ac:dyDescent="0.35">
      <c r="B80" s="87">
        <v>39563</v>
      </c>
      <c r="C80" s="22">
        <v>53.48</v>
      </c>
    </row>
    <row r="81" spans="2:3" x14ac:dyDescent="0.35">
      <c r="B81" s="87">
        <v>39566</v>
      </c>
      <c r="C81" s="22">
        <v>52.62</v>
      </c>
    </row>
    <row r="82" spans="2:3" x14ac:dyDescent="0.35">
      <c r="B82" s="87">
        <v>39567</v>
      </c>
      <c r="C82" s="22">
        <v>53.2</v>
      </c>
    </row>
    <row r="83" spans="2:3" x14ac:dyDescent="0.35">
      <c r="B83" s="87">
        <v>39568</v>
      </c>
      <c r="C83" s="22">
        <v>53.42</v>
      </c>
    </row>
    <row r="84" spans="2:3" x14ac:dyDescent="0.35">
      <c r="B84" s="87">
        <v>39570</v>
      </c>
      <c r="C84" s="22">
        <v>53.88</v>
      </c>
    </row>
    <row r="85" spans="2:3" x14ac:dyDescent="0.35">
      <c r="B85" s="87">
        <v>39573</v>
      </c>
      <c r="C85" s="22">
        <v>54</v>
      </c>
    </row>
    <row r="86" spans="2:3" x14ac:dyDescent="0.35">
      <c r="B86" s="87">
        <v>39574</v>
      </c>
      <c r="C86" s="22">
        <v>54.95</v>
      </c>
    </row>
    <row r="87" spans="2:3" x14ac:dyDescent="0.35">
      <c r="B87" s="87">
        <v>39575</v>
      </c>
      <c r="C87" s="22">
        <v>53.45</v>
      </c>
    </row>
    <row r="88" spans="2:3" x14ac:dyDescent="0.35">
      <c r="B88" s="87">
        <v>39576</v>
      </c>
      <c r="C88" s="22">
        <v>52.3</v>
      </c>
    </row>
    <row r="89" spans="2:3" x14ac:dyDescent="0.35">
      <c r="B89" s="87">
        <v>39577</v>
      </c>
      <c r="C89" s="22">
        <v>50.27</v>
      </c>
    </row>
    <row r="90" spans="2:3" x14ac:dyDescent="0.35">
      <c r="B90" s="87">
        <v>39580</v>
      </c>
      <c r="C90" s="22">
        <v>50.2</v>
      </c>
    </row>
    <row r="91" spans="2:3" x14ac:dyDescent="0.35">
      <c r="B91" s="87">
        <v>39581</v>
      </c>
      <c r="C91" s="22">
        <v>49.65</v>
      </c>
    </row>
    <row r="92" spans="2:3" x14ac:dyDescent="0.35">
      <c r="B92" s="87">
        <v>39582</v>
      </c>
      <c r="C92" s="22">
        <v>49.83</v>
      </c>
    </row>
    <row r="93" spans="2:3" x14ac:dyDescent="0.35">
      <c r="B93" s="87">
        <v>39583</v>
      </c>
      <c r="C93" s="22">
        <v>49.65</v>
      </c>
    </row>
    <row r="94" spans="2:3" x14ac:dyDescent="0.35">
      <c r="B94" s="87">
        <v>39584</v>
      </c>
      <c r="C94" s="22">
        <v>49.52</v>
      </c>
    </row>
    <row r="95" spans="2:3" x14ac:dyDescent="0.35">
      <c r="B95" s="87">
        <v>39588</v>
      </c>
      <c r="C95" s="22">
        <v>48.8</v>
      </c>
    </row>
    <row r="96" spans="2:3" x14ac:dyDescent="0.35">
      <c r="B96" s="87">
        <v>39589</v>
      </c>
      <c r="C96" s="22">
        <v>48.8</v>
      </c>
    </row>
    <row r="97" spans="2:3" x14ac:dyDescent="0.35">
      <c r="B97" s="87">
        <v>39590</v>
      </c>
      <c r="C97" s="22">
        <v>48.23</v>
      </c>
    </row>
    <row r="98" spans="2:3" x14ac:dyDescent="0.35">
      <c r="B98" s="87">
        <v>39591</v>
      </c>
      <c r="C98" s="22">
        <v>47.25</v>
      </c>
    </row>
    <row r="99" spans="2:3" x14ac:dyDescent="0.35">
      <c r="B99" s="87">
        <v>39594</v>
      </c>
      <c r="C99" s="22">
        <v>46.02</v>
      </c>
    </row>
    <row r="100" spans="2:3" x14ac:dyDescent="0.35">
      <c r="B100" s="87">
        <v>39595</v>
      </c>
      <c r="C100" s="22">
        <v>46.1</v>
      </c>
    </row>
    <row r="101" spans="2:3" x14ac:dyDescent="0.35">
      <c r="B101" s="87">
        <v>39596</v>
      </c>
      <c r="C101" s="22">
        <v>47.5</v>
      </c>
    </row>
    <row r="102" spans="2:3" x14ac:dyDescent="0.35">
      <c r="B102" s="87">
        <v>39597</v>
      </c>
      <c r="C102" s="22">
        <v>47.52</v>
      </c>
    </row>
    <row r="103" spans="2:3" x14ac:dyDescent="0.35">
      <c r="B103" s="87">
        <v>39598</v>
      </c>
      <c r="C103" s="22">
        <v>48.52</v>
      </c>
    </row>
    <row r="104" spans="2:3" x14ac:dyDescent="0.35">
      <c r="B104" s="87">
        <v>39601</v>
      </c>
      <c r="C104" s="22">
        <v>48.27</v>
      </c>
    </row>
    <row r="105" spans="2:3" x14ac:dyDescent="0.35">
      <c r="B105" s="87">
        <v>39602</v>
      </c>
      <c r="C105" s="22">
        <v>47.55</v>
      </c>
    </row>
    <row r="106" spans="2:3" x14ac:dyDescent="0.35">
      <c r="B106" s="87">
        <v>39603</v>
      </c>
      <c r="C106" s="22">
        <v>48.08</v>
      </c>
    </row>
    <row r="107" spans="2:3" x14ac:dyDescent="0.35">
      <c r="B107" s="87">
        <v>39604</v>
      </c>
      <c r="C107" s="22">
        <v>48.15</v>
      </c>
    </row>
    <row r="108" spans="2:3" x14ac:dyDescent="0.35">
      <c r="B108" s="87">
        <v>39605</v>
      </c>
      <c r="C108" s="22">
        <v>48.02</v>
      </c>
    </row>
    <row r="109" spans="2:3" x14ac:dyDescent="0.35">
      <c r="B109" s="87">
        <v>39608</v>
      </c>
      <c r="C109" s="22">
        <v>48.4</v>
      </c>
    </row>
    <row r="110" spans="2:3" x14ac:dyDescent="0.35">
      <c r="B110" s="87">
        <v>39609</v>
      </c>
      <c r="C110" s="22">
        <v>48.42</v>
      </c>
    </row>
    <row r="111" spans="2:3" x14ac:dyDescent="0.35">
      <c r="B111" s="87">
        <v>39610</v>
      </c>
      <c r="C111" s="22">
        <v>49.1</v>
      </c>
    </row>
    <row r="112" spans="2:3" x14ac:dyDescent="0.35">
      <c r="B112" s="87">
        <v>39611</v>
      </c>
      <c r="C112" s="22">
        <v>49.6</v>
      </c>
    </row>
    <row r="113" spans="2:3" x14ac:dyDescent="0.35">
      <c r="B113" s="87">
        <v>39612</v>
      </c>
      <c r="C113" s="22">
        <v>49.58</v>
      </c>
    </row>
    <row r="114" spans="2:3" x14ac:dyDescent="0.35">
      <c r="B114" s="87">
        <v>39615</v>
      </c>
      <c r="C114" s="22">
        <v>49.67</v>
      </c>
    </row>
    <row r="115" spans="2:3" x14ac:dyDescent="0.35">
      <c r="B115" s="87">
        <v>39616</v>
      </c>
      <c r="C115" s="22">
        <v>49.7</v>
      </c>
    </row>
    <row r="116" spans="2:3" x14ac:dyDescent="0.35">
      <c r="B116" s="87">
        <v>39617</v>
      </c>
      <c r="C116" s="22">
        <v>49.73</v>
      </c>
    </row>
    <row r="117" spans="2:3" x14ac:dyDescent="0.35">
      <c r="B117" s="87">
        <v>39618</v>
      </c>
      <c r="C117" s="22">
        <v>48.55</v>
      </c>
    </row>
    <row r="118" spans="2:3" x14ac:dyDescent="0.35">
      <c r="B118" s="87">
        <v>39619</v>
      </c>
      <c r="C118" s="22">
        <v>47.9</v>
      </c>
    </row>
    <row r="119" spans="2:3" x14ac:dyDescent="0.35">
      <c r="B119" s="87">
        <v>39622</v>
      </c>
      <c r="C119" s="22">
        <v>46</v>
      </c>
    </row>
    <row r="120" spans="2:3" x14ac:dyDescent="0.35">
      <c r="B120" s="87">
        <v>39623</v>
      </c>
      <c r="C120" s="22">
        <v>44.3</v>
      </c>
    </row>
    <row r="121" spans="2:3" x14ac:dyDescent="0.35">
      <c r="B121" s="87">
        <v>39624</v>
      </c>
      <c r="C121" s="22">
        <v>43.9</v>
      </c>
    </row>
    <row r="122" spans="2:3" x14ac:dyDescent="0.35">
      <c r="B122" s="87">
        <v>39625</v>
      </c>
      <c r="C122" s="22">
        <v>43.65</v>
      </c>
    </row>
    <row r="123" spans="2:3" x14ac:dyDescent="0.35">
      <c r="B123" s="87">
        <v>39626</v>
      </c>
      <c r="C123" s="22">
        <v>41.35</v>
      </c>
    </row>
    <row r="124" spans="2:3" x14ac:dyDescent="0.35">
      <c r="B124" s="87">
        <v>39629</v>
      </c>
      <c r="C124" s="22">
        <v>39.520000000000003</v>
      </c>
    </row>
    <row r="125" spans="2:3" x14ac:dyDescent="0.35">
      <c r="B125" s="87">
        <v>39630</v>
      </c>
      <c r="C125" s="22">
        <v>39.479999999999997</v>
      </c>
    </row>
    <row r="126" spans="2:3" x14ac:dyDescent="0.35">
      <c r="B126" s="87">
        <v>39631</v>
      </c>
      <c r="C126" s="22">
        <v>40.450000000000003</v>
      </c>
    </row>
    <row r="127" spans="2:3" x14ac:dyDescent="0.35">
      <c r="B127" s="87">
        <v>39632</v>
      </c>
      <c r="C127" s="22">
        <v>37.799999999999997</v>
      </c>
    </row>
    <row r="128" spans="2:3" x14ac:dyDescent="0.35">
      <c r="B128" s="87">
        <v>39633</v>
      </c>
      <c r="C128" s="22">
        <v>38.880000000000003</v>
      </c>
    </row>
    <row r="129" spans="2:3" x14ac:dyDescent="0.35">
      <c r="B129" s="87">
        <v>39636</v>
      </c>
      <c r="C129" s="22">
        <v>40.58</v>
      </c>
    </row>
    <row r="130" spans="2:3" x14ac:dyDescent="0.35">
      <c r="B130" s="87">
        <v>39637</v>
      </c>
      <c r="C130" s="22">
        <v>40.450000000000003</v>
      </c>
    </row>
    <row r="131" spans="2:3" x14ac:dyDescent="0.35">
      <c r="B131" s="87">
        <v>39638</v>
      </c>
      <c r="C131" s="22">
        <v>42.08</v>
      </c>
    </row>
    <row r="132" spans="2:3" x14ac:dyDescent="0.35">
      <c r="B132" s="87">
        <v>39639</v>
      </c>
      <c r="C132" s="22">
        <v>45.27</v>
      </c>
    </row>
    <row r="133" spans="2:3" x14ac:dyDescent="0.35">
      <c r="B133" s="87">
        <v>39640</v>
      </c>
      <c r="C133" s="22">
        <v>47.33</v>
      </c>
    </row>
    <row r="134" spans="2:3" x14ac:dyDescent="0.35">
      <c r="B134" s="87">
        <v>39643</v>
      </c>
      <c r="C134" s="22">
        <v>47.02</v>
      </c>
    </row>
    <row r="135" spans="2:3" x14ac:dyDescent="0.35">
      <c r="B135" s="87">
        <v>39644</v>
      </c>
      <c r="C135" s="22">
        <v>46.67</v>
      </c>
    </row>
    <row r="136" spans="2:3" x14ac:dyDescent="0.35">
      <c r="B136" s="87">
        <v>39645</v>
      </c>
      <c r="C136" s="22">
        <v>44.73</v>
      </c>
    </row>
    <row r="137" spans="2:3" x14ac:dyDescent="0.35">
      <c r="B137" s="87">
        <v>39646</v>
      </c>
      <c r="C137" s="22">
        <v>44</v>
      </c>
    </row>
    <row r="138" spans="2:3" x14ac:dyDescent="0.35">
      <c r="B138" s="87">
        <v>39647</v>
      </c>
      <c r="C138" s="22">
        <v>44.45</v>
      </c>
    </row>
    <row r="139" spans="2:3" x14ac:dyDescent="0.35">
      <c r="B139" s="87">
        <v>39650</v>
      </c>
      <c r="C139" s="22">
        <v>44.85</v>
      </c>
    </row>
    <row r="140" spans="2:3" x14ac:dyDescent="0.35">
      <c r="B140" s="87">
        <v>39651</v>
      </c>
      <c r="C140" s="22">
        <v>45.08</v>
      </c>
    </row>
    <row r="141" spans="2:3" x14ac:dyDescent="0.35">
      <c r="B141" s="87">
        <v>39652</v>
      </c>
      <c r="C141" s="22">
        <v>45.88</v>
      </c>
    </row>
    <row r="142" spans="2:3" x14ac:dyDescent="0.35">
      <c r="B142" s="87">
        <v>39653</v>
      </c>
      <c r="C142" s="22">
        <v>45.33</v>
      </c>
    </row>
    <row r="143" spans="2:3" x14ac:dyDescent="0.35">
      <c r="B143" s="87">
        <v>39654</v>
      </c>
      <c r="C143" s="22">
        <v>46.08</v>
      </c>
    </row>
    <row r="144" spans="2:3" x14ac:dyDescent="0.35">
      <c r="B144" s="87">
        <v>39657</v>
      </c>
      <c r="C144" s="22">
        <v>46.42</v>
      </c>
    </row>
    <row r="145" spans="2:3" x14ac:dyDescent="0.35">
      <c r="B145" s="87">
        <v>39658</v>
      </c>
      <c r="C145" s="22">
        <v>44.62</v>
      </c>
    </row>
    <row r="146" spans="2:3" x14ac:dyDescent="0.35">
      <c r="B146" s="87">
        <v>39659</v>
      </c>
      <c r="C146" s="22">
        <v>45.42</v>
      </c>
    </row>
    <row r="147" spans="2:3" x14ac:dyDescent="0.35">
      <c r="B147" s="87">
        <v>39660</v>
      </c>
      <c r="C147" s="22">
        <v>45.2</v>
      </c>
    </row>
    <row r="148" spans="2:3" x14ac:dyDescent="0.35">
      <c r="B148" s="87">
        <v>39661</v>
      </c>
      <c r="C148" s="22">
        <v>45.2</v>
      </c>
    </row>
    <row r="149" spans="2:3" x14ac:dyDescent="0.35">
      <c r="B149" s="87">
        <v>39664</v>
      </c>
      <c r="C149" s="22">
        <v>45.92</v>
      </c>
    </row>
    <row r="150" spans="2:3" x14ac:dyDescent="0.35">
      <c r="B150" s="87">
        <v>39665</v>
      </c>
      <c r="C150" s="22">
        <v>46.02</v>
      </c>
    </row>
    <row r="151" spans="2:3" x14ac:dyDescent="0.35">
      <c r="B151" s="87">
        <v>39666</v>
      </c>
      <c r="C151" s="22">
        <v>45.02</v>
      </c>
    </row>
    <row r="152" spans="2:3" x14ac:dyDescent="0.35">
      <c r="B152" s="87">
        <v>39667</v>
      </c>
      <c r="C152" s="22">
        <v>45.02</v>
      </c>
    </row>
    <row r="153" spans="2:3" x14ac:dyDescent="0.35">
      <c r="B153" s="87">
        <v>39668</v>
      </c>
      <c r="C153" s="22">
        <v>45.02</v>
      </c>
    </row>
    <row r="154" spans="2:3" x14ac:dyDescent="0.35">
      <c r="B154" s="87">
        <v>39671</v>
      </c>
      <c r="C154" s="22">
        <v>45.73</v>
      </c>
    </row>
    <row r="155" spans="2:3" x14ac:dyDescent="0.35">
      <c r="B155" s="87">
        <v>39672</v>
      </c>
      <c r="C155" s="22">
        <v>45.4</v>
      </c>
    </row>
    <row r="156" spans="2:3" x14ac:dyDescent="0.35">
      <c r="B156" s="87">
        <v>39673</v>
      </c>
      <c r="C156" s="22">
        <v>45.38</v>
      </c>
    </row>
    <row r="157" spans="2:3" x14ac:dyDescent="0.35">
      <c r="B157" s="87">
        <v>39674</v>
      </c>
      <c r="C157" s="22">
        <v>45.5</v>
      </c>
    </row>
    <row r="158" spans="2:3" x14ac:dyDescent="0.35">
      <c r="B158" s="87">
        <v>39678</v>
      </c>
      <c r="C158" s="22">
        <v>46.77</v>
      </c>
    </row>
    <row r="159" spans="2:3" x14ac:dyDescent="0.35">
      <c r="B159" s="87">
        <v>39679</v>
      </c>
      <c r="C159" s="22">
        <v>44.92</v>
      </c>
    </row>
    <row r="160" spans="2:3" x14ac:dyDescent="0.35">
      <c r="B160" s="87">
        <v>39680</v>
      </c>
      <c r="C160" s="22">
        <v>45.6</v>
      </c>
    </row>
    <row r="161" spans="2:3" x14ac:dyDescent="0.35">
      <c r="B161" s="87">
        <v>39681</v>
      </c>
      <c r="C161" s="22">
        <v>44.02</v>
      </c>
    </row>
    <row r="162" spans="2:3" x14ac:dyDescent="0.35">
      <c r="B162" s="87">
        <v>39682</v>
      </c>
      <c r="C162" s="22">
        <v>44.7</v>
      </c>
    </row>
    <row r="163" spans="2:3" x14ac:dyDescent="0.35">
      <c r="B163" s="87">
        <v>39685</v>
      </c>
      <c r="C163" s="22">
        <v>45</v>
      </c>
    </row>
    <row r="164" spans="2:3" x14ac:dyDescent="0.35">
      <c r="B164" s="87">
        <v>39686</v>
      </c>
      <c r="C164" s="22">
        <v>45.48</v>
      </c>
    </row>
    <row r="165" spans="2:3" x14ac:dyDescent="0.35">
      <c r="B165" s="87">
        <v>39687</v>
      </c>
      <c r="C165" s="22">
        <v>45.17</v>
      </c>
    </row>
    <row r="166" spans="2:3" x14ac:dyDescent="0.35">
      <c r="B166" s="87">
        <v>39688</v>
      </c>
      <c r="C166" s="22">
        <v>45.17</v>
      </c>
    </row>
    <row r="167" spans="2:3" x14ac:dyDescent="0.35">
      <c r="B167" s="87">
        <v>39689</v>
      </c>
      <c r="C167" s="22">
        <v>45.73</v>
      </c>
    </row>
    <row r="168" spans="2:3" x14ac:dyDescent="0.35">
      <c r="B168" s="87">
        <v>39692</v>
      </c>
      <c r="C168" s="22">
        <v>46.6</v>
      </c>
    </row>
    <row r="169" spans="2:3" x14ac:dyDescent="0.35">
      <c r="B169" s="87">
        <v>39693</v>
      </c>
      <c r="C169" s="22">
        <v>48.6</v>
      </c>
    </row>
    <row r="170" spans="2:3" x14ac:dyDescent="0.35">
      <c r="B170" s="87">
        <v>39695</v>
      </c>
      <c r="C170" s="22">
        <v>48.23</v>
      </c>
    </row>
    <row r="171" spans="2:3" x14ac:dyDescent="0.35">
      <c r="B171" s="87">
        <v>39696</v>
      </c>
      <c r="C171" s="22">
        <v>48.3</v>
      </c>
    </row>
    <row r="172" spans="2:3" x14ac:dyDescent="0.35">
      <c r="B172" s="87">
        <v>39699</v>
      </c>
      <c r="C172" s="22">
        <v>48.05</v>
      </c>
    </row>
    <row r="173" spans="2:3" x14ac:dyDescent="0.35">
      <c r="B173" s="87">
        <v>39700</v>
      </c>
      <c r="C173" s="22">
        <v>47.48</v>
      </c>
    </row>
    <row r="174" spans="2:3" x14ac:dyDescent="0.35">
      <c r="B174" s="87">
        <v>39701</v>
      </c>
      <c r="C174" s="22">
        <v>46.27</v>
      </c>
    </row>
    <row r="175" spans="2:3" x14ac:dyDescent="0.35">
      <c r="B175" s="87">
        <v>39702</v>
      </c>
      <c r="C175" s="22">
        <v>44.98</v>
      </c>
    </row>
    <row r="176" spans="2:3" x14ac:dyDescent="0.35">
      <c r="B176" s="87">
        <v>39703</v>
      </c>
      <c r="C176" s="22">
        <v>44.9</v>
      </c>
    </row>
    <row r="177" spans="2:3" x14ac:dyDescent="0.35">
      <c r="B177" s="87">
        <v>39706</v>
      </c>
      <c r="C177" s="22">
        <v>45.08</v>
      </c>
    </row>
    <row r="178" spans="2:3" x14ac:dyDescent="0.35">
      <c r="B178" s="87">
        <v>39707</v>
      </c>
      <c r="C178" s="22">
        <v>44.35</v>
      </c>
    </row>
    <row r="179" spans="2:3" x14ac:dyDescent="0.35">
      <c r="B179" s="87">
        <v>39708</v>
      </c>
      <c r="C179" s="22">
        <v>44.73</v>
      </c>
    </row>
    <row r="180" spans="2:3" x14ac:dyDescent="0.35">
      <c r="B180" s="87">
        <v>39709</v>
      </c>
      <c r="C180" s="22">
        <v>43.5</v>
      </c>
    </row>
    <row r="181" spans="2:3" x14ac:dyDescent="0.35">
      <c r="B181" s="87">
        <v>39710</v>
      </c>
      <c r="C181" s="22">
        <v>44.45</v>
      </c>
    </row>
    <row r="182" spans="2:3" x14ac:dyDescent="0.35">
      <c r="B182" s="87">
        <v>39713</v>
      </c>
      <c r="C182" s="22">
        <v>45.48</v>
      </c>
    </row>
    <row r="183" spans="2:3" x14ac:dyDescent="0.35">
      <c r="B183" s="87">
        <v>39714</v>
      </c>
      <c r="C183" s="22">
        <v>43.67</v>
      </c>
    </row>
    <row r="184" spans="2:3" x14ac:dyDescent="0.35">
      <c r="B184" s="87">
        <v>39715</v>
      </c>
      <c r="C184" s="22">
        <v>44.27</v>
      </c>
    </row>
    <row r="185" spans="2:3" x14ac:dyDescent="0.35">
      <c r="B185" s="87">
        <v>39716</v>
      </c>
      <c r="C185" s="22">
        <v>43.7</v>
      </c>
    </row>
    <row r="186" spans="2:3" x14ac:dyDescent="0.35">
      <c r="B186" s="87">
        <v>39717</v>
      </c>
      <c r="C186" s="22">
        <v>44.48</v>
      </c>
    </row>
    <row r="187" spans="2:3" x14ac:dyDescent="0.35">
      <c r="B187" s="87">
        <v>39720</v>
      </c>
      <c r="C187" s="22">
        <v>43.95</v>
      </c>
    </row>
    <row r="188" spans="2:3" x14ac:dyDescent="0.35">
      <c r="B188" s="87">
        <v>39721</v>
      </c>
      <c r="C188" s="22">
        <v>45.55</v>
      </c>
    </row>
    <row r="189" spans="2:3" x14ac:dyDescent="0.35">
      <c r="B189" s="87">
        <v>39722</v>
      </c>
      <c r="C189" s="22">
        <v>44.83</v>
      </c>
    </row>
    <row r="190" spans="2:3" x14ac:dyDescent="0.35">
      <c r="B190" s="87">
        <v>39724</v>
      </c>
      <c r="C190" s="22">
        <v>45.02</v>
      </c>
    </row>
    <row r="191" spans="2:3" x14ac:dyDescent="0.35">
      <c r="B191" s="87">
        <v>39727</v>
      </c>
      <c r="C191" s="22">
        <v>44.1</v>
      </c>
    </row>
    <row r="192" spans="2:3" x14ac:dyDescent="0.35">
      <c r="B192" s="87">
        <v>39728</v>
      </c>
      <c r="C192" s="22">
        <v>43.55</v>
      </c>
    </row>
    <row r="193" spans="2:3" x14ac:dyDescent="0.35">
      <c r="B193" s="87">
        <v>39729</v>
      </c>
      <c r="C193" s="22">
        <v>43.12</v>
      </c>
    </row>
    <row r="194" spans="2:3" x14ac:dyDescent="0.35">
      <c r="B194" s="87">
        <v>39731</v>
      </c>
      <c r="C194" s="22">
        <v>39.799999999999997</v>
      </c>
    </row>
    <row r="195" spans="2:3" x14ac:dyDescent="0.35">
      <c r="B195" s="87">
        <v>39734</v>
      </c>
      <c r="C195" s="22">
        <v>39.270000000000003</v>
      </c>
    </row>
    <row r="196" spans="2:3" x14ac:dyDescent="0.35">
      <c r="B196" s="87">
        <v>39735</v>
      </c>
      <c r="C196" s="22">
        <v>39.229999999999997</v>
      </c>
    </row>
    <row r="197" spans="2:3" x14ac:dyDescent="0.35">
      <c r="B197" s="87">
        <v>39736</v>
      </c>
      <c r="C197" s="22">
        <v>39.119999999999997</v>
      </c>
    </row>
    <row r="198" spans="2:3" x14ac:dyDescent="0.35">
      <c r="B198" s="87">
        <v>39737</v>
      </c>
      <c r="C198" s="22">
        <v>39.950000000000003</v>
      </c>
    </row>
    <row r="199" spans="2:3" x14ac:dyDescent="0.35">
      <c r="B199" s="87">
        <v>39738</v>
      </c>
      <c r="C199" s="22">
        <v>40.5</v>
      </c>
    </row>
    <row r="200" spans="2:3" x14ac:dyDescent="0.35">
      <c r="B200" s="87">
        <v>39741</v>
      </c>
      <c r="C200" s="22">
        <v>40.1</v>
      </c>
    </row>
    <row r="201" spans="2:3" x14ac:dyDescent="0.35">
      <c r="B201" s="87">
        <v>39742</v>
      </c>
      <c r="C201" s="22">
        <v>39.950000000000003</v>
      </c>
    </row>
    <row r="202" spans="2:3" x14ac:dyDescent="0.35">
      <c r="B202" s="87">
        <v>39743</v>
      </c>
      <c r="C202" s="22">
        <v>39.729999999999997</v>
      </c>
    </row>
    <row r="203" spans="2:3" x14ac:dyDescent="0.35">
      <c r="B203" s="87">
        <v>39744</v>
      </c>
      <c r="C203" s="22">
        <v>39.92</v>
      </c>
    </row>
    <row r="204" spans="2:3" x14ac:dyDescent="0.35">
      <c r="B204" s="87">
        <v>39745</v>
      </c>
      <c r="C204" s="22">
        <v>35.85</v>
      </c>
    </row>
    <row r="205" spans="2:3" x14ac:dyDescent="0.35">
      <c r="B205" s="87">
        <v>39748</v>
      </c>
      <c r="C205" s="22">
        <v>33.33</v>
      </c>
    </row>
    <row r="206" spans="2:3" x14ac:dyDescent="0.35">
      <c r="B206" s="87">
        <v>39749</v>
      </c>
      <c r="C206" s="22">
        <v>34.799999999999997</v>
      </c>
    </row>
    <row r="207" spans="2:3" x14ac:dyDescent="0.35">
      <c r="B207" s="87">
        <v>39750</v>
      </c>
      <c r="C207" s="22">
        <v>33.950000000000003</v>
      </c>
    </row>
    <row r="208" spans="2:3" x14ac:dyDescent="0.35">
      <c r="B208" s="87">
        <v>39752</v>
      </c>
      <c r="C208" s="22">
        <v>40.799999999999997</v>
      </c>
    </row>
    <row r="209" spans="2:3" x14ac:dyDescent="0.35">
      <c r="B209" s="87">
        <v>39755</v>
      </c>
      <c r="C209" s="22">
        <v>41.17</v>
      </c>
    </row>
    <row r="210" spans="2:3" x14ac:dyDescent="0.35">
      <c r="B210" s="87">
        <v>39756</v>
      </c>
      <c r="C210" s="22">
        <v>43.75</v>
      </c>
    </row>
    <row r="211" spans="2:3" x14ac:dyDescent="0.35">
      <c r="B211" s="87">
        <v>39757</v>
      </c>
      <c r="C211" s="22">
        <v>44.27</v>
      </c>
    </row>
    <row r="212" spans="2:3" x14ac:dyDescent="0.35">
      <c r="B212" s="87">
        <v>39758</v>
      </c>
      <c r="C212" s="22">
        <v>43.83</v>
      </c>
    </row>
    <row r="213" spans="2:3" x14ac:dyDescent="0.35">
      <c r="B213" s="87">
        <v>39759</v>
      </c>
      <c r="C213" s="22">
        <v>43.05</v>
      </c>
    </row>
    <row r="214" spans="2:3" x14ac:dyDescent="0.35">
      <c r="B214" s="87">
        <v>39762</v>
      </c>
      <c r="C214" s="22">
        <v>45.2</v>
      </c>
    </row>
    <row r="215" spans="2:3" x14ac:dyDescent="0.35">
      <c r="B215" s="87">
        <v>39763</v>
      </c>
      <c r="C215" s="22">
        <v>42.65</v>
      </c>
    </row>
    <row r="216" spans="2:3" x14ac:dyDescent="0.35">
      <c r="B216" s="87">
        <v>39764</v>
      </c>
      <c r="C216" s="22">
        <v>42.83</v>
      </c>
    </row>
    <row r="217" spans="2:3" x14ac:dyDescent="0.35">
      <c r="B217" s="87">
        <v>39766</v>
      </c>
      <c r="C217" s="22">
        <v>42.67</v>
      </c>
    </row>
    <row r="218" spans="2:3" x14ac:dyDescent="0.35">
      <c r="B218" s="87">
        <v>39769</v>
      </c>
      <c r="C218" s="22">
        <v>41.48</v>
      </c>
    </row>
    <row r="219" spans="2:3" x14ac:dyDescent="0.35">
      <c r="B219" s="87">
        <v>39770</v>
      </c>
      <c r="C219" s="22">
        <v>39.770000000000003</v>
      </c>
    </row>
    <row r="220" spans="2:3" x14ac:dyDescent="0.35">
      <c r="B220" s="87">
        <v>39771</v>
      </c>
      <c r="C220" s="22">
        <v>39.4</v>
      </c>
    </row>
    <row r="221" spans="2:3" x14ac:dyDescent="0.35">
      <c r="B221" s="87">
        <v>39772</v>
      </c>
      <c r="C221" s="22">
        <v>37.619999999999997</v>
      </c>
    </row>
    <row r="222" spans="2:3" x14ac:dyDescent="0.35">
      <c r="B222" s="87">
        <v>39773</v>
      </c>
      <c r="C222" s="22">
        <v>37.4</v>
      </c>
    </row>
    <row r="223" spans="2:3" x14ac:dyDescent="0.35">
      <c r="B223" s="87">
        <v>39776</v>
      </c>
      <c r="C223" s="22">
        <v>37.549999999999997</v>
      </c>
    </row>
    <row r="224" spans="2:3" x14ac:dyDescent="0.35">
      <c r="B224" s="87">
        <v>39777</v>
      </c>
      <c r="C224" s="22">
        <v>40.35</v>
      </c>
    </row>
    <row r="225" spans="2:3" x14ac:dyDescent="0.35">
      <c r="B225" s="87">
        <v>39778</v>
      </c>
      <c r="C225" s="22">
        <v>39.35</v>
      </c>
    </row>
    <row r="226" spans="2:3" x14ac:dyDescent="0.35">
      <c r="B226" s="87">
        <v>39780</v>
      </c>
      <c r="C226" s="22">
        <v>40.98</v>
      </c>
    </row>
    <row r="227" spans="2:3" x14ac:dyDescent="0.35">
      <c r="B227" s="87">
        <v>39783</v>
      </c>
      <c r="C227" s="22">
        <v>42.48</v>
      </c>
    </row>
    <row r="228" spans="2:3" x14ac:dyDescent="0.35">
      <c r="B228" s="87">
        <v>39784</v>
      </c>
      <c r="C228" s="22">
        <v>40.83</v>
      </c>
    </row>
    <row r="229" spans="2:3" x14ac:dyDescent="0.35">
      <c r="B229" s="87">
        <v>39785</v>
      </c>
      <c r="C229" s="22">
        <v>41.23</v>
      </c>
    </row>
    <row r="230" spans="2:3" x14ac:dyDescent="0.35">
      <c r="B230" s="87">
        <v>39786</v>
      </c>
      <c r="C230" s="22">
        <v>41.23</v>
      </c>
    </row>
    <row r="231" spans="2:3" x14ac:dyDescent="0.35">
      <c r="B231" s="87">
        <v>39787</v>
      </c>
      <c r="C231" s="22">
        <v>40.65</v>
      </c>
    </row>
    <row r="232" spans="2:3" x14ac:dyDescent="0.35">
      <c r="B232" s="87">
        <v>39790</v>
      </c>
      <c r="C232" s="22">
        <v>40</v>
      </c>
    </row>
    <row r="233" spans="2:3" x14ac:dyDescent="0.35">
      <c r="B233" s="87">
        <v>39792</v>
      </c>
      <c r="C233" s="22">
        <v>39.35</v>
      </c>
    </row>
    <row r="234" spans="2:3" x14ac:dyDescent="0.35">
      <c r="B234" s="87">
        <v>39793</v>
      </c>
      <c r="C234" s="22">
        <v>38.33</v>
      </c>
    </row>
    <row r="235" spans="2:3" x14ac:dyDescent="0.35">
      <c r="B235" s="87">
        <v>39794</v>
      </c>
      <c r="C235" s="22">
        <v>39.15</v>
      </c>
    </row>
    <row r="236" spans="2:3" x14ac:dyDescent="0.35">
      <c r="B236" s="87">
        <v>39797</v>
      </c>
      <c r="C236" s="22">
        <v>39.380000000000003</v>
      </c>
    </row>
    <row r="237" spans="2:3" x14ac:dyDescent="0.35">
      <c r="B237" s="87">
        <v>39798</v>
      </c>
      <c r="C237" s="22">
        <v>40</v>
      </c>
    </row>
    <row r="238" spans="2:3" x14ac:dyDescent="0.35">
      <c r="B238" s="87">
        <v>39799</v>
      </c>
      <c r="C238" s="22">
        <v>40.92</v>
      </c>
    </row>
    <row r="239" spans="2:3" x14ac:dyDescent="0.35">
      <c r="B239" s="87">
        <v>39800</v>
      </c>
      <c r="C239" s="22">
        <v>41.67</v>
      </c>
    </row>
    <row r="240" spans="2:3" x14ac:dyDescent="0.35">
      <c r="B240" s="87">
        <v>39801</v>
      </c>
      <c r="C240" s="22">
        <v>41.92</v>
      </c>
    </row>
    <row r="241" spans="2:3" x14ac:dyDescent="0.35">
      <c r="B241" s="87">
        <v>39804</v>
      </c>
      <c r="C241" s="22">
        <v>41.98</v>
      </c>
    </row>
    <row r="242" spans="2:3" x14ac:dyDescent="0.35">
      <c r="B242" s="87">
        <v>39805</v>
      </c>
      <c r="C242" s="22">
        <v>41.75</v>
      </c>
    </row>
    <row r="243" spans="2:3" x14ac:dyDescent="0.35">
      <c r="B243" s="87">
        <v>39806</v>
      </c>
      <c r="C243" s="22">
        <v>40.65</v>
      </c>
    </row>
    <row r="244" spans="2:3" x14ac:dyDescent="0.35">
      <c r="B244" s="87">
        <v>39808</v>
      </c>
      <c r="C244" s="22">
        <v>41.55</v>
      </c>
    </row>
    <row r="245" spans="2:3" x14ac:dyDescent="0.35">
      <c r="B245" s="87">
        <v>39811</v>
      </c>
      <c r="C245" s="22">
        <v>41.6</v>
      </c>
    </row>
    <row r="246" spans="2:3" x14ac:dyDescent="0.35">
      <c r="B246" s="87">
        <v>39812</v>
      </c>
      <c r="C246" s="22">
        <v>41.83</v>
      </c>
    </row>
    <row r="247" spans="2:3" x14ac:dyDescent="0.35">
      <c r="B247" s="87">
        <v>39813</v>
      </c>
      <c r="C247" s="22">
        <v>42</v>
      </c>
    </row>
    <row r="248" spans="2:3" x14ac:dyDescent="0.35">
      <c r="B248" s="87">
        <v>39814</v>
      </c>
      <c r="C248" s="22">
        <v>41.98</v>
      </c>
    </row>
    <row r="249" spans="2:3" x14ac:dyDescent="0.35">
      <c r="B249" s="87">
        <v>39815</v>
      </c>
      <c r="C249" s="22">
        <v>42.48</v>
      </c>
    </row>
    <row r="250" spans="2:3" x14ac:dyDescent="0.35">
      <c r="B250" s="87">
        <v>39818</v>
      </c>
      <c r="C250" s="22">
        <v>42.38</v>
      </c>
    </row>
    <row r="251" spans="2:3" x14ac:dyDescent="0.35">
      <c r="B251" s="87">
        <v>39819</v>
      </c>
      <c r="C251" s="22">
        <v>43.1</v>
      </c>
    </row>
    <row r="252" spans="2:3" x14ac:dyDescent="0.35">
      <c r="B252" s="87">
        <v>39820</v>
      </c>
      <c r="C252" s="22">
        <v>43.8</v>
      </c>
    </row>
    <row r="253" spans="2:3" x14ac:dyDescent="0.35">
      <c r="B253" s="87">
        <v>39822</v>
      </c>
      <c r="C253" s="22">
        <v>44.08</v>
      </c>
    </row>
    <row r="254" spans="2:3" x14ac:dyDescent="0.35">
      <c r="B254" s="87">
        <v>39825</v>
      </c>
      <c r="C254" s="22">
        <v>45.2</v>
      </c>
    </row>
    <row r="255" spans="2:3" x14ac:dyDescent="0.35">
      <c r="B255" s="87">
        <v>39826</v>
      </c>
      <c r="C255" s="22">
        <v>45</v>
      </c>
    </row>
    <row r="256" spans="2:3" x14ac:dyDescent="0.35">
      <c r="B256" s="87">
        <v>39827</v>
      </c>
      <c r="C256" s="22">
        <v>45.52</v>
      </c>
    </row>
    <row r="257" spans="2:3" x14ac:dyDescent="0.35">
      <c r="B257" s="87">
        <v>39828</v>
      </c>
      <c r="C257" s="22">
        <v>45.52</v>
      </c>
    </row>
    <row r="258" spans="2:3" x14ac:dyDescent="0.35">
      <c r="B258" s="87">
        <v>39829</v>
      </c>
      <c r="C258" s="22">
        <v>45</v>
      </c>
    </row>
    <row r="259" spans="2:3" x14ac:dyDescent="0.35">
      <c r="B259" s="87">
        <v>39832</v>
      </c>
      <c r="C259" s="22">
        <v>45.17</v>
      </c>
    </row>
    <row r="260" spans="2:3" x14ac:dyDescent="0.35">
      <c r="B260" s="87">
        <v>39833</v>
      </c>
      <c r="C260" s="22">
        <v>45.67</v>
      </c>
    </row>
    <row r="261" spans="2:3" x14ac:dyDescent="0.35">
      <c r="B261" s="87">
        <v>39834</v>
      </c>
      <c r="C261" s="22">
        <v>43.55</v>
      </c>
    </row>
    <row r="262" spans="2:3" x14ac:dyDescent="0.35">
      <c r="B262" s="87">
        <v>39835</v>
      </c>
      <c r="C262" s="22">
        <v>44.48</v>
      </c>
    </row>
    <row r="263" spans="2:3" x14ac:dyDescent="0.35">
      <c r="B263" s="87">
        <v>39836</v>
      </c>
      <c r="C263" s="22">
        <v>44.58</v>
      </c>
    </row>
    <row r="264" spans="2:3" x14ac:dyDescent="0.35">
      <c r="B264" s="87">
        <v>39840</v>
      </c>
      <c r="C264" s="22">
        <v>43.98</v>
      </c>
    </row>
    <row r="265" spans="2:3" x14ac:dyDescent="0.35">
      <c r="B265" s="87">
        <v>39841</v>
      </c>
      <c r="C265" s="22">
        <v>43.48</v>
      </c>
    </row>
    <row r="266" spans="2:3" x14ac:dyDescent="0.35">
      <c r="B266" s="87">
        <v>39842</v>
      </c>
      <c r="C266" s="22">
        <v>42.83</v>
      </c>
    </row>
    <row r="267" spans="2:3" x14ac:dyDescent="0.35">
      <c r="B267" s="87">
        <v>39843</v>
      </c>
      <c r="C267" s="22">
        <v>43.98</v>
      </c>
    </row>
    <row r="268" spans="2:3" x14ac:dyDescent="0.35">
      <c r="B268" s="87">
        <v>39846</v>
      </c>
      <c r="C268" s="22">
        <v>43.52</v>
      </c>
    </row>
    <row r="269" spans="2:3" x14ac:dyDescent="0.35">
      <c r="B269" s="87">
        <v>39847</v>
      </c>
      <c r="C269" s="22">
        <v>44</v>
      </c>
    </row>
    <row r="270" spans="2:3" x14ac:dyDescent="0.35">
      <c r="B270" s="87">
        <v>39848</v>
      </c>
      <c r="C270" s="22">
        <v>44.25</v>
      </c>
    </row>
    <row r="271" spans="2:3" x14ac:dyDescent="0.35">
      <c r="B271" s="87">
        <v>39849</v>
      </c>
      <c r="C271" s="22">
        <v>45.4</v>
      </c>
    </row>
    <row r="272" spans="2:3" x14ac:dyDescent="0.35">
      <c r="B272" s="87">
        <v>39850</v>
      </c>
      <c r="C272" s="22">
        <v>45.67</v>
      </c>
    </row>
    <row r="273" spans="2:3" x14ac:dyDescent="0.35">
      <c r="B273" s="87">
        <v>39853</v>
      </c>
      <c r="C273" s="22">
        <v>45.58</v>
      </c>
    </row>
    <row r="274" spans="2:3" x14ac:dyDescent="0.35">
      <c r="B274" s="87">
        <v>39854</v>
      </c>
      <c r="C274" s="22">
        <v>45.7</v>
      </c>
    </row>
    <row r="275" spans="2:3" x14ac:dyDescent="0.35">
      <c r="B275" s="87">
        <v>39855</v>
      </c>
      <c r="C275" s="22">
        <v>45.92</v>
      </c>
    </row>
    <row r="276" spans="2:3" x14ac:dyDescent="0.35">
      <c r="B276" s="87">
        <v>39856</v>
      </c>
      <c r="C276" s="22">
        <v>45.9</v>
      </c>
    </row>
    <row r="277" spans="2:3" x14ac:dyDescent="0.35">
      <c r="B277" s="87">
        <v>39857</v>
      </c>
      <c r="C277" s="22">
        <v>46.25</v>
      </c>
    </row>
    <row r="278" spans="2:3" x14ac:dyDescent="0.35">
      <c r="B278" s="87">
        <v>39860</v>
      </c>
      <c r="C278" s="22">
        <v>45.75</v>
      </c>
    </row>
    <row r="279" spans="2:3" x14ac:dyDescent="0.35">
      <c r="B279" s="87">
        <v>39861</v>
      </c>
      <c r="C279" s="22">
        <v>45.88</v>
      </c>
    </row>
    <row r="280" spans="2:3" x14ac:dyDescent="0.35">
      <c r="B280" s="87">
        <v>39862</v>
      </c>
      <c r="C280" s="22">
        <v>45.8</v>
      </c>
    </row>
    <row r="281" spans="2:3" x14ac:dyDescent="0.35">
      <c r="B281" s="87">
        <v>39863</v>
      </c>
      <c r="C281" s="22">
        <v>45.3</v>
      </c>
    </row>
    <row r="282" spans="2:3" x14ac:dyDescent="0.35">
      <c r="B282" s="87">
        <v>39864</v>
      </c>
      <c r="C282" s="22">
        <v>45.48</v>
      </c>
    </row>
    <row r="283" spans="2:3" x14ac:dyDescent="0.35">
      <c r="B283" s="87">
        <v>39868</v>
      </c>
      <c r="C283" s="22">
        <v>45.08</v>
      </c>
    </row>
    <row r="284" spans="2:3" x14ac:dyDescent="0.35">
      <c r="B284" s="87">
        <v>39869</v>
      </c>
      <c r="C284" s="22">
        <v>45</v>
      </c>
    </row>
    <row r="285" spans="2:3" x14ac:dyDescent="0.35">
      <c r="B285" s="87">
        <v>39870</v>
      </c>
      <c r="C285" s="22">
        <v>45.67</v>
      </c>
    </row>
    <row r="286" spans="2:3" x14ac:dyDescent="0.35">
      <c r="B286" s="87">
        <v>39871</v>
      </c>
      <c r="C286" s="22">
        <v>45.58</v>
      </c>
    </row>
    <row r="287" spans="2:3" x14ac:dyDescent="0.35">
      <c r="B287" s="87">
        <v>39874</v>
      </c>
      <c r="C287" s="22">
        <v>45.1</v>
      </c>
    </row>
    <row r="288" spans="2:3" x14ac:dyDescent="0.35">
      <c r="B288" s="87">
        <v>39875</v>
      </c>
      <c r="C288" s="22">
        <v>44.65</v>
      </c>
    </row>
    <row r="289" spans="2:3" x14ac:dyDescent="0.35">
      <c r="B289" s="87">
        <v>39876</v>
      </c>
      <c r="C289" s="22">
        <v>43.75</v>
      </c>
    </row>
    <row r="290" spans="2:3" x14ac:dyDescent="0.35">
      <c r="B290" s="87">
        <v>39877</v>
      </c>
      <c r="C290" s="22">
        <v>44.15</v>
      </c>
    </row>
    <row r="291" spans="2:3" x14ac:dyDescent="0.35">
      <c r="B291" s="87">
        <v>39878</v>
      </c>
      <c r="C291" s="22">
        <v>44.45</v>
      </c>
    </row>
    <row r="292" spans="2:3" x14ac:dyDescent="0.35">
      <c r="B292" s="87">
        <v>39881</v>
      </c>
      <c r="C292" s="22">
        <v>44.75</v>
      </c>
    </row>
    <row r="293" spans="2:3" x14ac:dyDescent="0.35">
      <c r="B293" s="87">
        <v>39884</v>
      </c>
      <c r="C293" s="22">
        <v>44.92</v>
      </c>
    </row>
    <row r="294" spans="2:3" x14ac:dyDescent="0.35">
      <c r="B294" s="87">
        <v>39885</v>
      </c>
      <c r="C294" s="22">
        <v>45.88</v>
      </c>
    </row>
    <row r="295" spans="2:3" x14ac:dyDescent="0.35">
      <c r="B295" s="87">
        <v>39888</v>
      </c>
      <c r="C295" s="22">
        <v>47.2</v>
      </c>
    </row>
    <row r="296" spans="2:3" x14ac:dyDescent="0.35">
      <c r="B296" s="87">
        <v>39889</v>
      </c>
      <c r="C296" s="22">
        <v>47.15</v>
      </c>
    </row>
    <row r="297" spans="2:3" x14ac:dyDescent="0.35">
      <c r="B297" s="87">
        <v>39890</v>
      </c>
      <c r="C297" s="22">
        <v>47.4</v>
      </c>
    </row>
    <row r="298" spans="2:3" x14ac:dyDescent="0.35">
      <c r="B298" s="87">
        <v>39891</v>
      </c>
      <c r="C298" s="22">
        <v>47.33</v>
      </c>
    </row>
    <row r="299" spans="2:3" x14ac:dyDescent="0.35">
      <c r="B299" s="87">
        <v>39892</v>
      </c>
      <c r="C299" s="22">
        <v>46.5</v>
      </c>
    </row>
    <row r="300" spans="2:3" x14ac:dyDescent="0.35">
      <c r="B300" s="87">
        <v>39895</v>
      </c>
      <c r="C300" s="22">
        <v>46.52</v>
      </c>
    </row>
    <row r="301" spans="2:3" x14ac:dyDescent="0.35">
      <c r="B301" s="87">
        <v>39896</v>
      </c>
      <c r="C301" s="22">
        <v>47.12</v>
      </c>
    </row>
    <row r="302" spans="2:3" x14ac:dyDescent="0.35">
      <c r="B302" s="87">
        <v>39897</v>
      </c>
      <c r="C302" s="22">
        <v>46.45</v>
      </c>
    </row>
    <row r="303" spans="2:3" x14ac:dyDescent="0.35">
      <c r="B303" s="87">
        <v>39898</v>
      </c>
      <c r="C303" s="22">
        <v>47.42</v>
      </c>
    </row>
    <row r="304" spans="2:3" x14ac:dyDescent="0.35">
      <c r="B304" s="87">
        <v>39899</v>
      </c>
      <c r="C304" s="22">
        <v>46.85</v>
      </c>
    </row>
    <row r="305" spans="2:3" x14ac:dyDescent="0.35">
      <c r="B305" s="87">
        <v>39902</v>
      </c>
      <c r="C305" s="22">
        <v>47.48</v>
      </c>
    </row>
    <row r="306" spans="2:3" x14ac:dyDescent="0.35">
      <c r="B306" s="87">
        <v>39903</v>
      </c>
      <c r="C306" s="22">
        <v>49.6</v>
      </c>
    </row>
    <row r="307" spans="2:3" x14ac:dyDescent="0.35">
      <c r="B307" s="87">
        <v>39904</v>
      </c>
      <c r="C307" s="22">
        <v>48.75</v>
      </c>
    </row>
    <row r="308" spans="2:3" x14ac:dyDescent="0.35">
      <c r="B308" s="87">
        <v>39905</v>
      </c>
      <c r="C308" s="22">
        <v>47.8</v>
      </c>
    </row>
    <row r="309" spans="2:3" x14ac:dyDescent="0.35">
      <c r="B309" s="87">
        <v>39909</v>
      </c>
      <c r="C309" s="22">
        <v>47.62</v>
      </c>
    </row>
    <row r="310" spans="2:3" x14ac:dyDescent="0.35">
      <c r="B310" s="87">
        <v>39911</v>
      </c>
      <c r="C310" s="22">
        <v>46.83</v>
      </c>
    </row>
    <row r="311" spans="2:3" x14ac:dyDescent="0.35">
      <c r="B311" s="87">
        <v>39912</v>
      </c>
      <c r="C311" s="22">
        <v>47.62</v>
      </c>
    </row>
    <row r="312" spans="2:3" x14ac:dyDescent="0.35">
      <c r="B312" s="87">
        <v>39916</v>
      </c>
      <c r="C312" s="22">
        <v>48.33</v>
      </c>
    </row>
    <row r="313" spans="2:3" x14ac:dyDescent="0.35">
      <c r="B313" s="87">
        <v>39918</v>
      </c>
      <c r="C313" s="22">
        <v>49.05</v>
      </c>
    </row>
    <row r="314" spans="2:3" x14ac:dyDescent="0.35">
      <c r="B314" s="87">
        <v>39919</v>
      </c>
      <c r="C314" s="22">
        <v>48.77</v>
      </c>
    </row>
    <row r="315" spans="2:3" x14ac:dyDescent="0.35">
      <c r="B315" s="87">
        <v>39920</v>
      </c>
      <c r="C315" s="22">
        <v>49.83</v>
      </c>
    </row>
    <row r="316" spans="2:3" x14ac:dyDescent="0.35">
      <c r="B316" s="87">
        <v>39923</v>
      </c>
      <c r="C316" s="22">
        <v>49.5</v>
      </c>
    </row>
    <row r="317" spans="2:3" x14ac:dyDescent="0.35">
      <c r="B317" s="87">
        <v>39924</v>
      </c>
      <c r="C317" s="22">
        <v>52.08</v>
      </c>
    </row>
    <row r="318" spans="2:3" x14ac:dyDescent="0.35">
      <c r="B318" s="87">
        <v>39925</v>
      </c>
      <c r="C318" s="22">
        <v>51.67</v>
      </c>
    </row>
    <row r="319" spans="2:3" x14ac:dyDescent="0.35">
      <c r="B319" s="87">
        <v>39926</v>
      </c>
      <c r="C319" s="22">
        <v>53.08</v>
      </c>
    </row>
    <row r="320" spans="2:3" x14ac:dyDescent="0.35">
      <c r="B320" s="87">
        <v>39927</v>
      </c>
      <c r="C320" s="22">
        <v>53.85</v>
      </c>
    </row>
    <row r="321" spans="2:3" x14ac:dyDescent="0.35">
      <c r="B321" s="87">
        <v>39930</v>
      </c>
      <c r="C321" s="22">
        <v>51.52</v>
      </c>
    </row>
    <row r="322" spans="2:3" x14ac:dyDescent="0.35">
      <c r="B322" s="87">
        <v>39931</v>
      </c>
      <c r="C322" s="22">
        <v>50.75</v>
      </c>
    </row>
    <row r="323" spans="2:3" x14ac:dyDescent="0.35">
      <c r="B323" s="87">
        <v>39932</v>
      </c>
      <c r="C323" s="22">
        <v>51.85</v>
      </c>
    </row>
    <row r="324" spans="2:3" x14ac:dyDescent="0.35">
      <c r="B324" s="87">
        <v>39937</v>
      </c>
      <c r="C324" s="22">
        <v>52.5</v>
      </c>
    </row>
    <row r="325" spans="2:3" x14ac:dyDescent="0.35">
      <c r="B325" s="87">
        <v>39938</v>
      </c>
      <c r="C325" s="22">
        <v>52.5</v>
      </c>
    </row>
    <row r="326" spans="2:3" x14ac:dyDescent="0.35">
      <c r="B326" s="87">
        <v>39939</v>
      </c>
      <c r="C326" s="22">
        <v>52.5</v>
      </c>
    </row>
    <row r="327" spans="2:3" x14ac:dyDescent="0.35">
      <c r="B327" s="87">
        <v>39940</v>
      </c>
      <c r="C327" s="22">
        <v>54.77</v>
      </c>
    </row>
    <row r="328" spans="2:3" x14ac:dyDescent="0.35">
      <c r="B328" s="87">
        <v>39941</v>
      </c>
      <c r="C328" s="22">
        <v>55.4</v>
      </c>
    </row>
    <row r="329" spans="2:3" x14ac:dyDescent="0.35">
      <c r="B329" s="87">
        <v>39944</v>
      </c>
      <c r="C329" s="22">
        <v>56.12</v>
      </c>
    </row>
    <row r="330" spans="2:3" x14ac:dyDescent="0.35">
      <c r="B330" s="87">
        <v>39945</v>
      </c>
      <c r="C330" s="22">
        <v>54.73</v>
      </c>
    </row>
    <row r="331" spans="2:3" x14ac:dyDescent="0.35">
      <c r="B331" s="87">
        <v>39946</v>
      </c>
      <c r="C331" s="22">
        <v>54.67</v>
      </c>
    </row>
    <row r="332" spans="2:3" x14ac:dyDescent="0.35">
      <c r="B332" s="87">
        <v>39947</v>
      </c>
      <c r="C332" s="22">
        <v>53.73</v>
      </c>
    </row>
    <row r="333" spans="2:3" x14ac:dyDescent="0.35">
      <c r="B333" s="87">
        <v>39948</v>
      </c>
      <c r="C333" s="22">
        <v>53.17</v>
      </c>
    </row>
    <row r="334" spans="2:3" x14ac:dyDescent="0.35">
      <c r="B334" s="87">
        <v>39951</v>
      </c>
      <c r="C334" s="22">
        <v>57.5</v>
      </c>
    </row>
    <row r="335" spans="2:3" x14ac:dyDescent="0.35">
      <c r="B335" s="87">
        <v>39952</v>
      </c>
      <c r="C335" s="22">
        <v>56.85</v>
      </c>
    </row>
    <row r="336" spans="2:3" x14ac:dyDescent="0.35">
      <c r="B336" s="87">
        <v>39953</v>
      </c>
      <c r="C336" s="22">
        <v>56.77</v>
      </c>
    </row>
    <row r="337" spans="2:3" x14ac:dyDescent="0.35">
      <c r="B337" s="87">
        <v>39954</v>
      </c>
      <c r="C337" s="22">
        <v>56</v>
      </c>
    </row>
    <row r="338" spans="2:3" x14ac:dyDescent="0.35">
      <c r="B338" s="87">
        <v>39955</v>
      </c>
      <c r="C338" s="22">
        <v>55.48</v>
      </c>
    </row>
    <row r="339" spans="2:3" x14ac:dyDescent="0.35">
      <c r="B339" s="87">
        <v>39958</v>
      </c>
      <c r="C339" s="22">
        <v>57.38</v>
      </c>
    </row>
    <row r="340" spans="2:3" x14ac:dyDescent="0.35">
      <c r="B340" s="87">
        <v>39959</v>
      </c>
      <c r="C340" s="22">
        <v>56.35</v>
      </c>
    </row>
    <row r="341" spans="2:3" x14ac:dyDescent="0.35">
      <c r="B341" s="87">
        <v>39960</v>
      </c>
      <c r="C341" s="22">
        <v>56.95</v>
      </c>
    </row>
    <row r="342" spans="2:3" x14ac:dyDescent="0.35">
      <c r="B342" s="87">
        <v>39961</v>
      </c>
      <c r="C342" s="22">
        <v>55.33</v>
      </c>
    </row>
    <row r="343" spans="2:3" x14ac:dyDescent="0.35">
      <c r="B343" s="87">
        <v>39962</v>
      </c>
      <c r="C343" s="22">
        <v>55.23</v>
      </c>
    </row>
    <row r="344" spans="2:3" x14ac:dyDescent="0.35">
      <c r="B344" s="87">
        <v>39965</v>
      </c>
      <c r="C344" s="22">
        <v>54.45</v>
      </c>
    </row>
    <row r="345" spans="2:3" x14ac:dyDescent="0.35">
      <c r="B345" s="87">
        <v>39966</v>
      </c>
      <c r="C345" s="22">
        <v>54.83</v>
      </c>
    </row>
    <row r="346" spans="2:3" x14ac:dyDescent="0.35">
      <c r="B346" s="87">
        <v>39967</v>
      </c>
      <c r="C346" s="22">
        <v>56.45</v>
      </c>
    </row>
    <row r="347" spans="2:3" x14ac:dyDescent="0.35">
      <c r="B347" s="87">
        <v>39968</v>
      </c>
      <c r="C347" s="22">
        <v>56.88</v>
      </c>
    </row>
    <row r="348" spans="2:3" x14ac:dyDescent="0.35">
      <c r="B348" s="87">
        <v>39969</v>
      </c>
      <c r="C348" s="22">
        <v>56.88</v>
      </c>
    </row>
    <row r="349" spans="2:3" x14ac:dyDescent="0.35">
      <c r="B349" s="87">
        <v>39972</v>
      </c>
      <c r="C349" s="22">
        <v>55.45</v>
      </c>
    </row>
    <row r="350" spans="2:3" x14ac:dyDescent="0.35">
      <c r="B350" s="87">
        <v>39973</v>
      </c>
      <c r="C350" s="22">
        <v>56.2</v>
      </c>
    </row>
    <row r="351" spans="2:3" x14ac:dyDescent="0.35">
      <c r="B351" s="87">
        <v>39974</v>
      </c>
      <c r="C351" s="22">
        <v>57.02</v>
      </c>
    </row>
    <row r="352" spans="2:3" x14ac:dyDescent="0.35">
      <c r="B352" s="87">
        <v>39975</v>
      </c>
      <c r="C352" s="22">
        <v>56.98</v>
      </c>
    </row>
    <row r="353" spans="2:3" x14ac:dyDescent="0.35">
      <c r="B353" s="87">
        <v>39976</v>
      </c>
      <c r="C353" s="22">
        <v>57.58</v>
      </c>
    </row>
    <row r="354" spans="2:3" x14ac:dyDescent="0.35">
      <c r="B354" s="87">
        <v>39979</v>
      </c>
      <c r="C354" s="22">
        <v>57.35</v>
      </c>
    </row>
    <row r="355" spans="2:3" x14ac:dyDescent="0.35">
      <c r="B355" s="87">
        <v>39980</v>
      </c>
      <c r="C355" s="22">
        <v>57.38</v>
      </c>
    </row>
    <row r="356" spans="2:3" x14ac:dyDescent="0.35">
      <c r="B356" s="87">
        <v>39981</v>
      </c>
      <c r="C356" s="22">
        <v>56.4</v>
      </c>
    </row>
    <row r="357" spans="2:3" x14ac:dyDescent="0.35">
      <c r="B357" s="87">
        <v>39982</v>
      </c>
      <c r="C357" s="22">
        <v>56.62</v>
      </c>
    </row>
    <row r="358" spans="2:3" x14ac:dyDescent="0.35">
      <c r="B358" s="87">
        <v>39983</v>
      </c>
      <c r="C358" s="22">
        <v>57.55</v>
      </c>
    </row>
    <row r="359" spans="2:3" x14ac:dyDescent="0.35">
      <c r="B359" s="87">
        <v>39986</v>
      </c>
      <c r="C359" s="22">
        <v>58.55</v>
      </c>
    </row>
    <row r="360" spans="2:3" x14ac:dyDescent="0.35">
      <c r="B360" s="87">
        <v>39987</v>
      </c>
      <c r="C360" s="22">
        <v>58.75</v>
      </c>
    </row>
    <row r="361" spans="2:3" x14ac:dyDescent="0.35">
      <c r="B361" s="87">
        <v>39988</v>
      </c>
      <c r="C361" s="22">
        <v>59.25</v>
      </c>
    </row>
    <row r="362" spans="2:3" x14ac:dyDescent="0.35">
      <c r="B362" s="87">
        <v>39989</v>
      </c>
      <c r="C362" s="22">
        <v>60.62</v>
      </c>
    </row>
    <row r="363" spans="2:3" x14ac:dyDescent="0.35">
      <c r="B363" s="87">
        <v>39990</v>
      </c>
      <c r="C363" s="22">
        <v>60.75</v>
      </c>
    </row>
    <row r="364" spans="2:3" x14ac:dyDescent="0.35">
      <c r="B364" s="87">
        <v>39993</v>
      </c>
      <c r="C364" s="22">
        <v>61.35</v>
      </c>
    </row>
    <row r="365" spans="2:3" x14ac:dyDescent="0.35">
      <c r="B365" s="87">
        <v>39994</v>
      </c>
      <c r="C365" s="22">
        <v>62.85</v>
      </c>
    </row>
    <row r="366" spans="2:3" x14ac:dyDescent="0.35">
      <c r="B366" s="87">
        <v>39995</v>
      </c>
      <c r="C366" s="22">
        <v>62.05</v>
      </c>
    </row>
    <row r="367" spans="2:3" x14ac:dyDescent="0.35">
      <c r="B367" s="87">
        <v>39996</v>
      </c>
      <c r="C367" s="22">
        <v>65</v>
      </c>
    </row>
    <row r="368" spans="2:3" x14ac:dyDescent="0.35">
      <c r="B368" s="87">
        <v>39997</v>
      </c>
      <c r="C368" s="22">
        <v>65.2</v>
      </c>
    </row>
    <row r="369" spans="2:3" x14ac:dyDescent="0.35">
      <c r="B369" s="87">
        <v>40000</v>
      </c>
      <c r="C369" s="22">
        <v>64.3</v>
      </c>
    </row>
    <row r="370" spans="2:3" x14ac:dyDescent="0.35">
      <c r="B370" s="87">
        <v>40001</v>
      </c>
      <c r="C370" s="22">
        <v>65.08</v>
      </c>
    </row>
    <row r="371" spans="2:3" x14ac:dyDescent="0.35">
      <c r="B371" s="87">
        <v>40002</v>
      </c>
      <c r="C371" s="22">
        <v>63.4</v>
      </c>
    </row>
    <row r="372" spans="2:3" x14ac:dyDescent="0.35">
      <c r="B372" s="87">
        <v>40003</v>
      </c>
      <c r="C372" s="22">
        <v>64.58</v>
      </c>
    </row>
    <row r="373" spans="2:3" x14ac:dyDescent="0.35">
      <c r="B373" s="87">
        <v>40004</v>
      </c>
      <c r="C373" s="22">
        <v>65.599999999999994</v>
      </c>
    </row>
    <row r="374" spans="2:3" x14ac:dyDescent="0.35">
      <c r="B374" s="87">
        <v>40007</v>
      </c>
      <c r="C374" s="22">
        <v>65.83</v>
      </c>
    </row>
    <row r="375" spans="2:3" x14ac:dyDescent="0.35">
      <c r="B375" s="87">
        <v>40008</v>
      </c>
      <c r="C375" s="22">
        <v>65.03</v>
      </c>
    </row>
    <row r="376" spans="2:3" x14ac:dyDescent="0.35">
      <c r="B376" s="87">
        <v>40009</v>
      </c>
      <c r="C376" s="22">
        <v>64.83</v>
      </c>
    </row>
    <row r="377" spans="2:3" x14ac:dyDescent="0.35">
      <c r="B377" s="87">
        <v>40010</v>
      </c>
      <c r="C377" s="22">
        <v>66.03</v>
      </c>
    </row>
    <row r="378" spans="2:3" x14ac:dyDescent="0.35">
      <c r="B378" s="87">
        <v>40011</v>
      </c>
      <c r="C378" s="22">
        <v>66</v>
      </c>
    </row>
    <row r="379" spans="2:3" x14ac:dyDescent="0.35">
      <c r="B379" s="87">
        <v>40014</v>
      </c>
      <c r="C379" s="22">
        <v>67.45</v>
      </c>
    </row>
    <row r="380" spans="2:3" x14ac:dyDescent="0.35">
      <c r="B380" s="87">
        <v>40015</v>
      </c>
      <c r="C380" s="22">
        <v>65.33</v>
      </c>
    </row>
    <row r="381" spans="2:3" x14ac:dyDescent="0.35">
      <c r="B381" s="87">
        <v>40016</v>
      </c>
      <c r="C381" s="22">
        <v>66.5</v>
      </c>
    </row>
    <row r="382" spans="2:3" x14ac:dyDescent="0.35">
      <c r="B382" s="87">
        <v>40017</v>
      </c>
      <c r="C382" s="22">
        <v>66.62</v>
      </c>
    </row>
    <row r="383" spans="2:3" x14ac:dyDescent="0.35">
      <c r="B383" s="87">
        <v>40018</v>
      </c>
      <c r="C383" s="22">
        <v>64.88</v>
      </c>
    </row>
    <row r="384" spans="2:3" x14ac:dyDescent="0.35">
      <c r="B384" s="87">
        <v>40021</v>
      </c>
      <c r="C384" s="22">
        <v>66.75</v>
      </c>
    </row>
    <row r="385" spans="2:3" x14ac:dyDescent="0.35">
      <c r="B385" s="87">
        <v>40022</v>
      </c>
      <c r="C385" s="22">
        <v>68.05</v>
      </c>
    </row>
    <row r="386" spans="2:3" x14ac:dyDescent="0.35">
      <c r="B386" s="87">
        <v>40023</v>
      </c>
      <c r="C386" s="22">
        <v>68.12</v>
      </c>
    </row>
    <row r="387" spans="2:3" x14ac:dyDescent="0.35">
      <c r="B387" s="87">
        <v>40024</v>
      </c>
      <c r="C387" s="22">
        <v>68.400000000000006</v>
      </c>
    </row>
    <row r="388" spans="2:3" x14ac:dyDescent="0.35">
      <c r="B388" s="87">
        <v>40025</v>
      </c>
      <c r="C388" s="22">
        <v>68.83</v>
      </c>
    </row>
    <row r="389" spans="2:3" x14ac:dyDescent="0.35">
      <c r="B389" s="87">
        <v>40028</v>
      </c>
      <c r="C389" s="22">
        <v>69.47</v>
      </c>
    </row>
    <row r="390" spans="2:3" x14ac:dyDescent="0.35">
      <c r="B390" s="87">
        <v>40029</v>
      </c>
      <c r="C390" s="22">
        <v>69.900000000000006</v>
      </c>
    </row>
    <row r="391" spans="2:3" x14ac:dyDescent="0.35">
      <c r="B391" s="87">
        <v>40030</v>
      </c>
      <c r="C391" s="22">
        <v>70</v>
      </c>
    </row>
    <row r="392" spans="2:3" x14ac:dyDescent="0.35">
      <c r="B392" s="87">
        <v>40031</v>
      </c>
      <c r="C392" s="22">
        <v>67.72</v>
      </c>
    </row>
    <row r="393" spans="2:3" x14ac:dyDescent="0.35">
      <c r="B393" s="87">
        <v>40032</v>
      </c>
      <c r="C393" s="22">
        <v>66.349999999999994</v>
      </c>
    </row>
    <row r="394" spans="2:3" x14ac:dyDescent="0.35">
      <c r="B394" s="87">
        <v>40035</v>
      </c>
      <c r="C394" s="22">
        <v>65.349999999999994</v>
      </c>
    </row>
    <row r="395" spans="2:3" x14ac:dyDescent="0.35">
      <c r="B395" s="87">
        <v>40036</v>
      </c>
      <c r="C395" s="22">
        <v>64.03</v>
      </c>
    </row>
    <row r="396" spans="2:3" x14ac:dyDescent="0.35">
      <c r="B396" s="87">
        <v>40037</v>
      </c>
      <c r="C396" s="22">
        <v>62.7</v>
      </c>
    </row>
    <row r="397" spans="2:3" x14ac:dyDescent="0.35">
      <c r="B397" s="87">
        <v>40038</v>
      </c>
      <c r="C397" s="22">
        <v>63.48</v>
      </c>
    </row>
    <row r="398" spans="2:3" x14ac:dyDescent="0.35">
      <c r="B398" s="87">
        <v>40039</v>
      </c>
      <c r="C398" s="22">
        <v>63.67</v>
      </c>
    </row>
    <row r="399" spans="2:3" x14ac:dyDescent="0.35">
      <c r="B399" s="87">
        <v>40042</v>
      </c>
      <c r="C399" s="22">
        <v>61.12</v>
      </c>
    </row>
    <row r="400" spans="2:3" x14ac:dyDescent="0.35">
      <c r="B400" s="87">
        <v>40043</v>
      </c>
      <c r="C400" s="22">
        <v>61.48</v>
      </c>
    </row>
    <row r="401" spans="2:3" x14ac:dyDescent="0.35">
      <c r="B401" s="87">
        <v>40044</v>
      </c>
      <c r="C401" s="22">
        <v>59.85</v>
      </c>
    </row>
    <row r="402" spans="2:3" x14ac:dyDescent="0.35">
      <c r="B402" s="87">
        <v>40045</v>
      </c>
      <c r="C402" s="22">
        <v>60.65</v>
      </c>
    </row>
    <row r="403" spans="2:3" x14ac:dyDescent="0.35">
      <c r="B403" s="87">
        <v>40046</v>
      </c>
      <c r="C403" s="22">
        <v>61.1</v>
      </c>
    </row>
    <row r="404" spans="2:3" x14ac:dyDescent="0.35">
      <c r="B404" s="87">
        <v>40049</v>
      </c>
      <c r="C404" s="22">
        <v>61.62</v>
      </c>
    </row>
    <row r="405" spans="2:3" x14ac:dyDescent="0.35">
      <c r="B405" s="87">
        <v>40050</v>
      </c>
      <c r="C405" s="22">
        <v>62.77</v>
      </c>
    </row>
    <row r="406" spans="2:3" x14ac:dyDescent="0.35">
      <c r="B406" s="87">
        <v>40051</v>
      </c>
      <c r="C406" s="22">
        <v>63.02</v>
      </c>
    </row>
    <row r="407" spans="2:3" x14ac:dyDescent="0.35">
      <c r="B407" s="87">
        <v>40052</v>
      </c>
      <c r="C407" s="22">
        <v>61.45</v>
      </c>
    </row>
    <row r="408" spans="2:3" x14ac:dyDescent="0.35">
      <c r="B408" s="87">
        <v>40053</v>
      </c>
      <c r="C408" s="22">
        <v>62.35</v>
      </c>
    </row>
    <row r="409" spans="2:3" x14ac:dyDescent="0.35">
      <c r="B409" s="87">
        <v>40056</v>
      </c>
      <c r="C409" s="22">
        <v>62.42</v>
      </c>
    </row>
    <row r="410" spans="2:3" x14ac:dyDescent="0.35">
      <c r="B410" s="87">
        <v>40057</v>
      </c>
      <c r="C410" s="22">
        <v>64.650000000000006</v>
      </c>
    </row>
    <row r="411" spans="2:3" x14ac:dyDescent="0.35">
      <c r="B411" s="87">
        <v>40058</v>
      </c>
      <c r="C411" s="22">
        <v>67.12</v>
      </c>
    </row>
    <row r="412" spans="2:3" x14ac:dyDescent="0.35">
      <c r="B412" s="87">
        <v>40059</v>
      </c>
      <c r="C412" s="22">
        <v>69.5</v>
      </c>
    </row>
    <row r="413" spans="2:3" x14ac:dyDescent="0.35">
      <c r="B413" s="87">
        <v>40060</v>
      </c>
      <c r="C413" s="22">
        <v>68.83</v>
      </c>
    </row>
    <row r="414" spans="2:3" x14ac:dyDescent="0.35">
      <c r="B414" s="87">
        <v>40063</v>
      </c>
      <c r="C414" s="22">
        <v>68.3</v>
      </c>
    </row>
    <row r="415" spans="2:3" x14ac:dyDescent="0.35">
      <c r="B415" s="87">
        <v>40064</v>
      </c>
      <c r="C415" s="22">
        <v>66.08</v>
      </c>
    </row>
    <row r="416" spans="2:3" x14ac:dyDescent="0.35">
      <c r="B416" s="87">
        <v>40065</v>
      </c>
      <c r="C416" s="22">
        <v>64.45</v>
      </c>
    </row>
    <row r="417" spans="2:3" x14ac:dyDescent="0.35">
      <c r="B417" s="87">
        <v>40066</v>
      </c>
      <c r="C417" s="22">
        <v>65.05</v>
      </c>
    </row>
    <row r="418" spans="2:3" x14ac:dyDescent="0.35">
      <c r="B418" s="87">
        <v>40067</v>
      </c>
      <c r="C418" s="22">
        <v>63.42</v>
      </c>
    </row>
    <row r="419" spans="2:3" x14ac:dyDescent="0.35">
      <c r="B419" s="87">
        <v>40070</v>
      </c>
      <c r="C419" s="22">
        <v>63.65</v>
      </c>
    </row>
    <row r="420" spans="2:3" x14ac:dyDescent="0.35">
      <c r="B420" s="87">
        <v>40071</v>
      </c>
      <c r="C420" s="22">
        <v>63.85</v>
      </c>
    </row>
    <row r="421" spans="2:3" x14ac:dyDescent="0.35">
      <c r="B421" s="87">
        <v>40072</v>
      </c>
      <c r="C421" s="22">
        <v>65.78</v>
      </c>
    </row>
    <row r="422" spans="2:3" x14ac:dyDescent="0.35">
      <c r="B422" s="87">
        <v>40073</v>
      </c>
      <c r="C422" s="22">
        <v>66.47</v>
      </c>
    </row>
    <row r="423" spans="2:3" x14ac:dyDescent="0.35">
      <c r="B423" s="87">
        <v>40074</v>
      </c>
      <c r="C423" s="22">
        <v>67.3</v>
      </c>
    </row>
    <row r="424" spans="2:3" x14ac:dyDescent="0.35">
      <c r="B424" s="87">
        <v>40078</v>
      </c>
      <c r="C424" s="22">
        <v>68.22</v>
      </c>
    </row>
    <row r="425" spans="2:3" x14ac:dyDescent="0.35">
      <c r="B425" s="87">
        <v>40079</v>
      </c>
      <c r="C425" s="22">
        <v>69.17</v>
      </c>
    </row>
    <row r="426" spans="2:3" x14ac:dyDescent="0.35">
      <c r="B426" s="87">
        <v>40080</v>
      </c>
      <c r="C426" s="22">
        <v>68.53</v>
      </c>
    </row>
    <row r="427" spans="2:3" x14ac:dyDescent="0.35">
      <c r="B427" s="87">
        <v>40081</v>
      </c>
      <c r="C427" s="22">
        <v>71.05</v>
      </c>
    </row>
    <row r="428" spans="2:3" x14ac:dyDescent="0.35">
      <c r="B428" s="87">
        <v>40085</v>
      </c>
      <c r="C428" s="22">
        <v>72.5</v>
      </c>
    </row>
    <row r="429" spans="2:3" x14ac:dyDescent="0.35">
      <c r="B429" s="87">
        <v>40086</v>
      </c>
      <c r="C429" s="22">
        <v>71.2</v>
      </c>
    </row>
    <row r="430" spans="2:3" x14ac:dyDescent="0.35">
      <c r="B430" s="87">
        <v>40087</v>
      </c>
      <c r="C430" s="22">
        <v>71.83</v>
      </c>
    </row>
    <row r="431" spans="2:3" x14ac:dyDescent="0.35">
      <c r="B431" s="87">
        <v>40091</v>
      </c>
      <c r="C431" s="22">
        <v>71.12</v>
      </c>
    </row>
    <row r="432" spans="2:3" x14ac:dyDescent="0.35">
      <c r="B432" s="87">
        <v>40092</v>
      </c>
      <c r="C432" s="22">
        <v>70.33</v>
      </c>
    </row>
    <row r="433" spans="2:3" x14ac:dyDescent="0.35">
      <c r="B433" s="87">
        <v>40093</v>
      </c>
      <c r="C433" s="22">
        <v>69.47</v>
      </c>
    </row>
    <row r="434" spans="2:3" x14ac:dyDescent="0.35">
      <c r="B434" s="87">
        <v>40094</v>
      </c>
      <c r="C434" s="22">
        <v>69.599999999999994</v>
      </c>
    </row>
    <row r="435" spans="2:3" x14ac:dyDescent="0.35">
      <c r="B435" s="87">
        <v>40095</v>
      </c>
      <c r="C435" s="22">
        <v>68.55</v>
      </c>
    </row>
    <row r="436" spans="2:3" x14ac:dyDescent="0.35">
      <c r="B436" s="87">
        <v>40098</v>
      </c>
      <c r="C436" s="22">
        <v>72.150000000000006</v>
      </c>
    </row>
    <row r="437" spans="2:3" x14ac:dyDescent="0.35">
      <c r="B437" s="87">
        <v>40100</v>
      </c>
      <c r="C437" s="22">
        <v>73.62</v>
      </c>
    </row>
    <row r="438" spans="2:3" x14ac:dyDescent="0.35">
      <c r="B438" s="87">
        <v>40101</v>
      </c>
      <c r="C438" s="22">
        <v>73.58</v>
      </c>
    </row>
    <row r="439" spans="2:3" x14ac:dyDescent="0.35">
      <c r="B439" s="87">
        <v>40102</v>
      </c>
      <c r="C439" s="22">
        <v>72.349999999999994</v>
      </c>
    </row>
    <row r="440" spans="2:3" x14ac:dyDescent="0.35">
      <c r="B440" s="87">
        <v>40103</v>
      </c>
      <c r="C440" s="22">
        <v>73.33</v>
      </c>
    </row>
    <row r="441" spans="2:3" x14ac:dyDescent="0.35">
      <c r="B441" s="87">
        <v>40106</v>
      </c>
      <c r="C441" s="22">
        <v>74.92</v>
      </c>
    </row>
    <row r="442" spans="2:3" x14ac:dyDescent="0.35">
      <c r="B442" s="87">
        <v>40107</v>
      </c>
      <c r="C442" s="22">
        <v>72.2</v>
      </c>
    </row>
    <row r="443" spans="2:3" x14ac:dyDescent="0.35">
      <c r="B443" s="87">
        <v>40108</v>
      </c>
      <c r="C443" s="22">
        <v>71.47</v>
      </c>
    </row>
    <row r="444" spans="2:3" x14ac:dyDescent="0.35">
      <c r="B444" s="87">
        <v>40109</v>
      </c>
      <c r="C444" s="22">
        <v>75.5</v>
      </c>
    </row>
    <row r="445" spans="2:3" x14ac:dyDescent="0.35">
      <c r="B445" s="87">
        <v>40112</v>
      </c>
      <c r="C445" s="22">
        <v>76.97</v>
      </c>
    </row>
    <row r="446" spans="2:3" x14ac:dyDescent="0.35">
      <c r="B446" s="87">
        <v>40113</v>
      </c>
      <c r="C446" s="22">
        <v>76.2</v>
      </c>
    </row>
    <row r="447" spans="2:3" x14ac:dyDescent="0.35">
      <c r="B447" s="87">
        <v>40114</v>
      </c>
      <c r="C447" s="22">
        <v>75.5</v>
      </c>
    </row>
    <row r="448" spans="2:3" x14ac:dyDescent="0.35">
      <c r="B448" s="87">
        <v>40115</v>
      </c>
      <c r="C448" s="22">
        <v>77</v>
      </c>
    </row>
    <row r="449" spans="2:3" x14ac:dyDescent="0.35">
      <c r="B449" s="87">
        <v>40116</v>
      </c>
      <c r="C449" s="22">
        <v>76.05</v>
      </c>
    </row>
    <row r="450" spans="2:3" x14ac:dyDescent="0.35">
      <c r="B450" s="87">
        <v>40120</v>
      </c>
      <c r="C450" s="22">
        <v>75.42</v>
      </c>
    </row>
    <row r="451" spans="2:3" x14ac:dyDescent="0.35">
      <c r="B451" s="87">
        <v>40121</v>
      </c>
      <c r="C451" s="22">
        <v>75.650000000000006</v>
      </c>
    </row>
    <row r="452" spans="2:3" x14ac:dyDescent="0.35">
      <c r="B452" s="87">
        <v>40122</v>
      </c>
      <c r="C452" s="22">
        <v>75.78</v>
      </c>
    </row>
    <row r="453" spans="2:3" x14ac:dyDescent="0.35">
      <c r="B453" s="87">
        <v>40123</v>
      </c>
      <c r="C453" s="22">
        <v>76.650000000000006</v>
      </c>
    </row>
    <row r="454" spans="2:3" x14ac:dyDescent="0.35">
      <c r="B454" s="87">
        <v>40126</v>
      </c>
      <c r="C454" s="22">
        <v>78.97</v>
      </c>
    </row>
    <row r="455" spans="2:3" x14ac:dyDescent="0.35">
      <c r="B455" s="87">
        <v>40127</v>
      </c>
      <c r="C455" s="22">
        <v>81.47</v>
      </c>
    </row>
    <row r="456" spans="2:3" x14ac:dyDescent="0.35">
      <c r="B456" s="87">
        <v>40128</v>
      </c>
      <c r="C456" s="22">
        <v>82.45</v>
      </c>
    </row>
    <row r="457" spans="2:3" x14ac:dyDescent="0.35">
      <c r="B457" s="87">
        <v>40129</v>
      </c>
      <c r="C457" s="22">
        <v>81.95</v>
      </c>
    </row>
    <row r="458" spans="2:3" x14ac:dyDescent="0.35">
      <c r="B458" s="87">
        <v>40130</v>
      </c>
      <c r="C458" s="22">
        <v>81.58</v>
      </c>
    </row>
    <row r="459" spans="2:3" x14ac:dyDescent="0.35">
      <c r="B459" s="87">
        <v>40133</v>
      </c>
      <c r="C459" s="22">
        <v>83.03</v>
      </c>
    </row>
    <row r="460" spans="2:3" x14ac:dyDescent="0.35">
      <c r="B460" s="87">
        <v>40134</v>
      </c>
      <c r="C460" s="22">
        <v>82.47</v>
      </c>
    </row>
    <row r="461" spans="2:3" x14ac:dyDescent="0.35">
      <c r="B461" s="87">
        <v>40135</v>
      </c>
      <c r="C461" s="22">
        <v>81.17</v>
      </c>
    </row>
    <row r="462" spans="2:3" x14ac:dyDescent="0.35">
      <c r="B462" s="87">
        <v>40136</v>
      </c>
      <c r="C462" s="22">
        <v>78.03</v>
      </c>
    </row>
    <row r="463" spans="2:3" x14ac:dyDescent="0.35">
      <c r="B463" s="87">
        <v>40137</v>
      </c>
      <c r="C463" s="22">
        <v>78.97</v>
      </c>
    </row>
    <row r="464" spans="2:3" x14ac:dyDescent="0.35">
      <c r="B464" s="87">
        <v>40140</v>
      </c>
      <c r="C464" s="22">
        <v>83</v>
      </c>
    </row>
    <row r="465" spans="2:3" x14ac:dyDescent="0.35">
      <c r="B465" s="87">
        <v>40141</v>
      </c>
      <c r="C465" s="22">
        <v>82.75</v>
      </c>
    </row>
    <row r="466" spans="2:3" x14ac:dyDescent="0.35">
      <c r="B466" s="87">
        <v>40142</v>
      </c>
      <c r="C466" s="22">
        <v>82.28</v>
      </c>
    </row>
    <row r="467" spans="2:3" x14ac:dyDescent="0.35">
      <c r="B467" s="87">
        <v>40143</v>
      </c>
      <c r="C467" s="22">
        <v>81.75</v>
      </c>
    </row>
    <row r="468" spans="2:3" x14ac:dyDescent="0.35">
      <c r="B468" s="87">
        <v>40144</v>
      </c>
      <c r="C468" s="22">
        <v>81.28</v>
      </c>
    </row>
    <row r="469" spans="2:3" x14ac:dyDescent="0.35">
      <c r="B469" s="87">
        <v>40147</v>
      </c>
      <c r="C469" s="22">
        <v>78.88</v>
      </c>
    </row>
    <row r="470" spans="2:3" x14ac:dyDescent="0.35">
      <c r="B470" s="87">
        <v>40148</v>
      </c>
      <c r="C470" s="22">
        <v>83.4</v>
      </c>
    </row>
    <row r="471" spans="2:3" x14ac:dyDescent="0.35">
      <c r="B471" s="87">
        <v>40149</v>
      </c>
      <c r="C471" s="22">
        <v>82.1</v>
      </c>
    </row>
    <row r="472" spans="2:3" x14ac:dyDescent="0.35">
      <c r="B472" s="87">
        <v>40150</v>
      </c>
      <c r="C472" s="22">
        <v>82.7</v>
      </c>
    </row>
    <row r="473" spans="2:3" x14ac:dyDescent="0.35">
      <c r="B473" s="87">
        <v>40151</v>
      </c>
      <c r="C473" s="22">
        <v>82.5</v>
      </c>
    </row>
    <row r="474" spans="2:3" x14ac:dyDescent="0.35">
      <c r="B474" s="87">
        <v>40154</v>
      </c>
      <c r="C474" s="22">
        <v>82.97</v>
      </c>
    </row>
    <row r="475" spans="2:3" x14ac:dyDescent="0.35">
      <c r="B475" s="87">
        <v>40155</v>
      </c>
      <c r="C475" s="22">
        <v>82.92</v>
      </c>
    </row>
    <row r="476" spans="2:3" x14ac:dyDescent="0.35">
      <c r="B476" s="87">
        <v>40156</v>
      </c>
      <c r="C476" s="22">
        <v>84.47</v>
      </c>
    </row>
    <row r="477" spans="2:3" x14ac:dyDescent="0.35">
      <c r="B477" s="87">
        <v>40157</v>
      </c>
      <c r="C477" s="22">
        <v>82.72</v>
      </c>
    </row>
    <row r="478" spans="2:3" x14ac:dyDescent="0.35">
      <c r="B478" s="87">
        <v>40158</v>
      </c>
      <c r="C478" s="22">
        <v>82.65</v>
      </c>
    </row>
    <row r="479" spans="2:3" x14ac:dyDescent="0.35">
      <c r="B479" s="87">
        <v>40161</v>
      </c>
      <c r="C479" s="22">
        <v>82.55</v>
      </c>
    </row>
    <row r="480" spans="2:3" x14ac:dyDescent="0.35">
      <c r="B480" s="87">
        <v>40162</v>
      </c>
      <c r="C480" s="22">
        <v>81.42</v>
      </c>
    </row>
    <row r="481" spans="2:3" x14ac:dyDescent="0.35">
      <c r="B481" s="87">
        <v>40163</v>
      </c>
      <c r="C481" s="22">
        <v>81.599999999999994</v>
      </c>
    </row>
    <row r="482" spans="2:3" x14ac:dyDescent="0.35">
      <c r="B482" s="87">
        <v>40164</v>
      </c>
      <c r="C482" s="22">
        <v>81.88</v>
      </c>
    </row>
    <row r="483" spans="2:3" x14ac:dyDescent="0.35">
      <c r="B483" s="87">
        <v>40165</v>
      </c>
      <c r="C483" s="22">
        <v>81.42</v>
      </c>
    </row>
    <row r="484" spans="2:3" x14ac:dyDescent="0.35">
      <c r="B484" s="87">
        <v>40168</v>
      </c>
      <c r="C484" s="22">
        <v>81.95</v>
      </c>
    </row>
    <row r="485" spans="2:3" x14ac:dyDescent="0.35">
      <c r="B485" s="87">
        <v>40169</v>
      </c>
      <c r="C485" s="22">
        <v>81.72</v>
      </c>
    </row>
    <row r="486" spans="2:3" x14ac:dyDescent="0.35">
      <c r="B486" s="87">
        <v>40170</v>
      </c>
      <c r="C486" s="22">
        <v>81.58</v>
      </c>
    </row>
    <row r="487" spans="2:3" x14ac:dyDescent="0.35">
      <c r="B487" s="87">
        <v>40171</v>
      </c>
      <c r="C487" s="22">
        <v>81.47</v>
      </c>
    </row>
    <row r="488" spans="2:3" x14ac:dyDescent="0.35">
      <c r="B488" s="87">
        <v>40176</v>
      </c>
      <c r="C488" s="22">
        <v>81.28</v>
      </c>
    </row>
    <row r="489" spans="2:3" x14ac:dyDescent="0.35">
      <c r="B489" s="87">
        <v>40177</v>
      </c>
      <c r="C489" s="22">
        <v>79.900000000000006</v>
      </c>
    </row>
    <row r="490" spans="2:3" x14ac:dyDescent="0.35">
      <c r="B490" s="87">
        <v>40178</v>
      </c>
      <c r="C490" s="22">
        <v>79.400000000000006</v>
      </c>
    </row>
    <row r="491" spans="2:3" x14ac:dyDescent="0.35">
      <c r="B491" s="87">
        <v>40182</v>
      </c>
      <c r="C491" s="22">
        <v>80.7</v>
      </c>
    </row>
    <row r="492" spans="2:3" x14ac:dyDescent="0.35">
      <c r="B492" s="87">
        <v>40183</v>
      </c>
      <c r="C492" s="22">
        <v>82.65</v>
      </c>
    </row>
    <row r="493" spans="2:3" x14ac:dyDescent="0.35">
      <c r="B493" s="87">
        <v>40184</v>
      </c>
      <c r="C493" s="22">
        <v>84</v>
      </c>
    </row>
    <row r="494" spans="2:3" x14ac:dyDescent="0.35">
      <c r="B494" s="87">
        <v>40185</v>
      </c>
      <c r="C494" s="22">
        <v>82</v>
      </c>
    </row>
    <row r="495" spans="2:3" x14ac:dyDescent="0.35">
      <c r="B495" s="87">
        <v>40186</v>
      </c>
      <c r="C495" s="22">
        <v>82.58</v>
      </c>
    </row>
    <row r="496" spans="2:3" x14ac:dyDescent="0.35">
      <c r="B496" s="87">
        <v>40189</v>
      </c>
      <c r="C496" s="22">
        <v>83.4</v>
      </c>
    </row>
    <row r="497" spans="2:3" x14ac:dyDescent="0.35">
      <c r="B497" s="87">
        <v>40190</v>
      </c>
      <c r="C497" s="22">
        <v>81.12</v>
      </c>
    </row>
    <row r="498" spans="2:3" x14ac:dyDescent="0.35">
      <c r="B498" s="87">
        <v>40191</v>
      </c>
      <c r="C498" s="22">
        <v>81.05</v>
      </c>
    </row>
    <row r="499" spans="2:3" x14ac:dyDescent="0.35">
      <c r="B499" s="87">
        <v>40192</v>
      </c>
      <c r="C499" s="22">
        <v>81.22</v>
      </c>
    </row>
    <row r="500" spans="2:3" x14ac:dyDescent="0.35">
      <c r="B500" s="87">
        <v>40193</v>
      </c>
      <c r="C500" s="22">
        <v>80.42</v>
      </c>
    </row>
    <row r="501" spans="2:3" x14ac:dyDescent="0.35">
      <c r="B501" s="87">
        <v>40196</v>
      </c>
      <c r="C501" s="22">
        <v>80.97</v>
      </c>
    </row>
    <row r="502" spans="2:3" x14ac:dyDescent="0.35">
      <c r="B502" s="87">
        <v>40197</v>
      </c>
      <c r="C502" s="22">
        <v>79.47</v>
      </c>
    </row>
    <row r="503" spans="2:3" x14ac:dyDescent="0.35">
      <c r="B503" s="87">
        <v>40198</v>
      </c>
      <c r="C503" s="22">
        <v>80.5</v>
      </c>
    </row>
    <row r="504" spans="2:3" x14ac:dyDescent="0.35">
      <c r="B504" s="87">
        <v>40199</v>
      </c>
      <c r="C504" s="22">
        <v>79.28</v>
      </c>
    </row>
    <row r="505" spans="2:3" x14ac:dyDescent="0.35">
      <c r="B505" s="87">
        <v>40200</v>
      </c>
      <c r="C505" s="22">
        <v>78.67</v>
      </c>
    </row>
    <row r="506" spans="2:3" x14ac:dyDescent="0.35">
      <c r="B506" s="87">
        <v>40203</v>
      </c>
      <c r="C506" s="22">
        <v>79</v>
      </c>
    </row>
    <row r="507" spans="2:3" x14ac:dyDescent="0.35">
      <c r="B507" s="87">
        <v>40205</v>
      </c>
      <c r="C507" s="22">
        <v>77.599999999999994</v>
      </c>
    </row>
    <row r="508" spans="2:3" x14ac:dyDescent="0.35">
      <c r="B508" s="87">
        <v>40206</v>
      </c>
      <c r="C508" s="22">
        <v>79.3</v>
      </c>
    </row>
    <row r="509" spans="2:3" x14ac:dyDescent="0.35">
      <c r="B509" s="87">
        <v>40207</v>
      </c>
      <c r="C509" s="22">
        <v>80.400000000000006</v>
      </c>
    </row>
    <row r="510" spans="2:3" x14ac:dyDescent="0.35">
      <c r="B510" s="87">
        <v>40210</v>
      </c>
      <c r="C510" s="22">
        <v>82.85</v>
      </c>
    </row>
    <row r="511" spans="2:3" x14ac:dyDescent="0.35">
      <c r="B511" s="87">
        <v>40211</v>
      </c>
      <c r="C511" s="22">
        <v>82.12</v>
      </c>
    </row>
    <row r="512" spans="2:3" x14ac:dyDescent="0.35">
      <c r="B512" s="87">
        <v>40212</v>
      </c>
      <c r="C512" s="22">
        <v>84.17</v>
      </c>
    </row>
    <row r="513" spans="2:3" x14ac:dyDescent="0.35">
      <c r="B513" s="87">
        <v>40213</v>
      </c>
      <c r="C513" s="22">
        <v>84.78</v>
      </c>
    </row>
    <row r="514" spans="2:3" x14ac:dyDescent="0.35">
      <c r="B514" s="87">
        <v>40214</v>
      </c>
      <c r="C514" s="22">
        <v>85</v>
      </c>
    </row>
    <row r="515" spans="2:3" x14ac:dyDescent="0.35">
      <c r="B515" s="87">
        <v>40215</v>
      </c>
      <c r="C515" s="22">
        <v>84.65</v>
      </c>
    </row>
    <row r="516" spans="2:3" x14ac:dyDescent="0.35">
      <c r="B516" s="87">
        <v>40217</v>
      </c>
      <c r="C516" s="22">
        <v>87.95</v>
      </c>
    </row>
    <row r="517" spans="2:3" x14ac:dyDescent="0.35">
      <c r="B517" s="87">
        <v>40218</v>
      </c>
      <c r="C517" s="22">
        <v>88.55</v>
      </c>
    </row>
    <row r="518" spans="2:3" x14ac:dyDescent="0.35">
      <c r="B518" s="87">
        <v>40219</v>
      </c>
      <c r="C518" s="22">
        <v>87.72</v>
      </c>
    </row>
    <row r="519" spans="2:3" x14ac:dyDescent="0.35">
      <c r="B519" s="87">
        <v>40220</v>
      </c>
      <c r="C519" s="22">
        <v>86.4</v>
      </c>
    </row>
    <row r="520" spans="2:3" x14ac:dyDescent="0.35">
      <c r="B520" s="87">
        <v>40224</v>
      </c>
      <c r="C520" s="22">
        <v>85.35</v>
      </c>
    </row>
    <row r="521" spans="2:3" x14ac:dyDescent="0.35">
      <c r="B521" s="87">
        <v>40225</v>
      </c>
      <c r="C521" s="22">
        <v>85.3</v>
      </c>
    </row>
    <row r="522" spans="2:3" x14ac:dyDescent="0.35">
      <c r="B522" s="87">
        <v>40226</v>
      </c>
      <c r="C522" s="22">
        <v>84.3</v>
      </c>
    </row>
    <row r="523" spans="2:3" x14ac:dyDescent="0.35">
      <c r="B523" s="87">
        <v>40227</v>
      </c>
      <c r="C523" s="22">
        <v>84.42</v>
      </c>
    </row>
    <row r="524" spans="2:3" x14ac:dyDescent="0.35">
      <c r="B524" s="87">
        <v>40228</v>
      </c>
      <c r="C524" s="22">
        <v>85.12</v>
      </c>
    </row>
    <row r="525" spans="2:3" x14ac:dyDescent="0.35">
      <c r="B525" s="87">
        <v>40231</v>
      </c>
      <c r="C525" s="22">
        <v>83.33</v>
      </c>
    </row>
    <row r="526" spans="2:3" x14ac:dyDescent="0.35">
      <c r="B526" s="87">
        <v>40232</v>
      </c>
      <c r="C526" s="22">
        <v>82.58</v>
      </c>
    </row>
    <row r="527" spans="2:3" x14ac:dyDescent="0.35">
      <c r="B527" s="87">
        <v>40233</v>
      </c>
      <c r="C527" s="22">
        <v>83.2</v>
      </c>
    </row>
    <row r="528" spans="2:3" x14ac:dyDescent="0.35">
      <c r="B528" s="87">
        <v>40234</v>
      </c>
      <c r="C528" s="22">
        <v>84.55</v>
      </c>
    </row>
    <row r="529" spans="2:3" x14ac:dyDescent="0.35">
      <c r="B529" s="87">
        <v>40235</v>
      </c>
      <c r="C529" s="22">
        <v>84.62</v>
      </c>
    </row>
    <row r="530" spans="2:3" x14ac:dyDescent="0.35">
      <c r="B530" s="87">
        <v>40239</v>
      </c>
      <c r="C530" s="22">
        <v>84.2</v>
      </c>
    </row>
    <row r="531" spans="2:3" x14ac:dyDescent="0.35">
      <c r="B531" s="87">
        <v>40240</v>
      </c>
      <c r="C531" s="22">
        <v>84.42</v>
      </c>
    </row>
    <row r="532" spans="2:3" x14ac:dyDescent="0.35">
      <c r="B532" s="87">
        <v>40241</v>
      </c>
      <c r="C532" s="22">
        <v>85.17</v>
      </c>
    </row>
    <row r="533" spans="2:3" x14ac:dyDescent="0.35">
      <c r="B533" s="87">
        <v>40242</v>
      </c>
      <c r="C533" s="22">
        <v>84.97</v>
      </c>
    </row>
    <row r="534" spans="2:3" x14ac:dyDescent="0.35">
      <c r="B534" s="87">
        <v>40245</v>
      </c>
      <c r="C534" s="22">
        <v>86</v>
      </c>
    </row>
    <row r="535" spans="2:3" x14ac:dyDescent="0.35">
      <c r="B535" s="87">
        <v>40246</v>
      </c>
      <c r="C535" s="22">
        <v>86.5</v>
      </c>
    </row>
    <row r="536" spans="2:3" x14ac:dyDescent="0.35">
      <c r="B536" s="87">
        <v>40247</v>
      </c>
      <c r="C536" s="22">
        <v>86.3</v>
      </c>
    </row>
    <row r="537" spans="2:3" x14ac:dyDescent="0.35">
      <c r="B537" s="87">
        <v>40248</v>
      </c>
      <c r="C537" s="22">
        <v>85.03</v>
      </c>
    </row>
    <row r="538" spans="2:3" x14ac:dyDescent="0.35">
      <c r="B538" s="87">
        <v>40249</v>
      </c>
      <c r="C538" s="22">
        <v>83.72</v>
      </c>
    </row>
    <row r="539" spans="2:3" x14ac:dyDescent="0.35">
      <c r="B539" s="87">
        <v>40252</v>
      </c>
      <c r="C539" s="22">
        <v>83.33</v>
      </c>
    </row>
    <row r="540" spans="2:3" x14ac:dyDescent="0.35">
      <c r="B540" s="87">
        <v>40253</v>
      </c>
      <c r="C540" s="22">
        <v>82.33</v>
      </c>
    </row>
    <row r="541" spans="2:3" x14ac:dyDescent="0.35">
      <c r="B541" s="87">
        <v>40254</v>
      </c>
      <c r="C541" s="22">
        <v>82.45</v>
      </c>
    </row>
    <row r="542" spans="2:3" x14ac:dyDescent="0.35">
      <c r="B542" s="87">
        <v>40255</v>
      </c>
      <c r="C542" s="22">
        <v>82.38</v>
      </c>
    </row>
    <row r="543" spans="2:3" x14ac:dyDescent="0.35">
      <c r="B543" s="87">
        <v>40256</v>
      </c>
      <c r="C543" s="22">
        <v>82.05</v>
      </c>
    </row>
    <row r="544" spans="2:3" x14ac:dyDescent="0.35">
      <c r="B544" s="87">
        <v>40259</v>
      </c>
      <c r="C544" s="22">
        <v>79.92</v>
      </c>
    </row>
    <row r="545" spans="2:3" x14ac:dyDescent="0.35">
      <c r="B545" s="87">
        <v>40260</v>
      </c>
      <c r="C545" s="22">
        <v>79.95</v>
      </c>
    </row>
    <row r="546" spans="2:3" x14ac:dyDescent="0.35">
      <c r="B546" s="87">
        <v>40262</v>
      </c>
      <c r="C546" s="22">
        <v>80.12</v>
      </c>
    </row>
    <row r="547" spans="2:3" x14ac:dyDescent="0.35">
      <c r="B547" s="87">
        <v>40263</v>
      </c>
      <c r="C547" s="22">
        <v>82.6</v>
      </c>
    </row>
    <row r="548" spans="2:3" x14ac:dyDescent="0.35">
      <c r="B548" s="87">
        <v>40266</v>
      </c>
      <c r="C548" s="22">
        <v>80.05</v>
      </c>
    </row>
    <row r="549" spans="2:3" x14ac:dyDescent="0.35">
      <c r="B549" s="87">
        <v>40267</v>
      </c>
      <c r="C549" s="22">
        <v>80.5</v>
      </c>
    </row>
    <row r="550" spans="2:3" x14ac:dyDescent="0.35">
      <c r="B550" s="87">
        <v>40268</v>
      </c>
      <c r="C550" s="22">
        <v>79.400000000000006</v>
      </c>
    </row>
    <row r="551" spans="2:3" x14ac:dyDescent="0.35">
      <c r="B551" s="87">
        <v>40269</v>
      </c>
      <c r="C551" s="22">
        <v>79.38</v>
      </c>
    </row>
    <row r="552" spans="2:3" x14ac:dyDescent="0.35">
      <c r="B552" s="87">
        <v>40273</v>
      </c>
      <c r="C552" s="22">
        <v>81.849999999999994</v>
      </c>
    </row>
    <row r="553" spans="2:3" x14ac:dyDescent="0.35">
      <c r="B553" s="87">
        <v>40274</v>
      </c>
      <c r="C553" s="22">
        <v>83.95</v>
      </c>
    </row>
    <row r="554" spans="2:3" x14ac:dyDescent="0.35">
      <c r="B554" s="87">
        <v>40275</v>
      </c>
      <c r="C554" s="22">
        <v>83.33</v>
      </c>
    </row>
    <row r="555" spans="2:3" x14ac:dyDescent="0.35">
      <c r="B555" s="87">
        <v>40276</v>
      </c>
      <c r="C555" s="22">
        <v>85</v>
      </c>
    </row>
    <row r="556" spans="2:3" x14ac:dyDescent="0.35">
      <c r="B556" s="87">
        <v>40277</v>
      </c>
      <c r="C556" s="22">
        <v>88.4</v>
      </c>
    </row>
    <row r="557" spans="2:3" x14ac:dyDescent="0.35">
      <c r="B557" s="87">
        <v>40280</v>
      </c>
      <c r="C557" s="22">
        <v>89.03</v>
      </c>
    </row>
    <row r="558" spans="2:3" x14ac:dyDescent="0.35">
      <c r="B558" s="87">
        <v>40281</v>
      </c>
      <c r="C558" s="22">
        <v>88.4</v>
      </c>
    </row>
    <row r="559" spans="2:3" x14ac:dyDescent="0.35">
      <c r="B559" s="87">
        <v>40283</v>
      </c>
      <c r="C559" s="22">
        <v>89.25</v>
      </c>
    </row>
    <row r="560" spans="2:3" x14ac:dyDescent="0.35">
      <c r="B560" s="87">
        <v>40284</v>
      </c>
      <c r="C560" s="22">
        <v>89.45</v>
      </c>
    </row>
    <row r="561" spans="2:3" x14ac:dyDescent="0.35">
      <c r="B561" s="87">
        <v>40287</v>
      </c>
      <c r="C561" s="22">
        <v>87.53</v>
      </c>
    </row>
    <row r="562" spans="2:3" x14ac:dyDescent="0.35">
      <c r="B562" s="87">
        <v>40288</v>
      </c>
      <c r="C562" s="22">
        <v>87.67</v>
      </c>
    </row>
    <row r="563" spans="2:3" x14ac:dyDescent="0.35">
      <c r="B563" s="87">
        <v>40289</v>
      </c>
      <c r="C563" s="22">
        <v>87.88</v>
      </c>
    </row>
    <row r="564" spans="2:3" x14ac:dyDescent="0.35">
      <c r="B564" s="87">
        <v>40290</v>
      </c>
      <c r="C564" s="22">
        <v>88.3</v>
      </c>
    </row>
    <row r="565" spans="2:3" x14ac:dyDescent="0.35">
      <c r="B565" s="87">
        <v>40291</v>
      </c>
      <c r="C565" s="22">
        <v>88.65</v>
      </c>
    </row>
    <row r="566" spans="2:3" x14ac:dyDescent="0.35">
      <c r="B566" s="87">
        <v>40294</v>
      </c>
      <c r="C566" s="22">
        <v>88.78</v>
      </c>
    </row>
    <row r="567" spans="2:3" x14ac:dyDescent="0.35">
      <c r="B567" s="87">
        <v>40295</v>
      </c>
      <c r="C567" s="22">
        <v>88.92</v>
      </c>
    </row>
    <row r="568" spans="2:3" x14ac:dyDescent="0.35">
      <c r="B568" s="87">
        <v>40296</v>
      </c>
      <c r="C568" s="22">
        <v>90.17</v>
      </c>
    </row>
    <row r="569" spans="2:3" x14ac:dyDescent="0.35">
      <c r="B569" s="87">
        <v>40297</v>
      </c>
      <c r="C569" s="22">
        <v>90.67</v>
      </c>
    </row>
    <row r="570" spans="2:3" x14ac:dyDescent="0.35">
      <c r="B570" s="87">
        <v>40298</v>
      </c>
      <c r="C570" s="22">
        <v>90.15</v>
      </c>
    </row>
    <row r="571" spans="2:3" x14ac:dyDescent="0.35">
      <c r="B571" s="87">
        <v>40301</v>
      </c>
      <c r="C571" s="22">
        <v>90.95</v>
      </c>
    </row>
    <row r="572" spans="2:3" x14ac:dyDescent="0.35">
      <c r="B572" s="87">
        <v>40302</v>
      </c>
      <c r="C572" s="22">
        <v>91.17</v>
      </c>
    </row>
    <row r="573" spans="2:3" x14ac:dyDescent="0.35">
      <c r="B573" s="87">
        <v>40303</v>
      </c>
      <c r="C573" s="22">
        <v>92.9</v>
      </c>
    </row>
    <row r="574" spans="2:3" x14ac:dyDescent="0.35">
      <c r="B574" s="87">
        <v>40304</v>
      </c>
      <c r="C574" s="22">
        <v>94.33</v>
      </c>
    </row>
    <row r="575" spans="2:3" x14ac:dyDescent="0.35">
      <c r="B575" s="87">
        <v>40305</v>
      </c>
      <c r="C575" s="22">
        <v>90.03</v>
      </c>
    </row>
    <row r="576" spans="2:3" x14ac:dyDescent="0.35">
      <c r="B576" s="87">
        <v>40308</v>
      </c>
      <c r="C576" s="22">
        <v>90.4</v>
      </c>
    </row>
    <row r="577" spans="2:3" x14ac:dyDescent="0.35">
      <c r="B577" s="87">
        <v>40309</v>
      </c>
      <c r="C577" s="22">
        <v>89</v>
      </c>
    </row>
    <row r="578" spans="2:3" x14ac:dyDescent="0.35">
      <c r="B578" s="87">
        <v>40310</v>
      </c>
      <c r="C578" s="22">
        <v>88.58</v>
      </c>
    </row>
    <row r="579" spans="2:3" x14ac:dyDescent="0.35">
      <c r="B579" s="87">
        <v>40311</v>
      </c>
      <c r="C579" s="22">
        <v>88.92</v>
      </c>
    </row>
    <row r="580" spans="2:3" x14ac:dyDescent="0.35">
      <c r="B580" s="87">
        <v>40312</v>
      </c>
      <c r="C580" s="22">
        <v>91.4</v>
      </c>
    </row>
    <row r="581" spans="2:3" x14ac:dyDescent="0.35">
      <c r="B581" s="87">
        <v>40315</v>
      </c>
      <c r="C581" s="22">
        <v>93.75</v>
      </c>
    </row>
    <row r="582" spans="2:3" x14ac:dyDescent="0.35">
      <c r="B582" s="87">
        <v>40316</v>
      </c>
      <c r="C582" s="22">
        <v>94.3</v>
      </c>
    </row>
    <row r="583" spans="2:3" x14ac:dyDescent="0.35">
      <c r="B583" s="87">
        <v>40317</v>
      </c>
      <c r="C583" s="22">
        <v>90.65</v>
      </c>
    </row>
    <row r="584" spans="2:3" x14ac:dyDescent="0.35">
      <c r="B584" s="87">
        <v>40318</v>
      </c>
      <c r="C584" s="22">
        <v>92.97</v>
      </c>
    </row>
    <row r="585" spans="2:3" x14ac:dyDescent="0.35">
      <c r="B585" s="87">
        <v>40319</v>
      </c>
      <c r="C585" s="22">
        <v>91.65</v>
      </c>
    </row>
    <row r="586" spans="2:3" x14ac:dyDescent="0.35">
      <c r="B586" s="87">
        <v>40322</v>
      </c>
      <c r="C586" s="22">
        <v>91.28</v>
      </c>
    </row>
    <row r="587" spans="2:3" x14ac:dyDescent="0.35">
      <c r="B587" s="87">
        <v>40323</v>
      </c>
      <c r="C587" s="22">
        <v>88.75</v>
      </c>
    </row>
    <row r="588" spans="2:3" x14ac:dyDescent="0.35">
      <c r="B588" s="87">
        <v>40324</v>
      </c>
      <c r="C588" s="22">
        <v>90.25</v>
      </c>
    </row>
    <row r="589" spans="2:3" x14ac:dyDescent="0.35">
      <c r="B589" s="87">
        <v>40325</v>
      </c>
      <c r="C589" s="22">
        <v>90.05</v>
      </c>
    </row>
    <row r="590" spans="2:3" x14ac:dyDescent="0.35">
      <c r="B590" s="87">
        <v>40326</v>
      </c>
      <c r="C590" s="22">
        <v>92.67</v>
      </c>
    </row>
    <row r="591" spans="2:3" x14ac:dyDescent="0.35">
      <c r="B591" s="87">
        <v>40329</v>
      </c>
      <c r="C591" s="22">
        <v>92.7</v>
      </c>
    </row>
    <row r="592" spans="2:3" x14ac:dyDescent="0.35">
      <c r="B592" s="87">
        <v>40330</v>
      </c>
      <c r="C592" s="22">
        <v>92.05</v>
      </c>
    </row>
    <row r="593" spans="2:3" x14ac:dyDescent="0.35">
      <c r="B593" s="87">
        <v>40331</v>
      </c>
      <c r="C593" s="22">
        <v>92.55</v>
      </c>
    </row>
    <row r="594" spans="2:3" x14ac:dyDescent="0.35">
      <c r="B594" s="87">
        <v>40332</v>
      </c>
      <c r="C594" s="22">
        <v>93.45</v>
      </c>
    </row>
    <row r="595" spans="2:3" x14ac:dyDescent="0.35">
      <c r="B595" s="87">
        <v>40333</v>
      </c>
      <c r="C595" s="22">
        <v>96.2</v>
      </c>
    </row>
    <row r="596" spans="2:3" x14ac:dyDescent="0.35">
      <c r="B596" s="87">
        <v>40336</v>
      </c>
      <c r="C596" s="22">
        <v>96.72</v>
      </c>
    </row>
    <row r="597" spans="2:3" x14ac:dyDescent="0.35">
      <c r="B597" s="87">
        <v>40337</v>
      </c>
      <c r="C597" s="22">
        <v>98.33</v>
      </c>
    </row>
    <row r="598" spans="2:3" x14ac:dyDescent="0.35">
      <c r="B598" s="87">
        <v>40338</v>
      </c>
      <c r="C598" s="22">
        <v>95.92</v>
      </c>
    </row>
    <row r="599" spans="2:3" x14ac:dyDescent="0.35">
      <c r="B599" s="87">
        <v>40339</v>
      </c>
      <c r="C599" s="22">
        <v>95.97</v>
      </c>
    </row>
    <row r="600" spans="2:3" x14ac:dyDescent="0.35">
      <c r="B600" s="87">
        <v>40340</v>
      </c>
      <c r="C600" s="22">
        <v>95.42</v>
      </c>
    </row>
    <row r="601" spans="2:3" x14ac:dyDescent="0.35">
      <c r="B601" s="87">
        <v>40343</v>
      </c>
      <c r="C601" s="22">
        <v>96.05</v>
      </c>
    </row>
    <row r="602" spans="2:3" x14ac:dyDescent="0.35">
      <c r="B602" s="87">
        <v>40344</v>
      </c>
      <c r="C602" s="22">
        <v>95.1</v>
      </c>
    </row>
    <row r="603" spans="2:3" x14ac:dyDescent="0.35">
      <c r="B603" s="87">
        <v>40345</v>
      </c>
      <c r="C603" s="22">
        <v>94.08</v>
      </c>
    </row>
    <row r="604" spans="2:3" x14ac:dyDescent="0.35">
      <c r="B604" s="87">
        <v>40346</v>
      </c>
      <c r="C604" s="22">
        <v>94.78</v>
      </c>
    </row>
    <row r="605" spans="2:3" x14ac:dyDescent="0.35">
      <c r="B605" s="87">
        <v>40347</v>
      </c>
      <c r="C605" s="22">
        <v>93.08</v>
      </c>
    </row>
    <row r="606" spans="2:3" x14ac:dyDescent="0.35">
      <c r="B606" s="87">
        <v>40350</v>
      </c>
      <c r="C606" s="22">
        <v>95.58</v>
      </c>
    </row>
    <row r="607" spans="2:3" x14ac:dyDescent="0.35">
      <c r="B607" s="87">
        <v>40351</v>
      </c>
      <c r="C607" s="22">
        <v>98.88</v>
      </c>
    </row>
    <row r="608" spans="2:3" x14ac:dyDescent="0.35">
      <c r="B608" s="87">
        <v>40352</v>
      </c>
      <c r="C608" s="22">
        <v>99.15</v>
      </c>
    </row>
    <row r="609" spans="2:3" x14ac:dyDescent="0.35">
      <c r="B609" s="87">
        <v>40353</v>
      </c>
      <c r="C609" s="22">
        <v>101.08</v>
      </c>
    </row>
    <row r="610" spans="2:3" x14ac:dyDescent="0.35">
      <c r="B610" s="87">
        <v>40354</v>
      </c>
      <c r="C610" s="22">
        <v>100.45</v>
      </c>
    </row>
    <row r="611" spans="2:3" x14ac:dyDescent="0.35">
      <c r="B611" s="87">
        <v>40357</v>
      </c>
      <c r="C611" s="22">
        <v>100.8</v>
      </c>
    </row>
    <row r="612" spans="2:3" x14ac:dyDescent="0.35">
      <c r="B612" s="87">
        <v>40358</v>
      </c>
      <c r="C612" s="22">
        <v>102.78</v>
      </c>
    </row>
    <row r="613" spans="2:3" x14ac:dyDescent="0.35">
      <c r="B613" s="87">
        <v>40359</v>
      </c>
      <c r="C613" s="22">
        <v>105.3</v>
      </c>
    </row>
    <row r="614" spans="2:3" x14ac:dyDescent="0.35">
      <c r="B614" s="87">
        <v>40360</v>
      </c>
      <c r="C614" s="22">
        <v>103.1</v>
      </c>
    </row>
    <row r="615" spans="2:3" x14ac:dyDescent="0.35">
      <c r="B615" s="87">
        <v>40361</v>
      </c>
      <c r="C615" s="22">
        <v>100.83</v>
      </c>
    </row>
    <row r="616" spans="2:3" x14ac:dyDescent="0.35">
      <c r="B616" s="87">
        <v>40364</v>
      </c>
      <c r="C616" s="22">
        <v>101.08</v>
      </c>
    </row>
    <row r="617" spans="2:3" x14ac:dyDescent="0.35">
      <c r="B617" s="87">
        <v>40365</v>
      </c>
      <c r="C617" s="22">
        <v>102.88</v>
      </c>
    </row>
    <row r="618" spans="2:3" x14ac:dyDescent="0.35">
      <c r="B618" s="87">
        <v>40366</v>
      </c>
      <c r="C618" s="22">
        <v>104</v>
      </c>
    </row>
    <row r="619" spans="2:3" x14ac:dyDescent="0.35">
      <c r="B619" s="87">
        <v>40367</v>
      </c>
      <c r="C619" s="22">
        <v>105.67</v>
      </c>
    </row>
    <row r="620" spans="2:3" x14ac:dyDescent="0.35">
      <c r="B620" s="87">
        <v>40368</v>
      </c>
      <c r="C620" s="22">
        <v>106.25</v>
      </c>
    </row>
    <row r="621" spans="2:3" x14ac:dyDescent="0.35">
      <c r="B621" s="87">
        <v>40371</v>
      </c>
      <c r="C621" s="22">
        <v>105.75</v>
      </c>
    </row>
    <row r="622" spans="2:3" x14ac:dyDescent="0.35">
      <c r="B622" s="87">
        <v>40372</v>
      </c>
      <c r="C622" s="22">
        <v>106.33</v>
      </c>
    </row>
    <row r="623" spans="2:3" x14ac:dyDescent="0.35">
      <c r="B623" s="87">
        <v>40373</v>
      </c>
      <c r="C623" s="22">
        <v>107.05</v>
      </c>
    </row>
    <row r="624" spans="2:3" x14ac:dyDescent="0.35">
      <c r="B624" s="87">
        <v>40374</v>
      </c>
      <c r="C624" s="22">
        <v>106.2</v>
      </c>
    </row>
    <row r="625" spans="2:3" x14ac:dyDescent="0.35">
      <c r="B625" s="87">
        <v>40375</v>
      </c>
      <c r="C625" s="22">
        <v>106.75</v>
      </c>
    </row>
    <row r="626" spans="2:3" x14ac:dyDescent="0.35">
      <c r="B626" s="87">
        <v>40378</v>
      </c>
      <c r="C626" s="22">
        <v>104.45</v>
      </c>
    </row>
    <row r="627" spans="2:3" x14ac:dyDescent="0.35">
      <c r="B627" s="87">
        <v>40379</v>
      </c>
      <c r="C627" s="22">
        <v>102.7</v>
      </c>
    </row>
    <row r="628" spans="2:3" x14ac:dyDescent="0.35">
      <c r="B628" s="87">
        <v>40380</v>
      </c>
      <c r="C628" s="22">
        <v>102.97</v>
      </c>
    </row>
    <row r="629" spans="2:3" x14ac:dyDescent="0.35">
      <c r="B629" s="87">
        <v>40381</v>
      </c>
      <c r="C629" s="22">
        <v>104.47</v>
      </c>
    </row>
    <row r="630" spans="2:3" x14ac:dyDescent="0.35">
      <c r="B630" s="87">
        <v>40382</v>
      </c>
      <c r="C630" s="22">
        <v>105.75</v>
      </c>
    </row>
    <row r="631" spans="2:3" x14ac:dyDescent="0.35">
      <c r="B631" s="87">
        <v>40385</v>
      </c>
      <c r="C631" s="22">
        <v>101.78</v>
      </c>
    </row>
    <row r="632" spans="2:3" x14ac:dyDescent="0.35">
      <c r="B632" s="87">
        <v>40386</v>
      </c>
      <c r="C632" s="22">
        <v>101.45</v>
      </c>
    </row>
    <row r="633" spans="2:3" x14ac:dyDescent="0.35">
      <c r="B633" s="87">
        <v>40387</v>
      </c>
      <c r="C633" s="22">
        <v>99.92</v>
      </c>
    </row>
    <row r="634" spans="2:3" x14ac:dyDescent="0.35">
      <c r="B634" s="87">
        <v>40388</v>
      </c>
      <c r="C634" s="22">
        <v>98.22</v>
      </c>
    </row>
    <row r="635" spans="2:3" x14ac:dyDescent="0.35">
      <c r="B635" s="87">
        <v>40389</v>
      </c>
      <c r="C635" s="22">
        <v>98.83</v>
      </c>
    </row>
    <row r="636" spans="2:3" x14ac:dyDescent="0.35">
      <c r="B636" s="87">
        <v>40392</v>
      </c>
      <c r="C636" s="22">
        <v>98.85</v>
      </c>
    </row>
    <row r="637" spans="2:3" x14ac:dyDescent="0.35">
      <c r="B637" s="87">
        <v>40393</v>
      </c>
      <c r="C637" s="22">
        <v>98.03</v>
      </c>
    </row>
    <row r="638" spans="2:3" x14ac:dyDescent="0.35">
      <c r="B638" s="87">
        <v>40394</v>
      </c>
      <c r="C638" s="22">
        <v>99.35</v>
      </c>
    </row>
    <row r="639" spans="2:3" x14ac:dyDescent="0.35">
      <c r="B639" s="87">
        <v>40395</v>
      </c>
      <c r="C639" s="22">
        <v>100.75</v>
      </c>
    </row>
    <row r="640" spans="2:3" x14ac:dyDescent="0.35">
      <c r="B640" s="87">
        <v>40396</v>
      </c>
      <c r="C640" s="22">
        <v>101.7</v>
      </c>
    </row>
    <row r="641" spans="2:3" x14ac:dyDescent="0.35">
      <c r="B641" s="87">
        <v>40399</v>
      </c>
      <c r="C641" s="22">
        <v>100.92</v>
      </c>
    </row>
    <row r="642" spans="2:3" x14ac:dyDescent="0.35">
      <c r="B642" s="87">
        <v>40400</v>
      </c>
      <c r="C642" s="22">
        <v>101.17</v>
      </c>
    </row>
    <row r="643" spans="2:3" x14ac:dyDescent="0.35">
      <c r="B643" s="87">
        <v>40401</v>
      </c>
      <c r="C643" s="22">
        <v>100.83</v>
      </c>
    </row>
    <row r="644" spans="2:3" x14ac:dyDescent="0.35">
      <c r="B644" s="87">
        <v>40402</v>
      </c>
      <c r="C644" s="22">
        <v>98.75</v>
      </c>
    </row>
    <row r="645" spans="2:3" x14ac:dyDescent="0.35">
      <c r="B645" s="87">
        <v>40403</v>
      </c>
      <c r="C645" s="22">
        <v>100.08</v>
      </c>
    </row>
    <row r="646" spans="2:3" x14ac:dyDescent="0.35">
      <c r="B646" s="87">
        <v>40406</v>
      </c>
      <c r="C646" s="22">
        <v>100.62</v>
      </c>
    </row>
    <row r="647" spans="2:3" x14ac:dyDescent="0.35">
      <c r="B647" s="87">
        <v>40407</v>
      </c>
      <c r="C647" s="22">
        <v>101.95</v>
      </c>
    </row>
    <row r="648" spans="2:3" x14ac:dyDescent="0.35">
      <c r="B648" s="87">
        <v>40408</v>
      </c>
      <c r="C648" s="22">
        <v>102.5</v>
      </c>
    </row>
    <row r="649" spans="2:3" x14ac:dyDescent="0.35">
      <c r="B649" s="87">
        <v>40409</v>
      </c>
      <c r="C649" s="22">
        <v>103.15</v>
      </c>
    </row>
    <row r="650" spans="2:3" x14ac:dyDescent="0.35">
      <c r="B650" s="87">
        <v>40410</v>
      </c>
      <c r="C650" s="22">
        <v>103.17</v>
      </c>
    </row>
    <row r="651" spans="2:3" x14ac:dyDescent="0.35">
      <c r="B651" s="87">
        <v>40413</v>
      </c>
      <c r="C651" s="22">
        <v>103.58</v>
      </c>
    </row>
    <row r="652" spans="2:3" x14ac:dyDescent="0.35">
      <c r="B652" s="87">
        <v>40414</v>
      </c>
      <c r="C652" s="22">
        <v>104.92</v>
      </c>
    </row>
    <row r="653" spans="2:3" x14ac:dyDescent="0.35">
      <c r="B653" s="87">
        <v>40415</v>
      </c>
      <c r="C653" s="22">
        <v>103.95</v>
      </c>
    </row>
    <row r="654" spans="2:3" x14ac:dyDescent="0.35">
      <c r="B654" s="87">
        <v>40416</v>
      </c>
      <c r="C654" s="22">
        <v>104.5</v>
      </c>
    </row>
    <row r="655" spans="2:3" x14ac:dyDescent="0.35">
      <c r="B655" s="87">
        <v>40417</v>
      </c>
      <c r="C655" s="22">
        <v>102.75</v>
      </c>
    </row>
    <row r="656" spans="2:3" x14ac:dyDescent="0.35">
      <c r="B656" s="87">
        <v>40420</v>
      </c>
      <c r="C656" s="22">
        <v>102.3</v>
      </c>
    </row>
    <row r="657" spans="2:3" x14ac:dyDescent="0.35">
      <c r="B657" s="87">
        <v>40421</v>
      </c>
      <c r="C657" s="22">
        <v>104.62</v>
      </c>
    </row>
    <row r="658" spans="2:3" x14ac:dyDescent="0.35">
      <c r="B658" s="87">
        <v>40422</v>
      </c>
      <c r="C658" s="22">
        <v>105.85</v>
      </c>
    </row>
    <row r="659" spans="2:3" x14ac:dyDescent="0.35">
      <c r="B659" s="87">
        <v>40423</v>
      </c>
      <c r="C659" s="22">
        <v>106.65</v>
      </c>
    </row>
    <row r="660" spans="2:3" x14ac:dyDescent="0.35">
      <c r="B660" s="87">
        <v>40424</v>
      </c>
      <c r="C660" s="22">
        <v>105.55</v>
      </c>
    </row>
    <row r="661" spans="2:3" x14ac:dyDescent="0.35">
      <c r="B661" s="87">
        <v>40427</v>
      </c>
      <c r="C661" s="22">
        <v>105.75</v>
      </c>
    </row>
    <row r="662" spans="2:3" x14ac:dyDescent="0.35">
      <c r="B662" s="87">
        <v>40428</v>
      </c>
      <c r="C662" s="22">
        <v>107.95</v>
      </c>
    </row>
    <row r="663" spans="2:3" x14ac:dyDescent="0.35">
      <c r="B663" s="87">
        <v>40429</v>
      </c>
      <c r="C663" s="22">
        <v>107.4</v>
      </c>
    </row>
    <row r="664" spans="2:3" x14ac:dyDescent="0.35">
      <c r="B664" s="87">
        <v>40430</v>
      </c>
      <c r="C664" s="22">
        <v>108.5</v>
      </c>
    </row>
    <row r="665" spans="2:3" x14ac:dyDescent="0.35">
      <c r="B665" s="87">
        <v>40434</v>
      </c>
      <c r="C665" s="22">
        <v>108.25</v>
      </c>
    </row>
    <row r="666" spans="2:3" x14ac:dyDescent="0.35">
      <c r="B666" s="87">
        <v>40435</v>
      </c>
      <c r="C666" s="22">
        <v>108.55</v>
      </c>
    </row>
    <row r="667" spans="2:3" x14ac:dyDescent="0.35">
      <c r="B667" s="87">
        <v>40436</v>
      </c>
      <c r="C667" s="22">
        <v>108.05</v>
      </c>
    </row>
    <row r="668" spans="2:3" x14ac:dyDescent="0.35">
      <c r="B668" s="87">
        <v>40437</v>
      </c>
      <c r="C668" s="22">
        <v>109.45</v>
      </c>
    </row>
    <row r="669" spans="2:3" x14ac:dyDescent="0.35">
      <c r="B669" s="87">
        <v>40438</v>
      </c>
      <c r="C669" s="22">
        <v>109.55</v>
      </c>
    </row>
    <row r="670" spans="2:3" x14ac:dyDescent="0.35">
      <c r="B670" s="87">
        <v>40441</v>
      </c>
      <c r="C670" s="22">
        <v>111.3</v>
      </c>
    </row>
    <row r="671" spans="2:3" x14ac:dyDescent="0.35">
      <c r="B671" s="87">
        <v>40442</v>
      </c>
      <c r="C671" s="22">
        <v>109.35</v>
      </c>
    </row>
    <row r="672" spans="2:3" x14ac:dyDescent="0.35">
      <c r="B672" s="87">
        <v>40443</v>
      </c>
      <c r="C672" s="22">
        <v>105.8</v>
      </c>
    </row>
    <row r="673" spans="2:3" x14ac:dyDescent="0.35">
      <c r="B673" s="87">
        <v>40444</v>
      </c>
      <c r="C673" s="22">
        <v>103.95</v>
      </c>
    </row>
    <row r="674" spans="2:3" x14ac:dyDescent="0.35">
      <c r="B674" s="87">
        <v>40445</v>
      </c>
      <c r="C674" s="22">
        <v>104.7</v>
      </c>
    </row>
    <row r="675" spans="2:3" x14ac:dyDescent="0.35">
      <c r="B675" s="87">
        <v>40448</v>
      </c>
      <c r="C675" s="22">
        <v>105.25</v>
      </c>
    </row>
    <row r="676" spans="2:3" x14ac:dyDescent="0.35">
      <c r="B676" s="87">
        <v>40449</v>
      </c>
      <c r="C676" s="22">
        <v>104</v>
      </c>
    </row>
    <row r="677" spans="2:3" x14ac:dyDescent="0.35">
      <c r="B677" s="87">
        <v>40450</v>
      </c>
      <c r="C677" s="22">
        <v>105.55</v>
      </c>
    </row>
    <row r="678" spans="2:3" x14ac:dyDescent="0.35">
      <c r="B678" s="87">
        <v>40451</v>
      </c>
      <c r="C678" s="22">
        <v>108</v>
      </c>
    </row>
    <row r="679" spans="2:3" x14ac:dyDescent="0.35">
      <c r="B679" s="87">
        <v>40452</v>
      </c>
      <c r="C679" s="22">
        <v>109.05</v>
      </c>
    </row>
    <row r="680" spans="2:3" x14ac:dyDescent="0.35">
      <c r="B680" s="87">
        <v>40455</v>
      </c>
      <c r="C680" s="22">
        <v>110.25</v>
      </c>
    </row>
    <row r="681" spans="2:3" x14ac:dyDescent="0.35">
      <c r="B681" s="87">
        <v>40456</v>
      </c>
      <c r="C681" s="22">
        <v>108.3</v>
      </c>
    </row>
    <row r="682" spans="2:3" x14ac:dyDescent="0.35">
      <c r="B682" s="87">
        <v>40457</v>
      </c>
      <c r="C682" s="22">
        <v>108.1</v>
      </c>
    </row>
    <row r="683" spans="2:3" x14ac:dyDescent="0.35">
      <c r="B683" s="87">
        <v>40458</v>
      </c>
      <c r="C683" s="22">
        <v>108.95</v>
      </c>
    </row>
    <row r="684" spans="2:3" x14ac:dyDescent="0.35">
      <c r="B684" s="87">
        <v>40459</v>
      </c>
      <c r="C684" s="22">
        <v>107.05</v>
      </c>
    </row>
    <row r="685" spans="2:3" x14ac:dyDescent="0.35">
      <c r="B685" s="87">
        <v>40462</v>
      </c>
      <c r="C685" s="22">
        <v>106.85</v>
      </c>
    </row>
    <row r="686" spans="2:3" x14ac:dyDescent="0.35">
      <c r="B686" s="87">
        <v>40463</v>
      </c>
      <c r="C686" s="22">
        <v>104.75</v>
      </c>
    </row>
    <row r="687" spans="2:3" x14ac:dyDescent="0.35">
      <c r="B687" s="87">
        <v>40464</v>
      </c>
      <c r="C687" s="22">
        <v>102.95</v>
      </c>
    </row>
    <row r="688" spans="2:3" x14ac:dyDescent="0.35">
      <c r="B688" s="87">
        <v>40465</v>
      </c>
      <c r="C688" s="22">
        <v>104.25</v>
      </c>
    </row>
    <row r="689" spans="2:3" x14ac:dyDescent="0.35">
      <c r="B689" s="87">
        <v>40466</v>
      </c>
      <c r="C689" s="22">
        <v>102.45</v>
      </c>
    </row>
    <row r="690" spans="2:3" x14ac:dyDescent="0.35">
      <c r="B690" s="87">
        <v>40469</v>
      </c>
      <c r="C690" s="22">
        <v>101.05</v>
      </c>
    </row>
    <row r="691" spans="2:3" x14ac:dyDescent="0.35">
      <c r="B691" s="87">
        <v>40470</v>
      </c>
      <c r="C691" s="22">
        <v>102.75</v>
      </c>
    </row>
    <row r="692" spans="2:3" x14ac:dyDescent="0.35">
      <c r="B692" s="87">
        <v>40471</v>
      </c>
      <c r="C692" s="22">
        <v>102.25</v>
      </c>
    </row>
    <row r="693" spans="2:3" x14ac:dyDescent="0.35">
      <c r="B693" s="87">
        <v>40472</v>
      </c>
      <c r="C693" s="22">
        <v>103.95</v>
      </c>
    </row>
    <row r="694" spans="2:3" x14ac:dyDescent="0.35">
      <c r="B694" s="87">
        <v>40473</v>
      </c>
      <c r="C694" s="22">
        <v>103.5</v>
      </c>
    </row>
    <row r="695" spans="2:3" x14ac:dyDescent="0.35">
      <c r="B695" s="87">
        <v>40476</v>
      </c>
      <c r="C695" s="22">
        <v>103.85</v>
      </c>
    </row>
    <row r="696" spans="2:3" x14ac:dyDescent="0.35">
      <c r="B696" s="87">
        <v>40477</v>
      </c>
      <c r="C696" s="22">
        <v>104.95</v>
      </c>
    </row>
    <row r="697" spans="2:3" x14ac:dyDescent="0.35">
      <c r="B697" s="87">
        <v>40478</v>
      </c>
      <c r="C697" s="22">
        <v>102.9</v>
      </c>
    </row>
    <row r="698" spans="2:3" x14ac:dyDescent="0.35">
      <c r="B698" s="87">
        <v>40479</v>
      </c>
      <c r="C698" s="22">
        <v>99.3</v>
      </c>
    </row>
    <row r="699" spans="2:3" x14ac:dyDescent="0.35">
      <c r="B699" s="87">
        <v>40480</v>
      </c>
      <c r="C699" s="22">
        <v>99.75</v>
      </c>
    </row>
    <row r="700" spans="2:3" x14ac:dyDescent="0.35">
      <c r="B700" s="87">
        <v>40483</v>
      </c>
      <c r="C700" s="22">
        <v>99.5</v>
      </c>
    </row>
    <row r="701" spans="2:3" x14ac:dyDescent="0.35">
      <c r="B701" s="87">
        <v>40484</v>
      </c>
      <c r="C701" s="22">
        <v>99.05</v>
      </c>
    </row>
    <row r="702" spans="2:3" x14ac:dyDescent="0.35">
      <c r="B702" s="87">
        <v>40485</v>
      </c>
      <c r="C702" s="22">
        <v>99.35</v>
      </c>
    </row>
    <row r="703" spans="2:3" x14ac:dyDescent="0.35">
      <c r="B703" s="87">
        <v>40486</v>
      </c>
      <c r="C703" s="22">
        <v>99.6</v>
      </c>
    </row>
    <row r="704" spans="2:3" x14ac:dyDescent="0.35">
      <c r="B704" s="87">
        <v>40487</v>
      </c>
      <c r="C704" s="22">
        <v>100.1</v>
      </c>
    </row>
    <row r="705" spans="2:3" x14ac:dyDescent="0.35">
      <c r="B705" s="87">
        <v>40490</v>
      </c>
      <c r="C705" s="22">
        <v>98.95</v>
      </c>
    </row>
    <row r="706" spans="2:3" x14ac:dyDescent="0.35">
      <c r="B706" s="87">
        <v>40491</v>
      </c>
      <c r="C706" s="22">
        <v>102</v>
      </c>
    </row>
    <row r="707" spans="2:3" x14ac:dyDescent="0.35">
      <c r="B707" s="87">
        <v>40492</v>
      </c>
      <c r="C707" s="22">
        <v>101.05</v>
      </c>
    </row>
    <row r="708" spans="2:3" x14ac:dyDescent="0.35">
      <c r="B708" s="87">
        <v>40493</v>
      </c>
      <c r="C708" s="22">
        <v>97.05</v>
      </c>
    </row>
    <row r="709" spans="2:3" x14ac:dyDescent="0.35">
      <c r="B709" s="87">
        <v>40494</v>
      </c>
      <c r="C709" s="22">
        <v>96.6</v>
      </c>
    </row>
    <row r="710" spans="2:3" x14ac:dyDescent="0.35">
      <c r="B710" s="87">
        <v>40497</v>
      </c>
      <c r="C710" s="22">
        <v>97</v>
      </c>
    </row>
    <row r="711" spans="2:3" x14ac:dyDescent="0.35">
      <c r="B711" s="87">
        <v>40498</v>
      </c>
      <c r="C711" s="22">
        <v>93.4</v>
      </c>
    </row>
    <row r="712" spans="2:3" x14ac:dyDescent="0.35">
      <c r="B712" s="87">
        <v>40500</v>
      </c>
      <c r="C712" s="22">
        <v>96.05</v>
      </c>
    </row>
    <row r="713" spans="2:3" x14ac:dyDescent="0.35">
      <c r="B713" s="87">
        <v>40501</v>
      </c>
      <c r="C713" s="22">
        <v>97.55</v>
      </c>
    </row>
    <row r="714" spans="2:3" x14ac:dyDescent="0.35">
      <c r="B714" s="87">
        <v>40504</v>
      </c>
      <c r="C714" s="22">
        <v>96.15</v>
      </c>
    </row>
    <row r="715" spans="2:3" x14ac:dyDescent="0.35">
      <c r="B715" s="87">
        <v>40505</v>
      </c>
      <c r="C715" s="22">
        <v>93.3</v>
      </c>
    </row>
    <row r="716" spans="2:3" x14ac:dyDescent="0.35">
      <c r="B716" s="87">
        <v>40506</v>
      </c>
      <c r="C716" s="22">
        <v>94.35</v>
      </c>
    </row>
    <row r="717" spans="2:3" x14ac:dyDescent="0.35">
      <c r="B717" s="87">
        <v>40507</v>
      </c>
      <c r="C717" s="22">
        <v>94</v>
      </c>
    </row>
    <row r="718" spans="2:3" x14ac:dyDescent="0.35">
      <c r="B718" s="87">
        <v>40508</v>
      </c>
      <c r="C718" s="22">
        <v>94.5</v>
      </c>
    </row>
    <row r="719" spans="2:3" x14ac:dyDescent="0.35">
      <c r="B719" s="87">
        <v>40511</v>
      </c>
      <c r="C719" s="22">
        <v>92.6</v>
      </c>
    </row>
    <row r="720" spans="2:3" x14ac:dyDescent="0.35">
      <c r="B720" s="87">
        <v>40512</v>
      </c>
      <c r="C720" s="22">
        <v>93.6</v>
      </c>
    </row>
    <row r="721" spans="2:3" x14ac:dyDescent="0.35">
      <c r="B721" s="87">
        <v>40513</v>
      </c>
      <c r="C721" s="22">
        <v>95.25</v>
      </c>
    </row>
    <row r="722" spans="2:3" x14ac:dyDescent="0.35">
      <c r="B722" s="87">
        <v>40514</v>
      </c>
      <c r="C722" s="22">
        <v>100.35</v>
      </c>
    </row>
    <row r="723" spans="2:3" x14ac:dyDescent="0.35">
      <c r="B723" s="87">
        <v>40515</v>
      </c>
      <c r="C723" s="22">
        <v>98.95</v>
      </c>
    </row>
    <row r="724" spans="2:3" x14ac:dyDescent="0.35">
      <c r="B724" s="87">
        <v>40518</v>
      </c>
      <c r="C724" s="22">
        <v>98.35</v>
      </c>
    </row>
    <row r="725" spans="2:3" x14ac:dyDescent="0.35">
      <c r="B725" s="87">
        <v>40519</v>
      </c>
      <c r="C725" s="22">
        <v>96.35</v>
      </c>
    </row>
    <row r="726" spans="2:3" x14ac:dyDescent="0.35">
      <c r="B726" s="87">
        <v>40520</v>
      </c>
      <c r="C726" s="22">
        <v>97.25</v>
      </c>
    </row>
    <row r="727" spans="2:3" x14ac:dyDescent="0.35">
      <c r="B727" s="87">
        <v>40521</v>
      </c>
      <c r="C727" s="22">
        <v>96.65</v>
      </c>
    </row>
    <row r="728" spans="2:3" x14ac:dyDescent="0.35">
      <c r="B728" s="87">
        <v>40522</v>
      </c>
      <c r="C728" s="22">
        <v>96.55</v>
      </c>
    </row>
    <row r="729" spans="2:3" x14ac:dyDescent="0.35">
      <c r="B729" s="87">
        <v>40525</v>
      </c>
      <c r="C729" s="22">
        <v>97.95</v>
      </c>
    </row>
    <row r="730" spans="2:3" x14ac:dyDescent="0.35">
      <c r="B730" s="87">
        <v>40526</v>
      </c>
      <c r="C730" s="22">
        <v>99.75</v>
      </c>
    </row>
    <row r="731" spans="2:3" x14ac:dyDescent="0.35">
      <c r="B731" s="87">
        <v>40527</v>
      </c>
      <c r="C731" s="22">
        <v>101.9</v>
      </c>
    </row>
    <row r="732" spans="2:3" x14ac:dyDescent="0.35">
      <c r="B732" s="87">
        <v>40528</v>
      </c>
      <c r="C732" s="22">
        <v>100.25</v>
      </c>
    </row>
    <row r="733" spans="2:3" x14ac:dyDescent="0.35">
      <c r="B733" s="87">
        <v>40532</v>
      </c>
      <c r="C733" s="22">
        <v>101</v>
      </c>
    </row>
    <row r="734" spans="2:3" x14ac:dyDescent="0.35">
      <c r="B734" s="87">
        <v>40533</v>
      </c>
      <c r="C734" s="22">
        <v>99.75</v>
      </c>
    </row>
    <row r="735" spans="2:3" x14ac:dyDescent="0.35">
      <c r="B735" s="87">
        <v>40534</v>
      </c>
      <c r="C735" s="22">
        <v>100.25</v>
      </c>
    </row>
    <row r="736" spans="2:3" x14ac:dyDescent="0.35">
      <c r="B736" s="87">
        <v>40535</v>
      </c>
      <c r="C736" s="22">
        <v>100.25</v>
      </c>
    </row>
    <row r="737" spans="2:3" x14ac:dyDescent="0.35">
      <c r="B737" s="87">
        <v>40536</v>
      </c>
      <c r="C737" s="22">
        <v>100.35</v>
      </c>
    </row>
    <row r="738" spans="2:3" x14ac:dyDescent="0.35">
      <c r="B738" s="87">
        <v>40539</v>
      </c>
      <c r="C738" s="22">
        <v>100.45</v>
      </c>
    </row>
    <row r="739" spans="2:3" x14ac:dyDescent="0.35">
      <c r="B739" s="87">
        <v>40540</v>
      </c>
      <c r="C739" s="22">
        <v>99.15</v>
      </c>
    </row>
    <row r="740" spans="2:3" x14ac:dyDescent="0.35">
      <c r="B740" s="87">
        <v>40541</v>
      </c>
      <c r="C740" s="22">
        <v>98.75</v>
      </c>
    </row>
    <row r="741" spans="2:3" x14ac:dyDescent="0.35">
      <c r="B741" s="87">
        <v>40542</v>
      </c>
      <c r="C741" s="22">
        <v>99.8</v>
      </c>
    </row>
    <row r="742" spans="2:3" x14ac:dyDescent="0.35">
      <c r="B742" s="87">
        <v>40543</v>
      </c>
      <c r="C742" s="22">
        <v>100.25</v>
      </c>
    </row>
    <row r="743" spans="2:3" x14ac:dyDescent="0.35">
      <c r="B743" s="87">
        <v>40546</v>
      </c>
      <c r="C743" s="22">
        <v>100.6</v>
      </c>
    </row>
    <row r="744" spans="2:3" x14ac:dyDescent="0.35">
      <c r="B744" s="87">
        <v>40547</v>
      </c>
      <c r="C744" s="22">
        <v>102.95</v>
      </c>
    </row>
    <row r="745" spans="2:3" x14ac:dyDescent="0.35">
      <c r="B745" s="87">
        <v>40548</v>
      </c>
      <c r="C745" s="22">
        <v>103.15</v>
      </c>
    </row>
    <row r="746" spans="2:3" x14ac:dyDescent="0.35">
      <c r="B746" s="87">
        <v>40549</v>
      </c>
      <c r="C746" s="22">
        <v>101.4</v>
      </c>
    </row>
    <row r="747" spans="2:3" x14ac:dyDescent="0.35">
      <c r="B747" s="87">
        <v>40550</v>
      </c>
      <c r="C747" s="22">
        <v>100.15</v>
      </c>
    </row>
    <row r="748" spans="2:3" x14ac:dyDescent="0.35">
      <c r="B748" s="87">
        <v>40553</v>
      </c>
      <c r="C748" s="22">
        <v>101.45</v>
      </c>
    </row>
    <row r="749" spans="2:3" x14ac:dyDescent="0.35">
      <c r="B749" s="87">
        <v>40554</v>
      </c>
      <c r="C749" s="22">
        <v>102.9</v>
      </c>
    </row>
    <row r="750" spans="2:3" x14ac:dyDescent="0.35">
      <c r="B750" s="87">
        <v>40555</v>
      </c>
      <c r="C750" s="22">
        <v>101.9</v>
      </c>
    </row>
    <row r="751" spans="2:3" x14ac:dyDescent="0.35">
      <c r="B751" s="87">
        <v>40556</v>
      </c>
      <c r="C751" s="22">
        <v>100.95</v>
      </c>
    </row>
    <row r="752" spans="2:3" x14ac:dyDescent="0.35">
      <c r="B752" s="87">
        <v>40557</v>
      </c>
      <c r="C752" s="22">
        <v>101.1</v>
      </c>
    </row>
    <row r="753" spans="2:3" x14ac:dyDescent="0.35">
      <c r="B753" s="87">
        <v>40560</v>
      </c>
      <c r="C753" s="22">
        <v>99.2</v>
      </c>
    </row>
    <row r="754" spans="2:3" x14ac:dyDescent="0.35">
      <c r="B754" s="87">
        <v>40561</v>
      </c>
      <c r="C754" s="22">
        <v>101.45</v>
      </c>
    </row>
    <row r="755" spans="2:3" x14ac:dyDescent="0.35">
      <c r="B755" s="87">
        <v>40562</v>
      </c>
      <c r="C755" s="22">
        <v>100.15</v>
      </c>
    </row>
    <row r="756" spans="2:3" x14ac:dyDescent="0.35">
      <c r="B756" s="87">
        <v>40563</v>
      </c>
      <c r="C756" s="22">
        <v>99.5</v>
      </c>
    </row>
    <row r="757" spans="2:3" x14ac:dyDescent="0.35">
      <c r="B757" s="87">
        <v>40564</v>
      </c>
      <c r="C757" s="22">
        <v>98.25</v>
      </c>
    </row>
    <row r="758" spans="2:3" x14ac:dyDescent="0.35">
      <c r="B758" s="87">
        <v>40567</v>
      </c>
      <c r="C758" s="22">
        <v>97.85</v>
      </c>
    </row>
    <row r="759" spans="2:3" x14ac:dyDescent="0.35">
      <c r="B759" s="87">
        <v>40568</v>
      </c>
      <c r="C759" s="22">
        <v>98.6</v>
      </c>
    </row>
    <row r="760" spans="2:3" x14ac:dyDescent="0.35">
      <c r="B760" s="87">
        <v>40570</v>
      </c>
      <c r="C760" s="22">
        <v>95.3</v>
      </c>
    </row>
    <row r="761" spans="2:3" x14ac:dyDescent="0.35">
      <c r="B761" s="87">
        <v>40571</v>
      </c>
      <c r="C761" s="22">
        <v>90.8</v>
      </c>
    </row>
    <row r="762" spans="2:3" x14ac:dyDescent="0.35">
      <c r="B762" s="87">
        <v>40574</v>
      </c>
      <c r="C762" s="22">
        <v>93.7</v>
      </c>
    </row>
    <row r="763" spans="2:3" x14ac:dyDescent="0.35">
      <c r="B763" s="87">
        <v>40575</v>
      </c>
      <c r="C763" s="22">
        <v>93.15</v>
      </c>
    </row>
    <row r="764" spans="2:3" x14ac:dyDescent="0.35">
      <c r="B764" s="87">
        <v>40576</v>
      </c>
      <c r="C764" s="22">
        <v>93.55</v>
      </c>
    </row>
    <row r="765" spans="2:3" x14ac:dyDescent="0.35">
      <c r="B765" s="87">
        <v>40577</v>
      </c>
      <c r="C765" s="22">
        <v>92.95</v>
      </c>
    </row>
    <row r="766" spans="2:3" x14ac:dyDescent="0.35">
      <c r="B766" s="87">
        <v>40578</v>
      </c>
      <c r="C766" s="22">
        <v>92.45</v>
      </c>
    </row>
    <row r="767" spans="2:3" x14ac:dyDescent="0.35">
      <c r="B767" s="87">
        <v>40581</v>
      </c>
      <c r="C767" s="22">
        <v>92.85</v>
      </c>
    </row>
    <row r="768" spans="2:3" x14ac:dyDescent="0.35">
      <c r="B768" s="87">
        <v>40582</v>
      </c>
      <c r="C768" s="22">
        <v>92.25</v>
      </c>
    </row>
    <row r="769" spans="2:3" x14ac:dyDescent="0.35">
      <c r="B769" s="87">
        <v>40583</v>
      </c>
      <c r="C769" s="22">
        <v>90.75</v>
      </c>
    </row>
    <row r="770" spans="2:3" x14ac:dyDescent="0.35">
      <c r="B770" s="87">
        <v>40584</v>
      </c>
      <c r="C770" s="22">
        <v>90.9</v>
      </c>
    </row>
    <row r="771" spans="2:3" x14ac:dyDescent="0.35">
      <c r="B771" s="87">
        <v>40585</v>
      </c>
      <c r="C771" s="22">
        <v>91.8</v>
      </c>
    </row>
    <row r="772" spans="2:3" x14ac:dyDescent="0.35">
      <c r="B772" s="87">
        <v>40588</v>
      </c>
      <c r="C772" s="22">
        <v>94.25</v>
      </c>
    </row>
    <row r="773" spans="2:3" x14ac:dyDescent="0.35">
      <c r="B773" s="87">
        <v>40589</v>
      </c>
      <c r="C773" s="22">
        <v>92.6</v>
      </c>
    </row>
    <row r="774" spans="2:3" x14ac:dyDescent="0.35">
      <c r="B774" s="87">
        <v>40590</v>
      </c>
      <c r="C774" s="22">
        <v>96.8</v>
      </c>
    </row>
    <row r="775" spans="2:3" x14ac:dyDescent="0.35">
      <c r="B775" s="87">
        <v>40591</v>
      </c>
      <c r="C775" s="22">
        <v>100.15</v>
      </c>
    </row>
    <row r="776" spans="2:3" x14ac:dyDescent="0.35">
      <c r="B776" s="87">
        <v>40592</v>
      </c>
      <c r="C776" s="22">
        <v>96</v>
      </c>
    </row>
    <row r="777" spans="2:3" x14ac:dyDescent="0.35">
      <c r="B777" s="87">
        <v>40595</v>
      </c>
      <c r="C777" s="22">
        <v>96.6</v>
      </c>
    </row>
    <row r="778" spans="2:3" x14ac:dyDescent="0.35">
      <c r="B778" s="87">
        <v>40596</v>
      </c>
      <c r="C778" s="22">
        <v>96.2</v>
      </c>
    </row>
    <row r="779" spans="2:3" x14ac:dyDescent="0.35">
      <c r="B779" s="87">
        <v>40597</v>
      </c>
      <c r="C779" s="22">
        <v>98.2</v>
      </c>
    </row>
    <row r="780" spans="2:3" x14ac:dyDescent="0.35">
      <c r="B780" s="87">
        <v>40598</v>
      </c>
      <c r="C780" s="22">
        <v>98.6</v>
      </c>
    </row>
    <row r="781" spans="2:3" x14ac:dyDescent="0.35">
      <c r="B781" s="87">
        <v>40599</v>
      </c>
      <c r="C781" s="22">
        <v>98.95</v>
      </c>
    </row>
    <row r="782" spans="2:3" x14ac:dyDescent="0.35">
      <c r="B782" s="87">
        <v>40602</v>
      </c>
      <c r="C782" s="22">
        <v>99.75</v>
      </c>
    </row>
    <row r="783" spans="2:3" x14ac:dyDescent="0.35">
      <c r="B783" s="87">
        <v>40603</v>
      </c>
      <c r="C783" s="22">
        <v>100.75</v>
      </c>
    </row>
    <row r="784" spans="2:3" x14ac:dyDescent="0.35">
      <c r="B784" s="87">
        <v>40605</v>
      </c>
      <c r="C784" s="22">
        <v>101.1</v>
      </c>
    </row>
    <row r="785" spans="2:3" x14ac:dyDescent="0.35">
      <c r="B785" s="87">
        <v>40606</v>
      </c>
      <c r="C785" s="22">
        <v>102.9</v>
      </c>
    </row>
    <row r="786" spans="2:3" x14ac:dyDescent="0.35">
      <c r="B786" s="87">
        <v>40609</v>
      </c>
      <c r="C786" s="22">
        <v>100.3</v>
      </c>
    </row>
    <row r="787" spans="2:3" x14ac:dyDescent="0.35">
      <c r="B787" s="87">
        <v>40610</v>
      </c>
      <c r="C787" s="22">
        <v>98.45</v>
      </c>
    </row>
    <row r="788" spans="2:3" x14ac:dyDescent="0.35">
      <c r="B788" s="87">
        <v>40611</v>
      </c>
      <c r="C788" s="22">
        <v>97.5</v>
      </c>
    </row>
    <row r="789" spans="2:3" x14ac:dyDescent="0.35">
      <c r="B789" s="87">
        <v>40612</v>
      </c>
      <c r="C789" s="22">
        <v>96.7</v>
      </c>
    </row>
    <row r="790" spans="2:3" x14ac:dyDescent="0.35">
      <c r="B790" s="87">
        <v>40613</v>
      </c>
      <c r="C790" s="22">
        <v>96.75</v>
      </c>
    </row>
    <row r="791" spans="2:3" x14ac:dyDescent="0.35">
      <c r="B791" s="87">
        <v>40616</v>
      </c>
      <c r="C791" s="22">
        <v>97.05</v>
      </c>
    </row>
    <row r="792" spans="2:3" x14ac:dyDescent="0.35">
      <c r="B792" s="87">
        <v>40617</v>
      </c>
      <c r="C792" s="22">
        <v>96.9</v>
      </c>
    </row>
    <row r="793" spans="2:3" x14ac:dyDescent="0.35">
      <c r="B793" s="87">
        <v>40618</v>
      </c>
      <c r="C793" s="22">
        <v>98.1</v>
      </c>
    </row>
    <row r="794" spans="2:3" x14ac:dyDescent="0.35">
      <c r="B794" s="87">
        <v>40619</v>
      </c>
      <c r="C794" s="22">
        <v>96.05</v>
      </c>
    </row>
    <row r="795" spans="2:3" x14ac:dyDescent="0.35">
      <c r="B795" s="87">
        <v>40620</v>
      </c>
      <c r="C795" s="22">
        <v>97</v>
      </c>
    </row>
    <row r="796" spans="2:3" x14ac:dyDescent="0.35">
      <c r="B796" s="87">
        <v>40623</v>
      </c>
      <c r="C796" s="22">
        <v>96</v>
      </c>
    </row>
    <row r="797" spans="2:3" x14ac:dyDescent="0.35">
      <c r="B797" s="87">
        <v>40624</v>
      </c>
      <c r="C797" s="22">
        <v>95.95</v>
      </c>
    </row>
    <row r="798" spans="2:3" x14ac:dyDescent="0.35">
      <c r="B798" s="87">
        <v>40625</v>
      </c>
      <c r="C798" s="22">
        <v>96.65</v>
      </c>
    </row>
    <row r="799" spans="2:3" x14ac:dyDescent="0.35">
      <c r="B799" s="87">
        <v>40626</v>
      </c>
      <c r="C799" s="22">
        <v>95.55</v>
      </c>
    </row>
    <row r="800" spans="2:3" x14ac:dyDescent="0.35">
      <c r="B800" s="87">
        <v>40627</v>
      </c>
      <c r="C800" s="22">
        <v>95.9</v>
      </c>
    </row>
    <row r="801" spans="2:3" x14ac:dyDescent="0.35">
      <c r="B801" s="87">
        <v>40630</v>
      </c>
      <c r="C801" s="22">
        <v>95.5</v>
      </c>
    </row>
    <row r="802" spans="2:3" x14ac:dyDescent="0.35">
      <c r="B802" s="87">
        <v>40631</v>
      </c>
      <c r="C802" s="22">
        <v>94.6</v>
      </c>
    </row>
    <row r="803" spans="2:3" x14ac:dyDescent="0.35">
      <c r="B803" s="87">
        <v>40632</v>
      </c>
      <c r="C803" s="22">
        <v>95.75</v>
      </c>
    </row>
    <row r="804" spans="2:3" x14ac:dyDescent="0.35">
      <c r="B804" s="87">
        <v>40633</v>
      </c>
      <c r="C804" s="22">
        <v>96.1</v>
      </c>
    </row>
    <row r="805" spans="2:3" x14ac:dyDescent="0.35">
      <c r="B805" s="87">
        <v>40634</v>
      </c>
      <c r="C805" s="22">
        <v>96.9</v>
      </c>
    </row>
    <row r="806" spans="2:3" x14ac:dyDescent="0.35">
      <c r="B806" s="87">
        <v>40637</v>
      </c>
      <c r="C806" s="22">
        <v>97.05</v>
      </c>
    </row>
    <row r="807" spans="2:3" x14ac:dyDescent="0.35">
      <c r="B807" s="87">
        <v>40638</v>
      </c>
      <c r="C807" s="22">
        <v>97.6</v>
      </c>
    </row>
    <row r="808" spans="2:3" x14ac:dyDescent="0.35">
      <c r="B808" s="87">
        <v>40639</v>
      </c>
      <c r="C808" s="22">
        <v>100.1</v>
      </c>
    </row>
    <row r="809" spans="2:3" x14ac:dyDescent="0.35">
      <c r="B809" s="87">
        <v>40640</v>
      </c>
      <c r="C809" s="22">
        <v>99.75</v>
      </c>
    </row>
    <row r="810" spans="2:3" x14ac:dyDescent="0.35">
      <c r="B810" s="87">
        <v>40641</v>
      </c>
      <c r="C810" s="22">
        <v>101.8</v>
      </c>
    </row>
    <row r="811" spans="2:3" x14ac:dyDescent="0.35">
      <c r="B811" s="87">
        <v>40644</v>
      </c>
      <c r="C811" s="22">
        <v>102.6</v>
      </c>
    </row>
    <row r="812" spans="2:3" x14ac:dyDescent="0.35">
      <c r="B812" s="87">
        <v>40646</v>
      </c>
      <c r="C812" s="22">
        <v>103.4</v>
      </c>
    </row>
    <row r="813" spans="2:3" x14ac:dyDescent="0.35">
      <c r="B813" s="87">
        <v>40648</v>
      </c>
      <c r="C813" s="22">
        <v>103.2</v>
      </c>
    </row>
    <row r="814" spans="2:3" x14ac:dyDescent="0.35">
      <c r="B814" s="87">
        <v>40651</v>
      </c>
      <c r="C814" s="22">
        <v>103.75</v>
      </c>
    </row>
    <row r="815" spans="2:3" x14ac:dyDescent="0.35">
      <c r="B815" s="87">
        <v>40652</v>
      </c>
      <c r="C815" s="22">
        <v>102.25</v>
      </c>
    </row>
    <row r="816" spans="2:3" x14ac:dyDescent="0.35">
      <c r="B816" s="87">
        <v>40653</v>
      </c>
      <c r="C816" s="22">
        <v>102.95</v>
      </c>
    </row>
    <row r="817" spans="2:3" x14ac:dyDescent="0.35">
      <c r="B817" s="87">
        <v>40654</v>
      </c>
      <c r="C817" s="22">
        <v>103.15</v>
      </c>
    </row>
    <row r="818" spans="2:3" x14ac:dyDescent="0.35">
      <c r="B818" s="87">
        <v>40658</v>
      </c>
      <c r="C818" s="22">
        <v>102.95</v>
      </c>
    </row>
    <row r="819" spans="2:3" x14ac:dyDescent="0.35">
      <c r="B819" s="87">
        <v>40659</v>
      </c>
      <c r="C819" s="22">
        <v>101.85</v>
      </c>
    </row>
    <row r="820" spans="2:3" x14ac:dyDescent="0.35">
      <c r="B820" s="87">
        <v>40660</v>
      </c>
      <c r="C820" s="22">
        <v>99.55</v>
      </c>
    </row>
    <row r="821" spans="2:3" x14ac:dyDescent="0.35">
      <c r="B821" s="87">
        <v>40661</v>
      </c>
      <c r="C821" s="22">
        <v>98.5</v>
      </c>
    </row>
    <row r="822" spans="2:3" x14ac:dyDescent="0.35">
      <c r="B822" s="87">
        <v>40662</v>
      </c>
      <c r="C822" s="22">
        <v>101.15</v>
      </c>
    </row>
    <row r="823" spans="2:3" x14ac:dyDescent="0.35">
      <c r="B823" s="87">
        <v>40665</v>
      </c>
      <c r="C823" s="22">
        <v>101.2</v>
      </c>
    </row>
    <row r="824" spans="2:3" x14ac:dyDescent="0.35">
      <c r="B824" s="87">
        <v>40666</v>
      </c>
      <c r="C824" s="22">
        <v>100.75</v>
      </c>
    </row>
    <row r="825" spans="2:3" x14ac:dyDescent="0.35">
      <c r="B825" s="87">
        <v>40667</v>
      </c>
      <c r="C825" s="22">
        <v>100.45</v>
      </c>
    </row>
    <row r="826" spans="2:3" x14ac:dyDescent="0.35">
      <c r="B826" s="87">
        <v>40668</v>
      </c>
      <c r="C826" s="22">
        <v>100.4</v>
      </c>
    </row>
    <row r="827" spans="2:3" x14ac:dyDescent="0.35">
      <c r="B827" s="87">
        <v>40669</v>
      </c>
      <c r="C827" s="22">
        <v>102.1</v>
      </c>
    </row>
    <row r="828" spans="2:3" x14ac:dyDescent="0.35">
      <c r="B828" s="87">
        <v>40672</v>
      </c>
      <c r="C828" s="22">
        <v>102.4</v>
      </c>
    </row>
    <row r="829" spans="2:3" x14ac:dyDescent="0.35">
      <c r="B829" s="87">
        <v>40673</v>
      </c>
      <c r="C829" s="22">
        <v>100.6</v>
      </c>
    </row>
    <row r="830" spans="2:3" x14ac:dyDescent="0.35">
      <c r="B830" s="87">
        <v>40674</v>
      </c>
      <c r="C830" s="22">
        <v>100.8</v>
      </c>
    </row>
    <row r="831" spans="2:3" x14ac:dyDescent="0.35">
      <c r="B831" s="87">
        <v>40675</v>
      </c>
      <c r="C831" s="22">
        <v>98.85</v>
      </c>
    </row>
    <row r="832" spans="2:3" x14ac:dyDescent="0.35">
      <c r="B832" s="87">
        <v>40676</v>
      </c>
      <c r="C832" s="22">
        <v>99.45</v>
      </c>
    </row>
    <row r="833" spans="2:3" x14ac:dyDescent="0.35">
      <c r="B833" s="87">
        <v>40679</v>
      </c>
      <c r="C833" s="22">
        <v>100.2</v>
      </c>
    </row>
    <row r="834" spans="2:3" x14ac:dyDescent="0.35">
      <c r="B834" s="87">
        <v>40680</v>
      </c>
      <c r="C834" s="22">
        <v>103.65</v>
      </c>
    </row>
    <row r="835" spans="2:3" x14ac:dyDescent="0.35">
      <c r="B835" s="87">
        <v>40681</v>
      </c>
      <c r="C835" s="22">
        <v>103.7</v>
      </c>
    </row>
    <row r="836" spans="2:3" x14ac:dyDescent="0.35">
      <c r="B836" s="87">
        <v>40682</v>
      </c>
      <c r="C836" s="22">
        <v>103.55</v>
      </c>
    </row>
    <row r="837" spans="2:3" x14ac:dyDescent="0.35">
      <c r="B837" s="87">
        <v>40683</v>
      </c>
      <c r="C837" s="22">
        <v>103.05</v>
      </c>
    </row>
    <row r="838" spans="2:3" x14ac:dyDescent="0.35">
      <c r="B838" s="87">
        <v>40686</v>
      </c>
      <c r="C838" s="22">
        <v>104.45</v>
      </c>
    </row>
    <row r="839" spans="2:3" x14ac:dyDescent="0.35">
      <c r="B839" s="87">
        <v>40687</v>
      </c>
      <c r="C839" s="22">
        <v>105.5</v>
      </c>
    </row>
    <row r="840" spans="2:3" x14ac:dyDescent="0.35">
      <c r="B840" s="87">
        <v>40688</v>
      </c>
      <c r="C840" s="22">
        <v>107.7</v>
      </c>
    </row>
    <row r="841" spans="2:3" x14ac:dyDescent="0.35">
      <c r="B841" s="87">
        <v>40689</v>
      </c>
      <c r="C841" s="22">
        <v>109.5</v>
      </c>
    </row>
    <row r="842" spans="2:3" x14ac:dyDescent="0.35">
      <c r="B842" s="87">
        <v>40690</v>
      </c>
      <c r="C842" s="22">
        <v>108.4</v>
      </c>
    </row>
    <row r="843" spans="2:3" x14ac:dyDescent="0.35">
      <c r="B843" s="87">
        <v>40693</v>
      </c>
      <c r="C843" s="22">
        <v>112.95</v>
      </c>
    </row>
    <row r="844" spans="2:3" x14ac:dyDescent="0.35">
      <c r="B844" s="87">
        <v>40694</v>
      </c>
      <c r="C844" s="22">
        <v>117.6</v>
      </c>
    </row>
    <row r="845" spans="2:3" x14ac:dyDescent="0.35">
      <c r="B845" s="87">
        <v>40695</v>
      </c>
      <c r="C845" s="22">
        <v>113.85</v>
      </c>
    </row>
    <row r="846" spans="2:3" x14ac:dyDescent="0.35">
      <c r="B846" s="87">
        <v>40696</v>
      </c>
      <c r="C846" s="22">
        <v>114.45</v>
      </c>
    </row>
    <row r="847" spans="2:3" x14ac:dyDescent="0.35">
      <c r="B847" s="87">
        <v>40697</v>
      </c>
      <c r="C847" s="22">
        <v>115.2</v>
      </c>
    </row>
    <row r="848" spans="2:3" x14ac:dyDescent="0.35">
      <c r="B848" s="87">
        <v>40700</v>
      </c>
      <c r="C848" s="22">
        <v>113.2</v>
      </c>
    </row>
    <row r="849" spans="2:3" x14ac:dyDescent="0.35">
      <c r="B849" s="87">
        <v>40701</v>
      </c>
      <c r="C849" s="22">
        <v>114.8</v>
      </c>
    </row>
    <row r="850" spans="2:3" x14ac:dyDescent="0.35">
      <c r="B850" s="87">
        <v>40702</v>
      </c>
      <c r="C850" s="22">
        <v>113.8</v>
      </c>
    </row>
    <row r="851" spans="2:3" x14ac:dyDescent="0.35">
      <c r="B851" s="87">
        <v>40703</v>
      </c>
      <c r="C851" s="22">
        <v>114.8</v>
      </c>
    </row>
    <row r="852" spans="2:3" x14ac:dyDescent="0.35">
      <c r="B852" s="87">
        <v>40704</v>
      </c>
      <c r="C852" s="22">
        <v>113.95</v>
      </c>
    </row>
    <row r="853" spans="2:3" x14ac:dyDescent="0.35">
      <c r="B853" s="87">
        <v>40707</v>
      </c>
      <c r="C853" s="22">
        <v>113.1</v>
      </c>
    </row>
    <row r="854" spans="2:3" x14ac:dyDescent="0.35">
      <c r="B854" s="87">
        <v>40708</v>
      </c>
      <c r="C854" s="22">
        <v>113</v>
      </c>
    </row>
    <row r="855" spans="2:3" x14ac:dyDescent="0.35">
      <c r="B855" s="87">
        <v>40709</v>
      </c>
      <c r="C855" s="22">
        <v>116.85</v>
      </c>
    </row>
    <row r="856" spans="2:3" x14ac:dyDescent="0.35">
      <c r="B856" s="87">
        <v>40710</v>
      </c>
      <c r="C856" s="22">
        <v>118.6</v>
      </c>
    </row>
    <row r="857" spans="2:3" x14ac:dyDescent="0.35">
      <c r="B857" s="87">
        <v>40711</v>
      </c>
      <c r="C857" s="22">
        <v>116.35</v>
      </c>
    </row>
    <row r="858" spans="2:3" x14ac:dyDescent="0.35">
      <c r="B858" s="87">
        <v>40714</v>
      </c>
      <c r="C858" s="22">
        <v>114.3</v>
      </c>
    </row>
    <row r="859" spans="2:3" x14ac:dyDescent="0.35">
      <c r="B859" s="87">
        <v>40715</v>
      </c>
      <c r="C859" s="22">
        <v>113.85</v>
      </c>
    </row>
    <row r="860" spans="2:3" x14ac:dyDescent="0.35">
      <c r="B860" s="87">
        <v>40716</v>
      </c>
      <c r="C860" s="22">
        <v>111.85</v>
      </c>
    </row>
    <row r="861" spans="2:3" x14ac:dyDescent="0.35">
      <c r="B861" s="87">
        <v>40717</v>
      </c>
      <c r="C861" s="22">
        <v>113.45</v>
      </c>
    </row>
    <row r="862" spans="2:3" x14ac:dyDescent="0.35">
      <c r="B862" s="87">
        <v>40718</v>
      </c>
      <c r="C862" s="22">
        <v>113.75</v>
      </c>
    </row>
    <row r="863" spans="2:3" x14ac:dyDescent="0.35">
      <c r="B863" s="87">
        <v>40721</v>
      </c>
      <c r="C863" s="22">
        <v>113.9</v>
      </c>
    </row>
    <row r="864" spans="2:3" x14ac:dyDescent="0.35">
      <c r="B864" s="87">
        <v>40722</v>
      </c>
      <c r="C864" s="22">
        <v>113.85</v>
      </c>
    </row>
    <row r="865" spans="2:3" x14ac:dyDescent="0.35">
      <c r="B865" s="87">
        <v>40723</v>
      </c>
      <c r="C865" s="22">
        <v>114.6</v>
      </c>
    </row>
    <row r="866" spans="2:3" x14ac:dyDescent="0.35">
      <c r="B866" s="87">
        <v>40724</v>
      </c>
      <c r="C866" s="22">
        <v>114</v>
      </c>
    </row>
    <row r="867" spans="2:3" x14ac:dyDescent="0.35">
      <c r="B867" s="87">
        <v>40725</v>
      </c>
      <c r="C867" s="22">
        <v>116.6</v>
      </c>
    </row>
    <row r="868" spans="2:3" x14ac:dyDescent="0.35">
      <c r="B868" s="87">
        <v>40728</v>
      </c>
      <c r="C868" s="22">
        <v>116.7</v>
      </c>
    </row>
    <row r="869" spans="2:3" x14ac:dyDescent="0.35">
      <c r="B869" s="87">
        <v>40729</v>
      </c>
      <c r="C869" s="22">
        <v>114</v>
      </c>
    </row>
    <row r="870" spans="2:3" x14ac:dyDescent="0.35">
      <c r="B870" s="87">
        <v>40730</v>
      </c>
      <c r="C870" s="22">
        <v>111.75</v>
      </c>
    </row>
    <row r="871" spans="2:3" x14ac:dyDescent="0.35">
      <c r="B871" s="87">
        <v>40731</v>
      </c>
      <c r="C871" s="22">
        <v>113.45</v>
      </c>
    </row>
    <row r="872" spans="2:3" x14ac:dyDescent="0.35">
      <c r="B872" s="87">
        <v>40732</v>
      </c>
      <c r="C872" s="22">
        <v>111.65</v>
      </c>
    </row>
    <row r="873" spans="2:3" x14ac:dyDescent="0.35">
      <c r="B873" s="87">
        <v>40735</v>
      </c>
      <c r="C873" s="22">
        <v>110.4</v>
      </c>
    </row>
    <row r="874" spans="2:3" x14ac:dyDescent="0.35">
      <c r="B874" s="87">
        <v>40736</v>
      </c>
      <c r="C874" s="22">
        <v>110.25</v>
      </c>
    </row>
    <row r="875" spans="2:3" x14ac:dyDescent="0.35">
      <c r="B875" s="87">
        <v>40737</v>
      </c>
      <c r="C875" s="22">
        <v>110.9</v>
      </c>
    </row>
    <row r="876" spans="2:3" x14ac:dyDescent="0.35">
      <c r="B876" s="87">
        <v>40738</v>
      </c>
      <c r="C876" s="22">
        <v>112</v>
      </c>
    </row>
    <row r="877" spans="2:3" x14ac:dyDescent="0.35">
      <c r="B877" s="87">
        <v>40739</v>
      </c>
      <c r="C877" s="22">
        <v>111.7</v>
      </c>
    </row>
    <row r="878" spans="2:3" x14ac:dyDescent="0.35">
      <c r="B878" s="87">
        <v>40742</v>
      </c>
      <c r="C878" s="22">
        <v>111.45</v>
      </c>
    </row>
    <row r="879" spans="2:3" x14ac:dyDescent="0.35">
      <c r="B879" s="87">
        <v>40743</v>
      </c>
      <c r="C879" s="22">
        <v>111.8</v>
      </c>
    </row>
    <row r="880" spans="2:3" x14ac:dyDescent="0.35">
      <c r="B880" s="87">
        <v>40744</v>
      </c>
      <c r="C880" s="22">
        <v>110.75</v>
      </c>
    </row>
    <row r="881" spans="2:3" x14ac:dyDescent="0.35">
      <c r="B881" s="87">
        <v>40745</v>
      </c>
      <c r="C881" s="22">
        <v>110.45</v>
      </c>
    </row>
    <row r="882" spans="2:3" x14ac:dyDescent="0.35">
      <c r="B882" s="87">
        <v>40746</v>
      </c>
      <c r="C882" s="22">
        <v>111.95</v>
      </c>
    </row>
    <row r="883" spans="2:3" x14ac:dyDescent="0.35">
      <c r="B883" s="87">
        <v>40749</v>
      </c>
      <c r="C883" s="22">
        <v>111.9</v>
      </c>
    </row>
    <row r="884" spans="2:3" x14ac:dyDescent="0.35">
      <c r="B884" s="87">
        <v>40750</v>
      </c>
      <c r="C884" s="22">
        <v>110.4</v>
      </c>
    </row>
    <row r="885" spans="2:3" x14ac:dyDescent="0.35">
      <c r="B885" s="87">
        <v>40751</v>
      </c>
      <c r="C885" s="22">
        <v>110.55</v>
      </c>
    </row>
    <row r="886" spans="2:3" x14ac:dyDescent="0.35">
      <c r="B886" s="87">
        <v>40752</v>
      </c>
      <c r="C886" s="22">
        <v>106.45</v>
      </c>
    </row>
    <row r="887" spans="2:3" x14ac:dyDescent="0.35">
      <c r="B887" s="87">
        <v>40753</v>
      </c>
      <c r="C887" s="22">
        <v>104.05</v>
      </c>
    </row>
    <row r="888" spans="2:3" x14ac:dyDescent="0.35">
      <c r="B888" s="87">
        <v>40756</v>
      </c>
      <c r="C888" s="22">
        <v>107.45</v>
      </c>
    </row>
    <row r="889" spans="2:3" x14ac:dyDescent="0.35">
      <c r="B889" s="87">
        <v>40757</v>
      </c>
      <c r="C889" s="22">
        <v>107.85</v>
      </c>
    </row>
    <row r="890" spans="2:3" x14ac:dyDescent="0.35">
      <c r="B890" s="87">
        <v>40758</v>
      </c>
      <c r="C890" s="22">
        <v>105.25</v>
      </c>
    </row>
    <row r="891" spans="2:3" x14ac:dyDescent="0.35">
      <c r="B891" s="87">
        <v>40759</v>
      </c>
      <c r="C891" s="22">
        <v>103.8</v>
      </c>
    </row>
    <row r="892" spans="2:3" x14ac:dyDescent="0.35">
      <c r="B892" s="87">
        <v>40760</v>
      </c>
      <c r="C892" s="22">
        <v>101.45</v>
      </c>
    </row>
    <row r="893" spans="2:3" x14ac:dyDescent="0.35">
      <c r="B893" s="87">
        <v>40763</v>
      </c>
      <c r="C893" s="22">
        <v>102.65</v>
      </c>
    </row>
    <row r="894" spans="2:3" x14ac:dyDescent="0.35">
      <c r="B894" s="87">
        <v>40764</v>
      </c>
      <c r="C894" s="22">
        <v>103.6</v>
      </c>
    </row>
    <row r="895" spans="2:3" x14ac:dyDescent="0.35">
      <c r="B895" s="87">
        <v>40765</v>
      </c>
      <c r="C895" s="22">
        <v>102.75</v>
      </c>
    </row>
    <row r="896" spans="2:3" x14ac:dyDescent="0.35">
      <c r="B896" s="87">
        <v>40766</v>
      </c>
      <c r="C896" s="22">
        <v>101.45</v>
      </c>
    </row>
    <row r="897" spans="2:3" x14ac:dyDescent="0.35">
      <c r="B897" s="87">
        <v>40767</v>
      </c>
      <c r="C897" s="22">
        <v>101.2</v>
      </c>
    </row>
    <row r="898" spans="2:3" x14ac:dyDescent="0.35">
      <c r="B898" s="87">
        <v>40771</v>
      </c>
      <c r="C898" s="22">
        <v>102.1</v>
      </c>
    </row>
    <row r="899" spans="2:3" x14ac:dyDescent="0.35">
      <c r="B899" s="87">
        <v>40772</v>
      </c>
      <c r="C899" s="22">
        <v>103.95</v>
      </c>
    </row>
    <row r="900" spans="2:3" x14ac:dyDescent="0.35">
      <c r="B900" s="87">
        <v>40773</v>
      </c>
      <c r="C900" s="22">
        <v>105.25</v>
      </c>
    </row>
    <row r="901" spans="2:3" x14ac:dyDescent="0.35">
      <c r="B901" s="87">
        <v>40774</v>
      </c>
      <c r="C901" s="22">
        <v>103.95</v>
      </c>
    </row>
    <row r="902" spans="2:3" x14ac:dyDescent="0.35">
      <c r="B902" s="87">
        <v>40777</v>
      </c>
      <c r="C902" s="22">
        <v>107</v>
      </c>
    </row>
    <row r="903" spans="2:3" x14ac:dyDescent="0.35">
      <c r="B903" s="87">
        <v>40778</v>
      </c>
      <c r="C903" s="22">
        <v>105.15</v>
      </c>
    </row>
    <row r="904" spans="2:3" x14ac:dyDescent="0.35">
      <c r="B904" s="87">
        <v>40779</v>
      </c>
      <c r="C904" s="22">
        <v>106.5</v>
      </c>
    </row>
    <row r="905" spans="2:3" x14ac:dyDescent="0.35">
      <c r="B905" s="87">
        <v>40780</v>
      </c>
      <c r="C905" s="22">
        <v>107.2</v>
      </c>
    </row>
    <row r="906" spans="2:3" x14ac:dyDescent="0.35">
      <c r="B906" s="87">
        <v>40781</v>
      </c>
      <c r="C906" s="22">
        <v>108</v>
      </c>
    </row>
    <row r="907" spans="2:3" x14ac:dyDescent="0.35">
      <c r="B907" s="87">
        <v>40784</v>
      </c>
      <c r="C907" s="22">
        <v>109.65</v>
      </c>
    </row>
    <row r="908" spans="2:3" x14ac:dyDescent="0.35">
      <c r="B908" s="87">
        <v>40785</v>
      </c>
      <c r="C908" s="22">
        <v>110.75</v>
      </c>
    </row>
    <row r="909" spans="2:3" x14ac:dyDescent="0.35">
      <c r="B909" s="87">
        <v>40788</v>
      </c>
      <c r="C909" s="22">
        <v>112.2</v>
      </c>
    </row>
    <row r="910" spans="2:3" x14ac:dyDescent="0.35">
      <c r="B910" s="87">
        <v>40791</v>
      </c>
      <c r="C910" s="22">
        <v>107.8</v>
      </c>
    </row>
    <row r="911" spans="2:3" x14ac:dyDescent="0.35">
      <c r="B911" s="87">
        <v>40792</v>
      </c>
      <c r="C911" s="22">
        <v>106.6</v>
      </c>
    </row>
    <row r="912" spans="2:3" x14ac:dyDescent="0.35">
      <c r="B912" s="87">
        <v>40793</v>
      </c>
      <c r="C912" s="22">
        <v>107.05</v>
      </c>
    </row>
    <row r="913" spans="2:3" x14ac:dyDescent="0.35">
      <c r="B913" s="87">
        <v>40794</v>
      </c>
      <c r="C913" s="22">
        <v>108.45</v>
      </c>
    </row>
    <row r="914" spans="2:3" x14ac:dyDescent="0.35">
      <c r="B914" s="87">
        <v>40795</v>
      </c>
      <c r="C914" s="22">
        <v>109.5</v>
      </c>
    </row>
    <row r="915" spans="2:3" x14ac:dyDescent="0.35">
      <c r="B915" s="87">
        <v>40798</v>
      </c>
      <c r="C915" s="22">
        <v>109.25</v>
      </c>
    </row>
    <row r="916" spans="2:3" x14ac:dyDescent="0.35">
      <c r="B916" s="87">
        <v>40799</v>
      </c>
      <c r="C916" s="22">
        <v>106.35</v>
      </c>
    </row>
    <row r="917" spans="2:3" x14ac:dyDescent="0.35">
      <c r="B917" s="87">
        <v>40800</v>
      </c>
      <c r="C917" s="22">
        <v>107.85</v>
      </c>
    </row>
    <row r="918" spans="2:3" x14ac:dyDescent="0.35">
      <c r="B918" s="87">
        <v>40801</v>
      </c>
      <c r="C918" s="22">
        <v>106.55</v>
      </c>
    </row>
    <row r="919" spans="2:3" x14ac:dyDescent="0.35">
      <c r="B919" s="87">
        <v>40802</v>
      </c>
      <c r="C919" s="22">
        <v>102.85</v>
      </c>
    </row>
    <row r="920" spans="2:3" x14ac:dyDescent="0.35">
      <c r="B920" s="87">
        <v>40805</v>
      </c>
      <c r="C920" s="22">
        <v>103.75</v>
      </c>
    </row>
    <row r="921" spans="2:3" x14ac:dyDescent="0.35">
      <c r="B921" s="87">
        <v>40806</v>
      </c>
      <c r="C921" s="22">
        <v>104.55</v>
      </c>
    </row>
    <row r="922" spans="2:3" x14ac:dyDescent="0.35">
      <c r="B922" s="87">
        <v>40807</v>
      </c>
      <c r="C922" s="22">
        <v>107</v>
      </c>
    </row>
    <row r="923" spans="2:3" x14ac:dyDescent="0.35">
      <c r="B923" s="87">
        <v>40808</v>
      </c>
      <c r="C923" s="22">
        <v>104.1</v>
      </c>
    </row>
    <row r="924" spans="2:3" x14ac:dyDescent="0.35">
      <c r="B924" s="87">
        <v>40809</v>
      </c>
      <c r="C924" s="22">
        <v>102.7</v>
      </c>
    </row>
    <row r="925" spans="2:3" x14ac:dyDescent="0.35">
      <c r="B925" s="87">
        <v>40812</v>
      </c>
      <c r="C925" s="22">
        <v>101.6</v>
      </c>
    </row>
    <row r="926" spans="2:3" x14ac:dyDescent="0.35">
      <c r="B926" s="87">
        <v>40813</v>
      </c>
      <c r="C926" s="22">
        <v>102.6</v>
      </c>
    </row>
    <row r="927" spans="2:3" x14ac:dyDescent="0.35">
      <c r="B927" s="87">
        <v>40814</v>
      </c>
      <c r="C927" s="22">
        <v>102.35</v>
      </c>
    </row>
    <row r="928" spans="2:3" x14ac:dyDescent="0.35">
      <c r="B928" s="87">
        <v>40815</v>
      </c>
      <c r="C928" s="22">
        <v>102.35</v>
      </c>
    </row>
    <row r="929" spans="2:3" x14ac:dyDescent="0.35">
      <c r="B929" s="87">
        <v>40816</v>
      </c>
      <c r="C929" s="22">
        <v>103</v>
      </c>
    </row>
    <row r="930" spans="2:3" x14ac:dyDescent="0.35">
      <c r="B930" s="87">
        <v>40819</v>
      </c>
      <c r="C930" s="22">
        <v>103.1</v>
      </c>
    </row>
    <row r="931" spans="2:3" x14ac:dyDescent="0.35">
      <c r="B931" s="87">
        <v>40820</v>
      </c>
      <c r="C931" s="22">
        <v>101.65</v>
      </c>
    </row>
    <row r="932" spans="2:3" x14ac:dyDescent="0.35">
      <c r="B932" s="87">
        <v>40821</v>
      </c>
      <c r="C932" s="22">
        <v>100</v>
      </c>
    </row>
    <row r="933" spans="2:3" x14ac:dyDescent="0.35">
      <c r="B933" s="87">
        <v>40823</v>
      </c>
      <c r="C933" s="22">
        <v>100.7</v>
      </c>
    </row>
    <row r="934" spans="2:3" x14ac:dyDescent="0.35">
      <c r="B934" s="87">
        <v>40826</v>
      </c>
      <c r="C934" s="22">
        <v>99.9</v>
      </c>
    </row>
    <row r="935" spans="2:3" x14ac:dyDescent="0.35">
      <c r="B935" s="87">
        <v>40827</v>
      </c>
      <c r="C935" s="22">
        <v>100.3</v>
      </c>
    </row>
    <row r="936" spans="2:3" x14ac:dyDescent="0.35">
      <c r="B936" s="87">
        <v>40828</v>
      </c>
      <c r="C936" s="22">
        <v>100.4</v>
      </c>
    </row>
    <row r="937" spans="2:3" x14ac:dyDescent="0.35">
      <c r="B937" s="87">
        <v>40829</v>
      </c>
      <c r="C937" s="22">
        <v>99.9</v>
      </c>
    </row>
    <row r="938" spans="2:3" x14ac:dyDescent="0.35">
      <c r="B938" s="87">
        <v>40830</v>
      </c>
      <c r="C938" s="22">
        <v>100.15</v>
      </c>
    </row>
    <row r="939" spans="2:3" x14ac:dyDescent="0.35">
      <c r="B939" s="87">
        <v>40833</v>
      </c>
      <c r="C939" s="22">
        <v>99.45</v>
      </c>
    </row>
    <row r="940" spans="2:3" x14ac:dyDescent="0.35">
      <c r="B940" s="87">
        <v>40834</v>
      </c>
      <c r="C940" s="22">
        <v>97.35</v>
      </c>
    </row>
    <row r="941" spans="2:3" x14ac:dyDescent="0.35">
      <c r="B941" s="87">
        <v>40835</v>
      </c>
      <c r="C941" s="22">
        <v>99.3</v>
      </c>
    </row>
    <row r="942" spans="2:3" x14ac:dyDescent="0.35">
      <c r="B942" s="87">
        <v>40836</v>
      </c>
      <c r="C942" s="22">
        <v>98.1</v>
      </c>
    </row>
    <row r="943" spans="2:3" x14ac:dyDescent="0.35">
      <c r="B943" s="87">
        <v>40837</v>
      </c>
      <c r="C943" s="22">
        <v>98.75</v>
      </c>
    </row>
    <row r="944" spans="2:3" x14ac:dyDescent="0.35">
      <c r="B944" s="87">
        <v>40840</v>
      </c>
      <c r="C944" s="22">
        <v>97.6</v>
      </c>
    </row>
    <row r="945" spans="2:3" x14ac:dyDescent="0.35">
      <c r="B945" s="87">
        <v>40841</v>
      </c>
      <c r="C945" s="22">
        <v>95.5</v>
      </c>
    </row>
    <row r="946" spans="2:3" x14ac:dyDescent="0.35">
      <c r="B946" s="87">
        <v>40842</v>
      </c>
      <c r="C946" s="22">
        <v>97.65</v>
      </c>
    </row>
    <row r="947" spans="2:3" x14ac:dyDescent="0.35">
      <c r="B947" s="87">
        <v>40844</v>
      </c>
      <c r="C947" s="22">
        <v>100.55</v>
      </c>
    </row>
    <row r="948" spans="2:3" x14ac:dyDescent="0.35">
      <c r="B948" s="87">
        <v>40847</v>
      </c>
      <c r="C948" s="22">
        <v>101.3</v>
      </c>
    </row>
    <row r="949" spans="2:3" x14ac:dyDescent="0.35">
      <c r="B949" s="87">
        <v>40848</v>
      </c>
      <c r="C949" s="22">
        <v>99.75</v>
      </c>
    </row>
    <row r="950" spans="2:3" x14ac:dyDescent="0.35">
      <c r="B950" s="87">
        <v>40849</v>
      </c>
      <c r="C950" s="22">
        <v>99.95</v>
      </c>
    </row>
    <row r="951" spans="2:3" x14ac:dyDescent="0.35">
      <c r="B951" s="87">
        <v>40850</v>
      </c>
      <c r="C951" s="22">
        <v>100</v>
      </c>
    </row>
    <row r="952" spans="2:3" x14ac:dyDescent="0.35">
      <c r="B952" s="87">
        <v>40851</v>
      </c>
      <c r="C952" s="22">
        <v>99.8</v>
      </c>
    </row>
    <row r="953" spans="2:3" x14ac:dyDescent="0.35">
      <c r="B953" s="87">
        <v>40855</v>
      </c>
      <c r="C953" s="22">
        <v>99.7</v>
      </c>
    </row>
    <row r="954" spans="2:3" x14ac:dyDescent="0.35">
      <c r="B954" s="87">
        <v>40856</v>
      </c>
      <c r="C954" s="22">
        <v>98.8</v>
      </c>
    </row>
    <row r="955" spans="2:3" x14ac:dyDescent="0.35">
      <c r="B955" s="87">
        <v>40858</v>
      </c>
      <c r="C955" s="22">
        <v>98.75</v>
      </c>
    </row>
    <row r="956" spans="2:3" x14ac:dyDescent="0.35">
      <c r="B956" s="87">
        <v>40861</v>
      </c>
      <c r="C956" s="22">
        <v>99.95</v>
      </c>
    </row>
    <row r="957" spans="2:3" x14ac:dyDescent="0.35">
      <c r="B957" s="87">
        <v>40862</v>
      </c>
      <c r="C957" s="22">
        <v>97.4</v>
      </c>
    </row>
    <row r="958" spans="2:3" x14ac:dyDescent="0.35">
      <c r="B958" s="87">
        <v>40863</v>
      </c>
      <c r="C958" s="22">
        <v>95.45</v>
      </c>
    </row>
    <row r="959" spans="2:3" x14ac:dyDescent="0.35">
      <c r="B959" s="87">
        <v>40864</v>
      </c>
      <c r="C959" s="22">
        <v>94.6</v>
      </c>
    </row>
    <row r="960" spans="2:3" x14ac:dyDescent="0.35">
      <c r="B960" s="87">
        <v>40865</v>
      </c>
      <c r="C960" s="22">
        <v>96.95</v>
      </c>
    </row>
    <row r="961" spans="2:3" x14ac:dyDescent="0.35">
      <c r="B961" s="87">
        <v>40868</v>
      </c>
      <c r="C961" s="22">
        <v>99</v>
      </c>
    </row>
    <row r="962" spans="2:3" x14ac:dyDescent="0.35">
      <c r="B962" s="87">
        <v>40869</v>
      </c>
      <c r="C962" s="22">
        <v>100.85</v>
      </c>
    </row>
    <row r="963" spans="2:3" x14ac:dyDescent="0.35">
      <c r="B963" s="87">
        <v>40870</v>
      </c>
      <c r="C963" s="22">
        <v>97.95</v>
      </c>
    </row>
    <row r="964" spans="2:3" x14ac:dyDescent="0.35">
      <c r="B964" s="87">
        <v>40871</v>
      </c>
      <c r="C964" s="22">
        <v>96.35</v>
      </c>
    </row>
    <row r="965" spans="2:3" x14ac:dyDescent="0.35">
      <c r="B965" s="87">
        <v>40872</v>
      </c>
      <c r="C965" s="22">
        <v>95.7</v>
      </c>
    </row>
    <row r="966" spans="2:3" x14ac:dyDescent="0.35">
      <c r="B966" s="87">
        <v>40875</v>
      </c>
      <c r="C966" s="22">
        <v>96.05</v>
      </c>
    </row>
    <row r="967" spans="2:3" x14ac:dyDescent="0.35">
      <c r="B967" s="87">
        <v>40876</v>
      </c>
      <c r="C967" s="22">
        <v>95.95</v>
      </c>
    </row>
    <row r="968" spans="2:3" x14ac:dyDescent="0.35">
      <c r="B968" s="87">
        <v>40877</v>
      </c>
      <c r="C968" s="22">
        <v>95.3</v>
      </c>
    </row>
    <row r="969" spans="2:3" x14ac:dyDescent="0.35">
      <c r="B969" s="87">
        <v>40878</v>
      </c>
      <c r="C969" s="22">
        <v>94.25</v>
      </c>
    </row>
    <row r="970" spans="2:3" x14ac:dyDescent="0.35">
      <c r="B970" s="87">
        <v>40879</v>
      </c>
      <c r="C970" s="22">
        <v>95.4</v>
      </c>
    </row>
    <row r="971" spans="2:3" x14ac:dyDescent="0.35">
      <c r="B971" s="87">
        <v>40882</v>
      </c>
      <c r="C971" s="22">
        <v>95.75</v>
      </c>
    </row>
    <row r="972" spans="2:3" x14ac:dyDescent="0.35">
      <c r="B972" s="87">
        <v>40884</v>
      </c>
      <c r="C972" s="22">
        <v>96.4</v>
      </c>
    </row>
    <row r="973" spans="2:3" x14ac:dyDescent="0.35">
      <c r="B973" s="87">
        <v>40885</v>
      </c>
      <c r="C973" s="22">
        <v>97.55</v>
      </c>
    </row>
    <row r="974" spans="2:3" x14ac:dyDescent="0.35">
      <c r="B974" s="87">
        <v>40886</v>
      </c>
      <c r="C974" s="22">
        <v>95.5</v>
      </c>
    </row>
    <row r="975" spans="2:3" x14ac:dyDescent="0.35">
      <c r="B975" s="87">
        <v>40889</v>
      </c>
      <c r="C975" s="22">
        <v>96.25</v>
      </c>
    </row>
    <row r="976" spans="2:3" x14ac:dyDescent="0.35">
      <c r="B976" s="87">
        <v>40890</v>
      </c>
      <c r="C976" s="22">
        <v>96.4</v>
      </c>
    </row>
    <row r="977" spans="2:3" x14ac:dyDescent="0.35">
      <c r="B977" s="87">
        <v>40891</v>
      </c>
      <c r="C977" s="22">
        <v>96.7</v>
      </c>
    </row>
    <row r="978" spans="2:3" x14ac:dyDescent="0.35">
      <c r="B978" s="87">
        <v>40892</v>
      </c>
      <c r="C978" s="22">
        <v>97.9</v>
      </c>
    </row>
    <row r="979" spans="2:3" x14ac:dyDescent="0.35">
      <c r="B979" s="87">
        <v>40893</v>
      </c>
      <c r="C979" s="22">
        <v>95.8</v>
      </c>
    </row>
    <row r="980" spans="2:3" x14ac:dyDescent="0.35">
      <c r="B980" s="87">
        <v>40896</v>
      </c>
      <c r="C980" s="22">
        <v>96.4</v>
      </c>
    </row>
    <row r="981" spans="2:3" x14ac:dyDescent="0.35">
      <c r="B981" s="87">
        <v>40897</v>
      </c>
      <c r="C981" s="22">
        <v>97.2</v>
      </c>
    </row>
    <row r="982" spans="2:3" x14ac:dyDescent="0.35">
      <c r="B982" s="87">
        <v>40898</v>
      </c>
      <c r="C982" s="22">
        <v>99.8</v>
      </c>
    </row>
    <row r="983" spans="2:3" x14ac:dyDescent="0.35">
      <c r="B983" s="87">
        <v>40899</v>
      </c>
      <c r="C983" s="22">
        <v>99</v>
      </c>
    </row>
    <row r="984" spans="2:3" x14ac:dyDescent="0.35">
      <c r="B984" s="87">
        <v>40900</v>
      </c>
      <c r="C984" s="22">
        <v>100.4</v>
      </c>
    </row>
    <row r="985" spans="2:3" x14ac:dyDescent="0.35">
      <c r="B985" s="87">
        <v>40903</v>
      </c>
      <c r="C985" s="22">
        <v>100.9</v>
      </c>
    </row>
    <row r="986" spans="2:3" x14ac:dyDescent="0.35">
      <c r="B986" s="87">
        <v>40904</v>
      </c>
      <c r="C986" s="22">
        <v>102.65</v>
      </c>
    </row>
    <row r="987" spans="2:3" x14ac:dyDescent="0.35">
      <c r="B987" s="87">
        <v>40905</v>
      </c>
      <c r="C987" s="22">
        <v>104.6</v>
      </c>
    </row>
    <row r="988" spans="2:3" x14ac:dyDescent="0.35">
      <c r="B988" s="87">
        <v>40906</v>
      </c>
      <c r="C988" s="22">
        <v>101.55</v>
      </c>
    </row>
    <row r="989" spans="2:3" x14ac:dyDescent="0.35">
      <c r="B989" s="87">
        <v>40907</v>
      </c>
      <c r="C989" s="22">
        <v>99.45</v>
      </c>
    </row>
    <row r="990" spans="2:3" x14ac:dyDescent="0.35">
      <c r="B990" s="87">
        <v>40910</v>
      </c>
      <c r="C990" s="22">
        <v>100.45</v>
      </c>
    </row>
    <row r="991" spans="2:3" x14ac:dyDescent="0.35">
      <c r="B991" s="87">
        <v>40911</v>
      </c>
      <c r="C991" s="22">
        <v>100.9</v>
      </c>
    </row>
    <row r="992" spans="2:3" x14ac:dyDescent="0.35">
      <c r="B992" s="87">
        <v>40912</v>
      </c>
      <c r="C992" s="22">
        <v>101.1</v>
      </c>
    </row>
    <row r="993" spans="2:3" x14ac:dyDescent="0.35">
      <c r="B993" s="87">
        <v>40913</v>
      </c>
      <c r="C993" s="22">
        <v>100.05</v>
      </c>
    </row>
    <row r="994" spans="2:3" x14ac:dyDescent="0.35">
      <c r="B994" s="87">
        <v>40914</v>
      </c>
      <c r="C994" s="22">
        <v>98.8</v>
      </c>
    </row>
    <row r="995" spans="2:3" x14ac:dyDescent="0.35">
      <c r="B995" s="87">
        <v>40917</v>
      </c>
      <c r="C995" s="22">
        <v>97.75</v>
      </c>
    </row>
    <row r="996" spans="2:3" x14ac:dyDescent="0.35">
      <c r="B996" s="87">
        <v>40918</v>
      </c>
      <c r="C996" s="22">
        <v>97.5</v>
      </c>
    </row>
    <row r="997" spans="2:3" x14ac:dyDescent="0.35">
      <c r="B997" s="87">
        <v>40919</v>
      </c>
      <c r="C997" s="22">
        <v>97</v>
      </c>
    </row>
    <row r="998" spans="2:3" x14ac:dyDescent="0.35">
      <c r="B998" s="87">
        <v>40920</v>
      </c>
      <c r="C998" s="22">
        <v>96.55</v>
      </c>
    </row>
    <row r="999" spans="2:3" x14ac:dyDescent="0.35">
      <c r="B999" s="87">
        <v>40921</v>
      </c>
      <c r="C999" s="22">
        <v>97</v>
      </c>
    </row>
    <row r="1000" spans="2:3" x14ac:dyDescent="0.35">
      <c r="B1000" s="87">
        <v>40924</v>
      </c>
      <c r="C1000" s="22">
        <v>95.9</v>
      </c>
    </row>
    <row r="1001" spans="2:3" x14ac:dyDescent="0.35">
      <c r="B1001" s="87">
        <v>40925</v>
      </c>
      <c r="C1001" s="22">
        <v>97</v>
      </c>
    </row>
    <row r="1002" spans="2:3" x14ac:dyDescent="0.35">
      <c r="B1002" s="87">
        <v>40926</v>
      </c>
      <c r="C1002" s="22">
        <v>96.4</v>
      </c>
    </row>
    <row r="1003" spans="2:3" x14ac:dyDescent="0.35">
      <c r="B1003" s="87">
        <v>40927</v>
      </c>
      <c r="C1003" s="22">
        <v>96.6</v>
      </c>
    </row>
    <row r="1004" spans="2:3" x14ac:dyDescent="0.35">
      <c r="B1004" s="87">
        <v>40928</v>
      </c>
      <c r="C1004" s="22">
        <v>95.75</v>
      </c>
    </row>
    <row r="1005" spans="2:3" x14ac:dyDescent="0.35">
      <c r="B1005" s="87">
        <v>40931</v>
      </c>
      <c r="C1005" s="22">
        <v>95.3</v>
      </c>
    </row>
    <row r="1006" spans="2:3" x14ac:dyDescent="0.35">
      <c r="B1006" s="87">
        <v>40932</v>
      </c>
      <c r="C1006" s="22">
        <v>94.9</v>
      </c>
    </row>
    <row r="1007" spans="2:3" x14ac:dyDescent="0.35">
      <c r="B1007" s="87">
        <v>40933</v>
      </c>
      <c r="C1007" s="22">
        <v>94</v>
      </c>
    </row>
    <row r="1008" spans="2:3" x14ac:dyDescent="0.35">
      <c r="B1008" s="87">
        <v>40935</v>
      </c>
      <c r="C1008" s="22">
        <v>94</v>
      </c>
    </row>
    <row r="1009" spans="2:3" x14ac:dyDescent="0.35">
      <c r="B1009" s="87">
        <v>40938</v>
      </c>
      <c r="C1009" s="22">
        <v>92.5</v>
      </c>
    </row>
    <row r="1010" spans="2:3" x14ac:dyDescent="0.35">
      <c r="B1010" s="87">
        <v>40939</v>
      </c>
      <c r="C1010" s="22">
        <v>94.2</v>
      </c>
    </row>
    <row r="1011" spans="2:3" x14ac:dyDescent="0.35">
      <c r="B1011" s="87">
        <v>40940</v>
      </c>
      <c r="C1011" s="22">
        <v>96.3</v>
      </c>
    </row>
    <row r="1012" spans="2:3" x14ac:dyDescent="0.35">
      <c r="B1012" s="87">
        <v>40941</v>
      </c>
      <c r="C1012" s="22">
        <v>97</v>
      </c>
    </row>
    <row r="1013" spans="2:3" x14ac:dyDescent="0.35">
      <c r="B1013" s="87">
        <v>40942</v>
      </c>
      <c r="C1013" s="22">
        <v>97.9</v>
      </c>
    </row>
    <row r="1014" spans="2:3" x14ac:dyDescent="0.35">
      <c r="B1014" s="87">
        <v>40945</v>
      </c>
      <c r="C1014" s="22">
        <v>99.5</v>
      </c>
    </row>
    <row r="1015" spans="2:3" x14ac:dyDescent="0.35">
      <c r="B1015" s="87">
        <v>40946</v>
      </c>
      <c r="C1015" s="22">
        <v>99.5</v>
      </c>
    </row>
    <row r="1016" spans="2:3" x14ac:dyDescent="0.35">
      <c r="B1016" s="87">
        <v>40947</v>
      </c>
      <c r="C1016" s="22">
        <v>98.75</v>
      </c>
    </row>
    <row r="1017" spans="2:3" x14ac:dyDescent="0.35">
      <c r="B1017" s="87">
        <v>40948</v>
      </c>
      <c r="C1017" s="22">
        <v>98.3</v>
      </c>
    </row>
    <row r="1018" spans="2:3" x14ac:dyDescent="0.35">
      <c r="B1018" s="87">
        <v>40949</v>
      </c>
      <c r="C1018" s="22">
        <v>103.05</v>
      </c>
    </row>
    <row r="1019" spans="2:3" x14ac:dyDescent="0.35">
      <c r="B1019" s="87">
        <v>40952</v>
      </c>
      <c r="C1019" s="22">
        <v>100.95</v>
      </c>
    </row>
    <row r="1020" spans="2:3" x14ac:dyDescent="0.35">
      <c r="B1020" s="87">
        <v>40953</v>
      </c>
      <c r="C1020" s="22">
        <v>103.3</v>
      </c>
    </row>
    <row r="1021" spans="2:3" x14ac:dyDescent="0.35">
      <c r="B1021" s="87">
        <v>40954</v>
      </c>
      <c r="C1021" s="22">
        <v>103.15</v>
      </c>
    </row>
    <row r="1022" spans="2:3" x14ac:dyDescent="0.35">
      <c r="B1022" s="87">
        <v>40955</v>
      </c>
      <c r="C1022" s="22">
        <v>103.35</v>
      </c>
    </row>
    <row r="1023" spans="2:3" x14ac:dyDescent="0.35">
      <c r="B1023" s="87">
        <v>40956</v>
      </c>
      <c r="C1023" s="22">
        <v>104.5</v>
      </c>
    </row>
    <row r="1024" spans="2:3" x14ac:dyDescent="0.35">
      <c r="B1024" s="87">
        <v>40960</v>
      </c>
      <c r="C1024" s="22">
        <v>105.05</v>
      </c>
    </row>
    <row r="1025" spans="2:3" x14ac:dyDescent="0.35">
      <c r="B1025" s="87">
        <v>40961</v>
      </c>
      <c r="C1025" s="22">
        <v>104.9</v>
      </c>
    </row>
    <row r="1026" spans="2:3" x14ac:dyDescent="0.35">
      <c r="B1026" s="87">
        <v>40962</v>
      </c>
      <c r="C1026" s="22">
        <v>101.95</v>
      </c>
    </row>
    <row r="1027" spans="2:3" x14ac:dyDescent="0.35">
      <c r="B1027" s="87">
        <v>40963</v>
      </c>
      <c r="C1027" s="22">
        <v>103.05</v>
      </c>
    </row>
    <row r="1028" spans="2:3" x14ac:dyDescent="0.35">
      <c r="B1028" s="87">
        <v>40966</v>
      </c>
      <c r="C1028" s="22">
        <v>102.6</v>
      </c>
    </row>
    <row r="1029" spans="2:3" x14ac:dyDescent="0.35">
      <c r="B1029" s="87">
        <v>40967</v>
      </c>
      <c r="C1029" s="22">
        <v>103.35</v>
      </c>
    </row>
    <row r="1030" spans="2:3" x14ac:dyDescent="0.35">
      <c r="B1030" s="87">
        <v>40968</v>
      </c>
      <c r="C1030" s="22">
        <v>104.05</v>
      </c>
    </row>
    <row r="1031" spans="2:3" x14ac:dyDescent="0.35">
      <c r="B1031" s="87">
        <v>40969</v>
      </c>
      <c r="C1031" s="22">
        <v>103.05</v>
      </c>
    </row>
    <row r="1032" spans="2:3" x14ac:dyDescent="0.35">
      <c r="B1032" s="87">
        <v>40970</v>
      </c>
      <c r="C1032" s="22">
        <v>105.2</v>
      </c>
    </row>
    <row r="1033" spans="2:3" x14ac:dyDescent="0.35">
      <c r="B1033" s="87">
        <v>40973</v>
      </c>
      <c r="C1033" s="22">
        <v>103.9</v>
      </c>
    </row>
    <row r="1034" spans="2:3" x14ac:dyDescent="0.35">
      <c r="B1034" s="87">
        <v>40974</v>
      </c>
      <c r="C1034" s="22">
        <v>102.95</v>
      </c>
    </row>
    <row r="1035" spans="2:3" x14ac:dyDescent="0.35">
      <c r="B1035" s="87">
        <v>40975</v>
      </c>
      <c r="C1035" s="22">
        <v>103.85</v>
      </c>
    </row>
    <row r="1036" spans="2:3" x14ac:dyDescent="0.35">
      <c r="B1036" s="87">
        <v>40977</v>
      </c>
      <c r="C1036" s="22">
        <v>103</v>
      </c>
    </row>
    <row r="1037" spans="2:3" x14ac:dyDescent="0.35">
      <c r="B1037" s="87">
        <v>40980</v>
      </c>
      <c r="C1037" s="22">
        <v>102.45</v>
      </c>
    </row>
    <row r="1038" spans="2:3" x14ac:dyDescent="0.35">
      <c r="B1038" s="87">
        <v>40981</v>
      </c>
      <c r="C1038" s="22">
        <v>102.5</v>
      </c>
    </row>
    <row r="1039" spans="2:3" x14ac:dyDescent="0.35">
      <c r="B1039" s="87">
        <v>40982</v>
      </c>
      <c r="C1039" s="22">
        <v>103.2</v>
      </c>
    </row>
    <row r="1040" spans="2:3" x14ac:dyDescent="0.35">
      <c r="B1040" s="87">
        <v>40983</v>
      </c>
      <c r="C1040" s="22">
        <v>103.75</v>
      </c>
    </row>
    <row r="1041" spans="2:3" x14ac:dyDescent="0.35">
      <c r="B1041" s="87">
        <v>40984</v>
      </c>
      <c r="C1041" s="22">
        <v>103.1</v>
      </c>
    </row>
    <row r="1042" spans="2:3" x14ac:dyDescent="0.35">
      <c r="B1042" s="87">
        <v>40987</v>
      </c>
      <c r="C1042" s="22">
        <v>104.4</v>
      </c>
    </row>
    <row r="1043" spans="2:3" x14ac:dyDescent="0.35">
      <c r="B1043" s="87">
        <v>40988</v>
      </c>
      <c r="C1043" s="22">
        <v>105.45</v>
      </c>
    </row>
    <row r="1044" spans="2:3" x14ac:dyDescent="0.35">
      <c r="B1044" s="87">
        <v>40989</v>
      </c>
      <c r="C1044" s="22">
        <v>106</v>
      </c>
    </row>
    <row r="1045" spans="2:3" x14ac:dyDescent="0.35">
      <c r="B1045" s="87">
        <v>40990</v>
      </c>
      <c r="C1045" s="22">
        <v>105.8</v>
      </c>
    </row>
    <row r="1046" spans="2:3" x14ac:dyDescent="0.35">
      <c r="B1046" s="87">
        <v>40991</v>
      </c>
      <c r="C1046" s="22">
        <v>106.4</v>
      </c>
    </row>
    <row r="1047" spans="2:3" x14ac:dyDescent="0.35">
      <c r="B1047" s="87">
        <v>40994</v>
      </c>
      <c r="C1047" s="22">
        <v>104.85</v>
      </c>
    </row>
    <row r="1048" spans="2:3" x14ac:dyDescent="0.35">
      <c r="B1048" s="87">
        <v>40995</v>
      </c>
      <c r="C1048" s="22">
        <v>105.9</v>
      </c>
    </row>
    <row r="1049" spans="2:3" x14ac:dyDescent="0.35">
      <c r="B1049" s="87">
        <v>40996</v>
      </c>
      <c r="C1049" s="22">
        <v>103.35</v>
      </c>
    </row>
    <row r="1050" spans="2:3" x14ac:dyDescent="0.35">
      <c r="B1050" s="87">
        <v>40997</v>
      </c>
      <c r="C1050" s="22">
        <v>105.2</v>
      </c>
    </row>
    <row r="1051" spans="2:3" x14ac:dyDescent="0.35">
      <c r="B1051" s="87">
        <v>40998</v>
      </c>
      <c r="C1051" s="22">
        <v>106.6</v>
      </c>
    </row>
    <row r="1052" spans="2:3" x14ac:dyDescent="0.35">
      <c r="B1052" s="87">
        <v>41001</v>
      </c>
      <c r="C1052" s="22">
        <v>105.95</v>
      </c>
    </row>
    <row r="1053" spans="2:3" x14ac:dyDescent="0.35">
      <c r="B1053" s="87">
        <v>41002</v>
      </c>
      <c r="C1053" s="22">
        <v>106</v>
      </c>
    </row>
    <row r="1054" spans="2:3" x14ac:dyDescent="0.35">
      <c r="B1054" s="87">
        <v>41003</v>
      </c>
      <c r="C1054" s="22">
        <v>105.75</v>
      </c>
    </row>
    <row r="1055" spans="2:3" x14ac:dyDescent="0.35">
      <c r="B1055" s="87">
        <v>41008</v>
      </c>
      <c r="C1055" s="22">
        <v>104.6</v>
      </c>
    </row>
    <row r="1056" spans="2:3" x14ac:dyDescent="0.35">
      <c r="B1056" s="87">
        <v>41009</v>
      </c>
      <c r="C1056" s="22">
        <v>105.3</v>
      </c>
    </row>
    <row r="1057" spans="2:3" x14ac:dyDescent="0.35">
      <c r="B1057" s="87">
        <v>41010</v>
      </c>
      <c r="C1057" s="22">
        <v>105.6</v>
      </c>
    </row>
    <row r="1058" spans="2:3" x14ac:dyDescent="0.35">
      <c r="B1058" s="87">
        <v>41011</v>
      </c>
      <c r="C1058" s="22">
        <v>109.7</v>
      </c>
    </row>
    <row r="1059" spans="2:3" x14ac:dyDescent="0.35">
      <c r="B1059" s="87">
        <v>41012</v>
      </c>
      <c r="C1059" s="22">
        <v>108.95</v>
      </c>
    </row>
    <row r="1060" spans="2:3" x14ac:dyDescent="0.35">
      <c r="B1060" s="87">
        <v>41015</v>
      </c>
      <c r="C1060" s="22">
        <v>111.6</v>
      </c>
    </row>
    <row r="1061" spans="2:3" x14ac:dyDescent="0.35">
      <c r="B1061" s="87">
        <v>41016</v>
      </c>
      <c r="C1061" s="22">
        <v>110.75</v>
      </c>
    </row>
    <row r="1062" spans="2:3" x14ac:dyDescent="0.35">
      <c r="B1062" s="87">
        <v>41017</v>
      </c>
      <c r="C1062" s="22">
        <v>111.15</v>
      </c>
    </row>
    <row r="1063" spans="2:3" x14ac:dyDescent="0.35">
      <c r="B1063" s="87">
        <v>41018</v>
      </c>
      <c r="C1063" s="22">
        <v>112.9</v>
      </c>
    </row>
    <row r="1064" spans="2:3" x14ac:dyDescent="0.35">
      <c r="B1064" s="87">
        <v>41019</v>
      </c>
      <c r="C1064" s="22">
        <v>112.75</v>
      </c>
    </row>
    <row r="1065" spans="2:3" x14ac:dyDescent="0.35">
      <c r="B1065" s="87">
        <v>41022</v>
      </c>
      <c r="C1065" s="22">
        <v>111.6</v>
      </c>
    </row>
    <row r="1066" spans="2:3" x14ac:dyDescent="0.35">
      <c r="B1066" s="87">
        <v>41023</v>
      </c>
      <c r="C1066" s="22">
        <v>111.35</v>
      </c>
    </row>
    <row r="1067" spans="2:3" x14ac:dyDescent="0.35">
      <c r="B1067" s="87">
        <v>41024</v>
      </c>
      <c r="C1067" s="22">
        <v>112.25</v>
      </c>
    </row>
    <row r="1068" spans="2:3" x14ac:dyDescent="0.35">
      <c r="B1068" s="87">
        <v>41025</v>
      </c>
      <c r="C1068" s="22">
        <v>110.85</v>
      </c>
    </row>
    <row r="1069" spans="2:3" x14ac:dyDescent="0.35">
      <c r="B1069" s="87">
        <v>41026</v>
      </c>
      <c r="C1069" s="22">
        <v>109.6</v>
      </c>
    </row>
    <row r="1070" spans="2:3" x14ac:dyDescent="0.35">
      <c r="B1070" s="87">
        <v>41029</v>
      </c>
      <c r="C1070" s="22">
        <v>111.85</v>
      </c>
    </row>
    <row r="1071" spans="2:3" x14ac:dyDescent="0.35">
      <c r="B1071" s="87">
        <v>41031</v>
      </c>
      <c r="C1071" s="22">
        <v>109.95</v>
      </c>
    </row>
    <row r="1072" spans="2:3" x14ac:dyDescent="0.35">
      <c r="B1072" s="87">
        <v>41032</v>
      </c>
      <c r="C1072" s="22">
        <v>105.75</v>
      </c>
    </row>
    <row r="1073" spans="2:3" x14ac:dyDescent="0.35">
      <c r="B1073" s="87">
        <v>41033</v>
      </c>
      <c r="C1073" s="22">
        <v>106.9</v>
      </c>
    </row>
    <row r="1074" spans="2:3" x14ac:dyDescent="0.35">
      <c r="B1074" s="87">
        <v>41036</v>
      </c>
      <c r="C1074" s="22">
        <v>107.6</v>
      </c>
    </row>
    <row r="1075" spans="2:3" x14ac:dyDescent="0.35">
      <c r="B1075" s="87">
        <v>41037</v>
      </c>
      <c r="C1075" s="22">
        <v>105.65</v>
      </c>
    </row>
    <row r="1076" spans="2:3" x14ac:dyDescent="0.35">
      <c r="B1076" s="87">
        <v>41038</v>
      </c>
      <c r="C1076" s="22">
        <v>106.3</v>
      </c>
    </row>
    <row r="1077" spans="2:3" x14ac:dyDescent="0.35">
      <c r="B1077" s="87">
        <v>41039</v>
      </c>
      <c r="C1077" s="22">
        <v>105.9</v>
      </c>
    </row>
    <row r="1078" spans="2:3" x14ac:dyDescent="0.35">
      <c r="B1078" s="87">
        <v>41040</v>
      </c>
      <c r="C1078" s="22">
        <v>104.7</v>
      </c>
    </row>
    <row r="1079" spans="2:3" x14ac:dyDescent="0.35">
      <c r="B1079" s="87">
        <v>41043</v>
      </c>
      <c r="C1079" s="22">
        <v>108</v>
      </c>
    </row>
    <row r="1080" spans="2:3" x14ac:dyDescent="0.35">
      <c r="B1080" s="87">
        <v>41044</v>
      </c>
      <c r="C1080" s="22">
        <v>105.7</v>
      </c>
    </row>
    <row r="1081" spans="2:3" x14ac:dyDescent="0.35">
      <c r="B1081" s="87">
        <v>41045</v>
      </c>
      <c r="C1081" s="22">
        <v>104.3</v>
      </c>
    </row>
    <row r="1082" spans="2:3" x14ac:dyDescent="0.35">
      <c r="B1082" s="87">
        <v>41046</v>
      </c>
      <c r="C1082" s="22">
        <v>104.55</v>
      </c>
    </row>
    <row r="1083" spans="2:3" x14ac:dyDescent="0.35">
      <c r="B1083" s="87">
        <v>41047</v>
      </c>
      <c r="C1083" s="22">
        <v>105.85</v>
      </c>
    </row>
    <row r="1084" spans="2:3" x14ac:dyDescent="0.35">
      <c r="B1084" s="87">
        <v>41050</v>
      </c>
      <c r="C1084" s="22">
        <v>104.7</v>
      </c>
    </row>
    <row r="1085" spans="2:3" x14ac:dyDescent="0.35">
      <c r="B1085" s="87">
        <v>41051</v>
      </c>
      <c r="C1085" s="22">
        <v>104.9</v>
      </c>
    </row>
    <row r="1086" spans="2:3" x14ac:dyDescent="0.35">
      <c r="B1086" s="87">
        <v>41052</v>
      </c>
      <c r="C1086" s="22">
        <v>104.5</v>
      </c>
    </row>
    <row r="1087" spans="2:3" x14ac:dyDescent="0.35">
      <c r="B1087" s="87">
        <v>41053</v>
      </c>
      <c r="C1087" s="22">
        <v>104.7</v>
      </c>
    </row>
    <row r="1088" spans="2:3" x14ac:dyDescent="0.35">
      <c r="B1088" s="87">
        <v>41054</v>
      </c>
      <c r="C1088" s="22">
        <v>103.95</v>
      </c>
    </row>
    <row r="1089" spans="2:3" x14ac:dyDescent="0.35">
      <c r="B1089" s="87">
        <v>41057</v>
      </c>
      <c r="C1089" s="22">
        <v>104.95</v>
      </c>
    </row>
    <row r="1090" spans="2:3" x14ac:dyDescent="0.35">
      <c r="B1090" s="87">
        <v>41058</v>
      </c>
      <c r="C1090" s="22">
        <v>104.55</v>
      </c>
    </row>
    <row r="1091" spans="2:3" x14ac:dyDescent="0.35">
      <c r="B1091" s="87">
        <v>41059</v>
      </c>
      <c r="C1091" s="22">
        <v>103.95</v>
      </c>
    </row>
    <row r="1092" spans="2:3" x14ac:dyDescent="0.35">
      <c r="B1092" s="87">
        <v>41060</v>
      </c>
      <c r="C1092" s="22">
        <v>104.3</v>
      </c>
    </row>
    <row r="1093" spans="2:3" x14ac:dyDescent="0.35">
      <c r="B1093" s="87">
        <v>41061</v>
      </c>
      <c r="C1093" s="22">
        <v>103.2</v>
      </c>
    </row>
    <row r="1094" spans="2:3" x14ac:dyDescent="0.35">
      <c r="B1094" s="87">
        <v>41064</v>
      </c>
      <c r="C1094" s="22">
        <v>102.6</v>
      </c>
    </row>
    <row r="1095" spans="2:3" x14ac:dyDescent="0.35">
      <c r="B1095" s="87">
        <v>41065</v>
      </c>
      <c r="C1095" s="22">
        <v>102.15</v>
      </c>
    </row>
    <row r="1096" spans="2:3" x14ac:dyDescent="0.35">
      <c r="B1096" s="87">
        <v>41066</v>
      </c>
      <c r="C1096" s="22">
        <v>107.05</v>
      </c>
    </row>
    <row r="1097" spans="2:3" x14ac:dyDescent="0.35">
      <c r="B1097" s="87">
        <v>41067</v>
      </c>
      <c r="C1097" s="22">
        <v>105.65</v>
      </c>
    </row>
    <row r="1098" spans="2:3" x14ac:dyDescent="0.35">
      <c r="B1098" s="87">
        <v>41068</v>
      </c>
      <c r="C1098" s="22">
        <v>103.5</v>
      </c>
    </row>
    <row r="1099" spans="2:3" x14ac:dyDescent="0.35">
      <c r="B1099" s="87">
        <v>41071</v>
      </c>
      <c r="C1099" s="22">
        <v>104.85</v>
      </c>
    </row>
    <row r="1100" spans="2:3" x14ac:dyDescent="0.35">
      <c r="B1100" s="87">
        <v>41072</v>
      </c>
      <c r="C1100" s="22">
        <v>106.15</v>
      </c>
    </row>
    <row r="1101" spans="2:3" x14ac:dyDescent="0.35">
      <c r="B1101" s="87">
        <v>41073</v>
      </c>
      <c r="C1101" s="22">
        <v>109.75</v>
      </c>
    </row>
    <row r="1102" spans="2:3" x14ac:dyDescent="0.35">
      <c r="B1102" s="87">
        <v>41074</v>
      </c>
      <c r="C1102" s="22">
        <v>109.85</v>
      </c>
    </row>
    <row r="1103" spans="2:3" x14ac:dyDescent="0.35">
      <c r="B1103" s="87">
        <v>41075</v>
      </c>
      <c r="C1103" s="22">
        <v>110.85</v>
      </c>
    </row>
    <row r="1104" spans="2:3" x14ac:dyDescent="0.35">
      <c r="B1104" s="87">
        <v>41078</v>
      </c>
      <c r="C1104" s="22">
        <v>108.05</v>
      </c>
    </row>
    <row r="1105" spans="2:3" x14ac:dyDescent="0.35">
      <c r="B1105" s="87">
        <v>41079</v>
      </c>
      <c r="C1105" s="22">
        <v>108.95</v>
      </c>
    </row>
    <row r="1106" spans="2:3" x14ac:dyDescent="0.35">
      <c r="B1106" s="87">
        <v>41080</v>
      </c>
      <c r="C1106" s="22">
        <v>110.1</v>
      </c>
    </row>
    <row r="1107" spans="2:3" x14ac:dyDescent="0.35">
      <c r="B1107" s="87">
        <v>41081</v>
      </c>
      <c r="C1107" s="22">
        <v>112.85</v>
      </c>
    </row>
    <row r="1108" spans="2:3" x14ac:dyDescent="0.35">
      <c r="B1108" s="87">
        <v>41082</v>
      </c>
      <c r="C1108" s="22">
        <v>111.9</v>
      </c>
    </row>
    <row r="1109" spans="2:3" x14ac:dyDescent="0.35">
      <c r="B1109" s="87">
        <v>41085</v>
      </c>
      <c r="C1109" s="22">
        <v>111.4</v>
      </c>
    </row>
    <row r="1110" spans="2:3" x14ac:dyDescent="0.35">
      <c r="B1110" s="87">
        <v>41086</v>
      </c>
      <c r="C1110" s="22">
        <v>113.3</v>
      </c>
    </row>
    <row r="1111" spans="2:3" x14ac:dyDescent="0.35">
      <c r="B1111" s="87">
        <v>41087</v>
      </c>
      <c r="C1111" s="22">
        <v>113.05</v>
      </c>
    </row>
    <row r="1112" spans="2:3" x14ac:dyDescent="0.35">
      <c r="B1112" s="87">
        <v>41088</v>
      </c>
      <c r="C1112" s="22">
        <v>113.9</v>
      </c>
    </row>
    <row r="1113" spans="2:3" x14ac:dyDescent="0.35">
      <c r="B1113" s="87">
        <v>41089</v>
      </c>
      <c r="C1113" s="22">
        <v>114.55</v>
      </c>
    </row>
    <row r="1114" spans="2:3" x14ac:dyDescent="0.35">
      <c r="B1114" s="87">
        <v>41092</v>
      </c>
      <c r="C1114" s="22">
        <v>113.75</v>
      </c>
    </row>
    <row r="1115" spans="2:3" x14ac:dyDescent="0.35">
      <c r="B1115" s="87">
        <v>41093</v>
      </c>
      <c r="C1115" s="22">
        <v>112.95</v>
      </c>
    </row>
    <row r="1116" spans="2:3" x14ac:dyDescent="0.35">
      <c r="B1116" s="87">
        <v>41094</v>
      </c>
      <c r="C1116" s="22">
        <v>114.1</v>
      </c>
    </row>
    <row r="1117" spans="2:3" x14ac:dyDescent="0.35">
      <c r="B1117" s="87">
        <v>41095</v>
      </c>
      <c r="C1117" s="22">
        <v>115.05</v>
      </c>
    </row>
    <row r="1118" spans="2:3" x14ac:dyDescent="0.35">
      <c r="B1118" s="87">
        <v>41096</v>
      </c>
      <c r="C1118" s="22">
        <v>115.1</v>
      </c>
    </row>
    <row r="1119" spans="2:3" x14ac:dyDescent="0.35">
      <c r="B1119" s="87">
        <v>41099</v>
      </c>
      <c r="C1119" s="22">
        <v>115</v>
      </c>
    </row>
    <row r="1120" spans="2:3" x14ac:dyDescent="0.35">
      <c r="B1120" s="87">
        <v>41100</v>
      </c>
      <c r="C1120" s="22">
        <v>114.8</v>
      </c>
    </row>
    <row r="1121" spans="2:3" x14ac:dyDescent="0.35">
      <c r="B1121" s="87">
        <v>41101</v>
      </c>
      <c r="C1121" s="22">
        <v>115.4</v>
      </c>
    </row>
    <row r="1122" spans="2:3" x14ac:dyDescent="0.35">
      <c r="B1122" s="87">
        <v>41102</v>
      </c>
      <c r="C1122" s="22">
        <v>115.05</v>
      </c>
    </row>
    <row r="1123" spans="2:3" x14ac:dyDescent="0.35">
      <c r="B1123" s="87">
        <v>41103</v>
      </c>
      <c r="C1123" s="22">
        <v>114.55</v>
      </c>
    </row>
    <row r="1124" spans="2:3" x14ac:dyDescent="0.35">
      <c r="B1124" s="87">
        <v>41106</v>
      </c>
      <c r="C1124" s="22">
        <v>113.35</v>
      </c>
    </row>
    <row r="1125" spans="2:3" x14ac:dyDescent="0.35">
      <c r="B1125" s="87">
        <v>41107</v>
      </c>
      <c r="C1125" s="22">
        <v>115.45</v>
      </c>
    </row>
    <row r="1126" spans="2:3" x14ac:dyDescent="0.35">
      <c r="B1126" s="87">
        <v>41108</v>
      </c>
      <c r="C1126" s="22">
        <v>115.6</v>
      </c>
    </row>
    <row r="1127" spans="2:3" x14ac:dyDescent="0.35">
      <c r="B1127" s="87">
        <v>41109</v>
      </c>
      <c r="C1127" s="22">
        <v>115.35</v>
      </c>
    </row>
    <row r="1128" spans="2:3" x14ac:dyDescent="0.35">
      <c r="B1128" s="87">
        <v>41110</v>
      </c>
      <c r="C1128" s="22">
        <v>118.35</v>
      </c>
    </row>
    <row r="1129" spans="2:3" x14ac:dyDescent="0.35">
      <c r="B1129" s="87">
        <v>41113</v>
      </c>
      <c r="C1129" s="22">
        <v>117.85</v>
      </c>
    </row>
    <row r="1130" spans="2:3" x14ac:dyDescent="0.35">
      <c r="B1130" s="87">
        <v>41114</v>
      </c>
      <c r="C1130" s="22">
        <v>118.3</v>
      </c>
    </row>
    <row r="1131" spans="2:3" x14ac:dyDescent="0.35">
      <c r="B1131" s="87">
        <v>41115</v>
      </c>
      <c r="C1131" s="22">
        <v>115.7</v>
      </c>
    </row>
    <row r="1132" spans="2:3" x14ac:dyDescent="0.35">
      <c r="B1132" s="87">
        <v>41116</v>
      </c>
      <c r="C1132" s="22">
        <v>117</v>
      </c>
    </row>
    <row r="1133" spans="2:3" x14ac:dyDescent="0.35">
      <c r="B1133" s="87">
        <v>41117</v>
      </c>
      <c r="C1133" s="22">
        <v>118.7</v>
      </c>
    </row>
    <row r="1134" spans="2:3" x14ac:dyDescent="0.35">
      <c r="B1134" s="87">
        <v>41120</v>
      </c>
      <c r="C1134" s="22">
        <v>120.6</v>
      </c>
    </row>
    <row r="1135" spans="2:3" x14ac:dyDescent="0.35">
      <c r="B1135" s="87">
        <v>41121</v>
      </c>
      <c r="C1135" s="22">
        <v>119.3</v>
      </c>
    </row>
    <row r="1136" spans="2:3" x14ac:dyDescent="0.35">
      <c r="B1136" s="87">
        <v>41122</v>
      </c>
      <c r="C1136" s="22">
        <v>120.8</v>
      </c>
    </row>
    <row r="1137" spans="2:3" x14ac:dyDescent="0.35">
      <c r="B1137" s="87">
        <v>41123</v>
      </c>
      <c r="C1137" s="22">
        <v>120.35</v>
      </c>
    </row>
    <row r="1138" spans="2:3" x14ac:dyDescent="0.35">
      <c r="B1138" s="87">
        <v>41124</v>
      </c>
      <c r="C1138" s="22">
        <v>121.5</v>
      </c>
    </row>
    <row r="1139" spans="2:3" x14ac:dyDescent="0.35">
      <c r="B1139" s="87">
        <v>41127</v>
      </c>
      <c r="C1139" s="22">
        <v>119.15</v>
      </c>
    </row>
    <row r="1140" spans="2:3" x14ac:dyDescent="0.35">
      <c r="B1140" s="87">
        <v>41128</v>
      </c>
      <c r="C1140" s="22">
        <v>120.35</v>
      </c>
    </row>
    <row r="1141" spans="2:3" x14ac:dyDescent="0.35">
      <c r="B1141" s="87">
        <v>41129</v>
      </c>
      <c r="C1141" s="22">
        <v>119.75</v>
      </c>
    </row>
    <row r="1142" spans="2:3" x14ac:dyDescent="0.35">
      <c r="B1142" s="87">
        <v>41130</v>
      </c>
      <c r="C1142" s="22">
        <v>120.25</v>
      </c>
    </row>
    <row r="1143" spans="2:3" x14ac:dyDescent="0.35">
      <c r="B1143" s="87">
        <v>41131</v>
      </c>
      <c r="C1143" s="22">
        <v>120</v>
      </c>
    </row>
    <row r="1144" spans="2:3" x14ac:dyDescent="0.35">
      <c r="B1144" s="87">
        <v>41134</v>
      </c>
      <c r="C1144" s="22">
        <v>123.4</v>
      </c>
    </row>
    <row r="1145" spans="2:3" x14ac:dyDescent="0.35">
      <c r="B1145" s="87">
        <v>41135</v>
      </c>
      <c r="C1145" s="22">
        <v>122.4</v>
      </c>
    </row>
    <row r="1146" spans="2:3" x14ac:dyDescent="0.35">
      <c r="B1146" s="87">
        <v>41137</v>
      </c>
      <c r="C1146" s="22">
        <v>118.05</v>
      </c>
    </row>
    <row r="1147" spans="2:3" x14ac:dyDescent="0.35">
      <c r="B1147" s="87">
        <v>41138</v>
      </c>
      <c r="C1147" s="22">
        <v>119.25</v>
      </c>
    </row>
    <row r="1148" spans="2:3" x14ac:dyDescent="0.35">
      <c r="B1148" s="87">
        <v>41142</v>
      </c>
      <c r="C1148" s="22">
        <v>119.25</v>
      </c>
    </row>
    <row r="1149" spans="2:3" x14ac:dyDescent="0.35">
      <c r="B1149" s="87">
        <v>41143</v>
      </c>
      <c r="C1149" s="22">
        <v>119.35</v>
      </c>
    </row>
    <row r="1150" spans="2:3" x14ac:dyDescent="0.35">
      <c r="B1150" s="87">
        <v>41144</v>
      </c>
      <c r="C1150" s="22">
        <v>119.5</v>
      </c>
    </row>
    <row r="1151" spans="2:3" x14ac:dyDescent="0.35">
      <c r="B1151" s="87">
        <v>41145</v>
      </c>
      <c r="C1151" s="22">
        <v>123.05</v>
      </c>
    </row>
    <row r="1152" spans="2:3" x14ac:dyDescent="0.35">
      <c r="B1152" s="87">
        <v>41148</v>
      </c>
      <c r="C1152" s="22">
        <v>122.9</v>
      </c>
    </row>
    <row r="1153" spans="2:3" x14ac:dyDescent="0.35">
      <c r="B1153" s="87">
        <v>41149</v>
      </c>
      <c r="C1153" s="22">
        <v>121.7</v>
      </c>
    </row>
    <row r="1154" spans="2:3" x14ac:dyDescent="0.35">
      <c r="B1154" s="87">
        <v>41150</v>
      </c>
      <c r="C1154" s="22">
        <v>124.85</v>
      </c>
    </row>
    <row r="1155" spans="2:3" x14ac:dyDescent="0.35">
      <c r="B1155" s="87">
        <v>41151</v>
      </c>
      <c r="C1155" s="22">
        <v>123.85</v>
      </c>
    </row>
    <row r="1156" spans="2:3" x14ac:dyDescent="0.35">
      <c r="B1156" s="87">
        <v>41152</v>
      </c>
      <c r="C1156" s="22">
        <v>122.55</v>
      </c>
    </row>
    <row r="1157" spans="2:3" x14ac:dyDescent="0.35">
      <c r="B1157" s="87">
        <v>41155</v>
      </c>
      <c r="C1157" s="22">
        <v>125</v>
      </c>
    </row>
    <row r="1158" spans="2:3" x14ac:dyDescent="0.35">
      <c r="B1158" s="87">
        <v>41156</v>
      </c>
      <c r="C1158" s="22">
        <v>127.95</v>
      </c>
    </row>
    <row r="1159" spans="2:3" x14ac:dyDescent="0.35">
      <c r="B1159" s="87">
        <v>41157</v>
      </c>
      <c r="C1159" s="22">
        <v>127.55</v>
      </c>
    </row>
    <row r="1160" spans="2:3" x14ac:dyDescent="0.35">
      <c r="B1160" s="87">
        <v>41158</v>
      </c>
      <c r="C1160" s="22">
        <v>127.6</v>
      </c>
    </row>
    <row r="1161" spans="2:3" x14ac:dyDescent="0.35">
      <c r="B1161" s="87">
        <v>41159</v>
      </c>
      <c r="C1161" s="22">
        <v>128.5</v>
      </c>
    </row>
    <row r="1162" spans="2:3" x14ac:dyDescent="0.35">
      <c r="B1162" s="87">
        <v>41162</v>
      </c>
      <c r="C1162" s="22">
        <v>129.35</v>
      </c>
    </row>
    <row r="1163" spans="2:3" x14ac:dyDescent="0.35">
      <c r="B1163" s="87">
        <v>41163</v>
      </c>
      <c r="C1163" s="22">
        <v>130.85</v>
      </c>
    </row>
    <row r="1164" spans="2:3" x14ac:dyDescent="0.35">
      <c r="B1164" s="87">
        <v>41164</v>
      </c>
      <c r="C1164" s="22">
        <v>128.65</v>
      </c>
    </row>
    <row r="1165" spans="2:3" x14ac:dyDescent="0.35">
      <c r="B1165" s="87">
        <v>41165</v>
      </c>
      <c r="C1165" s="22">
        <v>127.05</v>
      </c>
    </row>
    <row r="1166" spans="2:3" x14ac:dyDescent="0.35">
      <c r="B1166" s="87">
        <v>41166</v>
      </c>
      <c r="C1166" s="22">
        <v>127.25</v>
      </c>
    </row>
    <row r="1167" spans="2:3" x14ac:dyDescent="0.35">
      <c r="B1167" s="87">
        <v>41169</v>
      </c>
      <c r="C1167" s="22">
        <v>124.35</v>
      </c>
    </row>
    <row r="1168" spans="2:3" x14ac:dyDescent="0.35">
      <c r="B1168" s="87">
        <v>41170</v>
      </c>
      <c r="C1168" s="22">
        <v>124.75</v>
      </c>
    </row>
    <row r="1169" spans="2:3" x14ac:dyDescent="0.35">
      <c r="B1169" s="87">
        <v>41172</v>
      </c>
      <c r="C1169" s="22">
        <v>124.1</v>
      </c>
    </row>
    <row r="1170" spans="2:3" x14ac:dyDescent="0.35">
      <c r="B1170" s="87">
        <v>41173</v>
      </c>
      <c r="C1170" s="22">
        <v>125.5</v>
      </c>
    </row>
    <row r="1171" spans="2:3" x14ac:dyDescent="0.35">
      <c r="B1171" s="87">
        <v>41176</v>
      </c>
      <c r="C1171" s="22">
        <v>124.85</v>
      </c>
    </row>
    <row r="1172" spans="2:3" x14ac:dyDescent="0.35">
      <c r="B1172" s="87">
        <v>41177</v>
      </c>
      <c r="C1172" s="22">
        <v>124.5</v>
      </c>
    </row>
    <row r="1173" spans="2:3" x14ac:dyDescent="0.35">
      <c r="B1173" s="87">
        <v>41178</v>
      </c>
      <c r="C1173" s="22">
        <v>124.25</v>
      </c>
    </row>
    <row r="1174" spans="2:3" x14ac:dyDescent="0.35">
      <c r="B1174" s="87">
        <v>41179</v>
      </c>
      <c r="C1174" s="22">
        <v>124.1</v>
      </c>
    </row>
    <row r="1175" spans="2:3" x14ac:dyDescent="0.35">
      <c r="B1175" s="87">
        <v>41180</v>
      </c>
      <c r="C1175" s="22">
        <v>128</v>
      </c>
    </row>
    <row r="1176" spans="2:3" x14ac:dyDescent="0.35">
      <c r="B1176" s="87">
        <v>41183</v>
      </c>
      <c r="C1176" s="22">
        <v>128</v>
      </c>
    </row>
    <row r="1177" spans="2:3" x14ac:dyDescent="0.35">
      <c r="B1177" s="87">
        <v>41185</v>
      </c>
      <c r="C1177" s="22">
        <v>128.85</v>
      </c>
    </row>
    <row r="1178" spans="2:3" x14ac:dyDescent="0.35">
      <c r="B1178" s="87">
        <v>41186</v>
      </c>
      <c r="C1178" s="22">
        <v>128.94999999999999</v>
      </c>
    </row>
    <row r="1179" spans="2:3" x14ac:dyDescent="0.35">
      <c r="B1179" s="87">
        <v>41187</v>
      </c>
      <c r="C1179" s="22">
        <v>132.9</v>
      </c>
    </row>
    <row r="1180" spans="2:3" x14ac:dyDescent="0.35">
      <c r="B1180" s="87">
        <v>41190</v>
      </c>
      <c r="C1180" s="22">
        <v>132.05000000000001</v>
      </c>
    </row>
    <row r="1181" spans="2:3" x14ac:dyDescent="0.35">
      <c r="B1181" s="87">
        <v>41191</v>
      </c>
      <c r="C1181" s="22">
        <v>131.25</v>
      </c>
    </row>
    <row r="1182" spans="2:3" x14ac:dyDescent="0.35">
      <c r="B1182" s="87">
        <v>41192</v>
      </c>
      <c r="C1182" s="22">
        <v>129.65</v>
      </c>
    </row>
    <row r="1183" spans="2:3" x14ac:dyDescent="0.35">
      <c r="B1183" s="87">
        <v>41193</v>
      </c>
      <c r="C1183" s="22">
        <v>130.55000000000001</v>
      </c>
    </row>
    <row r="1184" spans="2:3" x14ac:dyDescent="0.35">
      <c r="B1184" s="87">
        <v>41194</v>
      </c>
      <c r="C1184" s="22">
        <v>135.30000000000001</v>
      </c>
    </row>
    <row r="1185" spans="2:3" x14ac:dyDescent="0.35">
      <c r="B1185" s="87">
        <v>41197</v>
      </c>
      <c r="C1185" s="22">
        <v>134.55000000000001</v>
      </c>
    </row>
    <row r="1186" spans="2:3" x14ac:dyDescent="0.35">
      <c r="B1186" s="87">
        <v>41198</v>
      </c>
      <c r="C1186" s="22">
        <v>134.6</v>
      </c>
    </row>
    <row r="1187" spans="2:3" x14ac:dyDescent="0.35">
      <c r="B1187" s="87">
        <v>41199</v>
      </c>
      <c r="C1187" s="22">
        <v>132.1</v>
      </c>
    </row>
    <row r="1188" spans="2:3" x14ac:dyDescent="0.35">
      <c r="B1188" s="87">
        <v>41200</v>
      </c>
      <c r="C1188" s="22">
        <v>131.80000000000001</v>
      </c>
    </row>
    <row r="1189" spans="2:3" x14ac:dyDescent="0.35">
      <c r="B1189" s="87">
        <v>41201</v>
      </c>
      <c r="C1189" s="22">
        <v>130.19999999999999</v>
      </c>
    </row>
    <row r="1190" spans="2:3" x14ac:dyDescent="0.35">
      <c r="B1190" s="87">
        <v>41204</v>
      </c>
      <c r="C1190" s="22">
        <v>130.44999999999999</v>
      </c>
    </row>
    <row r="1191" spans="2:3" x14ac:dyDescent="0.35">
      <c r="B1191" s="87">
        <v>41205</v>
      </c>
      <c r="C1191" s="22">
        <v>133</v>
      </c>
    </row>
    <row r="1192" spans="2:3" x14ac:dyDescent="0.35">
      <c r="B1192" s="87">
        <v>41207</v>
      </c>
      <c r="C1192" s="22">
        <v>132.80000000000001</v>
      </c>
    </row>
    <row r="1193" spans="2:3" x14ac:dyDescent="0.35">
      <c r="B1193" s="87">
        <v>41208</v>
      </c>
      <c r="C1193" s="22">
        <v>129.85</v>
      </c>
    </row>
    <row r="1194" spans="2:3" x14ac:dyDescent="0.35">
      <c r="B1194" s="87">
        <v>41211</v>
      </c>
      <c r="C1194" s="22">
        <v>125.3</v>
      </c>
    </row>
    <row r="1195" spans="2:3" x14ac:dyDescent="0.35">
      <c r="B1195" s="87">
        <v>41212</v>
      </c>
      <c r="C1195" s="22">
        <v>124.6</v>
      </c>
    </row>
    <row r="1196" spans="2:3" x14ac:dyDescent="0.35">
      <c r="B1196" s="87">
        <v>41213</v>
      </c>
      <c r="C1196" s="22">
        <v>124.35</v>
      </c>
    </row>
    <row r="1197" spans="2:3" x14ac:dyDescent="0.35">
      <c r="B1197" s="87">
        <v>41214</v>
      </c>
      <c r="C1197" s="22">
        <v>124.5</v>
      </c>
    </row>
    <row r="1198" spans="2:3" x14ac:dyDescent="0.35">
      <c r="B1198" s="87">
        <v>41215</v>
      </c>
      <c r="C1198" s="22">
        <v>124.95</v>
      </c>
    </row>
    <row r="1199" spans="2:3" x14ac:dyDescent="0.35">
      <c r="B1199" s="87">
        <v>41218</v>
      </c>
      <c r="C1199" s="22">
        <v>127.3</v>
      </c>
    </row>
    <row r="1200" spans="2:3" x14ac:dyDescent="0.35">
      <c r="B1200" s="87">
        <v>41219</v>
      </c>
      <c r="C1200" s="22">
        <v>127.45</v>
      </c>
    </row>
    <row r="1201" spans="2:3" x14ac:dyDescent="0.35">
      <c r="B1201" s="87">
        <v>41220</v>
      </c>
      <c r="C1201" s="22">
        <v>128.44999999999999</v>
      </c>
    </row>
    <row r="1202" spans="2:3" x14ac:dyDescent="0.35">
      <c r="B1202" s="87">
        <v>41221</v>
      </c>
      <c r="C1202" s="22">
        <v>128.80000000000001</v>
      </c>
    </row>
    <row r="1203" spans="2:3" x14ac:dyDescent="0.35">
      <c r="B1203" s="87">
        <v>41222</v>
      </c>
      <c r="C1203" s="22">
        <v>128</v>
      </c>
    </row>
    <row r="1204" spans="2:3" x14ac:dyDescent="0.35">
      <c r="B1204" s="87">
        <v>41225</v>
      </c>
      <c r="C1204" s="22">
        <v>125.3</v>
      </c>
    </row>
    <row r="1205" spans="2:3" x14ac:dyDescent="0.35">
      <c r="B1205" s="87">
        <v>41226</v>
      </c>
      <c r="C1205" s="22">
        <v>126.25</v>
      </c>
    </row>
    <row r="1206" spans="2:3" x14ac:dyDescent="0.35">
      <c r="B1206" s="87">
        <v>41228</v>
      </c>
      <c r="C1206" s="22">
        <v>129.15</v>
      </c>
    </row>
    <row r="1207" spans="2:3" x14ac:dyDescent="0.35">
      <c r="B1207" s="87">
        <v>41229</v>
      </c>
      <c r="C1207" s="22">
        <v>125.6</v>
      </c>
    </row>
    <row r="1208" spans="2:3" x14ac:dyDescent="0.35">
      <c r="B1208" s="87">
        <v>41232</v>
      </c>
      <c r="C1208" s="22">
        <v>124.95</v>
      </c>
    </row>
    <row r="1209" spans="2:3" x14ac:dyDescent="0.35">
      <c r="B1209" s="87">
        <v>41233</v>
      </c>
      <c r="C1209" s="22">
        <v>123.85</v>
      </c>
    </row>
    <row r="1210" spans="2:3" x14ac:dyDescent="0.35">
      <c r="B1210" s="87">
        <v>41234</v>
      </c>
      <c r="C1210" s="22">
        <v>124.5</v>
      </c>
    </row>
    <row r="1211" spans="2:3" x14ac:dyDescent="0.35">
      <c r="B1211" s="87">
        <v>41235</v>
      </c>
      <c r="C1211" s="22">
        <v>122.85</v>
      </c>
    </row>
    <row r="1212" spans="2:3" x14ac:dyDescent="0.35">
      <c r="B1212" s="87">
        <v>41236</v>
      </c>
      <c r="C1212" s="22">
        <v>122.15</v>
      </c>
    </row>
    <row r="1213" spans="2:3" x14ac:dyDescent="0.35">
      <c r="B1213" s="87">
        <v>41239</v>
      </c>
      <c r="C1213" s="22">
        <v>124.15</v>
      </c>
    </row>
    <row r="1214" spans="2:3" x14ac:dyDescent="0.35">
      <c r="B1214" s="87">
        <v>41240</v>
      </c>
      <c r="C1214" s="22">
        <v>124.35</v>
      </c>
    </row>
    <row r="1215" spans="2:3" x14ac:dyDescent="0.35">
      <c r="B1215" s="87">
        <v>41242</v>
      </c>
      <c r="C1215" s="22">
        <v>125.9</v>
      </c>
    </row>
    <row r="1216" spans="2:3" x14ac:dyDescent="0.35">
      <c r="B1216" s="87">
        <v>41243</v>
      </c>
      <c r="C1216" s="22">
        <v>128.05000000000001</v>
      </c>
    </row>
    <row r="1217" spans="2:3" x14ac:dyDescent="0.35">
      <c r="B1217" s="87">
        <v>41246</v>
      </c>
      <c r="C1217" s="22">
        <v>129.05000000000001</v>
      </c>
    </row>
    <row r="1218" spans="2:3" x14ac:dyDescent="0.35">
      <c r="B1218" s="87">
        <v>41247</v>
      </c>
      <c r="C1218" s="22">
        <v>129.25</v>
      </c>
    </row>
    <row r="1219" spans="2:3" x14ac:dyDescent="0.35">
      <c r="B1219" s="87">
        <v>41248</v>
      </c>
      <c r="C1219" s="22">
        <v>129.94999999999999</v>
      </c>
    </row>
    <row r="1220" spans="2:3" x14ac:dyDescent="0.35">
      <c r="B1220" s="87">
        <v>41249</v>
      </c>
      <c r="C1220" s="22">
        <v>129.9</v>
      </c>
    </row>
    <row r="1221" spans="2:3" x14ac:dyDescent="0.35">
      <c r="B1221" s="87">
        <v>41250</v>
      </c>
      <c r="C1221" s="22">
        <v>130.05000000000001</v>
      </c>
    </row>
    <row r="1222" spans="2:3" x14ac:dyDescent="0.35">
      <c r="B1222" s="87">
        <v>41253</v>
      </c>
      <c r="C1222" s="22">
        <v>131</v>
      </c>
    </row>
    <row r="1223" spans="2:3" x14ac:dyDescent="0.35">
      <c r="B1223" s="87">
        <v>41254</v>
      </c>
      <c r="C1223" s="22">
        <v>131.05000000000001</v>
      </c>
    </row>
    <row r="1224" spans="2:3" x14ac:dyDescent="0.35">
      <c r="B1224" s="87">
        <v>41255</v>
      </c>
      <c r="C1224" s="22">
        <v>129.55000000000001</v>
      </c>
    </row>
    <row r="1225" spans="2:3" x14ac:dyDescent="0.35">
      <c r="B1225" s="87">
        <v>41256</v>
      </c>
      <c r="C1225" s="22">
        <v>130.1</v>
      </c>
    </row>
    <row r="1226" spans="2:3" x14ac:dyDescent="0.35">
      <c r="B1226" s="87">
        <v>41257</v>
      </c>
      <c r="C1226" s="22">
        <v>129.9</v>
      </c>
    </row>
    <row r="1227" spans="2:3" x14ac:dyDescent="0.35">
      <c r="B1227" s="87">
        <v>41260</v>
      </c>
      <c r="C1227" s="22">
        <v>129.1</v>
      </c>
    </row>
    <row r="1228" spans="2:3" x14ac:dyDescent="0.35">
      <c r="B1228" s="87">
        <v>41261</v>
      </c>
      <c r="C1228" s="22">
        <v>129.9</v>
      </c>
    </row>
    <row r="1229" spans="2:3" x14ac:dyDescent="0.35">
      <c r="B1229" s="87">
        <v>41262</v>
      </c>
      <c r="C1229" s="22">
        <v>128.4</v>
      </c>
    </row>
    <row r="1230" spans="2:3" x14ac:dyDescent="0.35">
      <c r="B1230" s="87">
        <v>41263</v>
      </c>
      <c r="C1230" s="22">
        <v>128.94999999999999</v>
      </c>
    </row>
    <row r="1231" spans="2:3" x14ac:dyDescent="0.35">
      <c r="B1231" s="87">
        <v>41264</v>
      </c>
      <c r="C1231" s="22">
        <v>128.25</v>
      </c>
    </row>
    <row r="1232" spans="2:3" x14ac:dyDescent="0.35">
      <c r="B1232" s="87">
        <v>41267</v>
      </c>
      <c r="C1232" s="22">
        <v>129.05000000000001</v>
      </c>
    </row>
    <row r="1233" spans="2:3" x14ac:dyDescent="0.35">
      <c r="B1233" s="87">
        <v>41269</v>
      </c>
      <c r="C1233" s="22">
        <v>129.80000000000001</v>
      </c>
    </row>
    <row r="1234" spans="2:3" x14ac:dyDescent="0.35">
      <c r="B1234" s="87">
        <v>41270</v>
      </c>
      <c r="C1234" s="22">
        <v>127.55</v>
      </c>
    </row>
    <row r="1235" spans="2:3" x14ac:dyDescent="0.35">
      <c r="B1235" s="87">
        <v>41271</v>
      </c>
      <c r="C1235" s="22">
        <v>129.1</v>
      </c>
    </row>
    <row r="1236" spans="2:3" x14ac:dyDescent="0.35">
      <c r="B1236" s="87">
        <v>41274</v>
      </c>
      <c r="C1236" s="22">
        <v>128.9</v>
      </c>
    </row>
    <row r="1237" spans="2:3" x14ac:dyDescent="0.35">
      <c r="B1237" s="87">
        <v>41275</v>
      </c>
      <c r="C1237" s="22">
        <v>129.4</v>
      </c>
    </row>
    <row r="1238" spans="2:3" x14ac:dyDescent="0.35">
      <c r="B1238" s="87">
        <v>41276</v>
      </c>
      <c r="C1238" s="22">
        <v>129.69999999999999</v>
      </c>
    </row>
    <row r="1239" spans="2:3" x14ac:dyDescent="0.35">
      <c r="B1239" s="87">
        <v>41277</v>
      </c>
      <c r="C1239" s="22">
        <v>128.75</v>
      </c>
    </row>
    <row r="1240" spans="2:3" x14ac:dyDescent="0.35">
      <c r="B1240" s="87">
        <v>41278</v>
      </c>
      <c r="C1240" s="22">
        <v>128</v>
      </c>
    </row>
    <row r="1241" spans="2:3" x14ac:dyDescent="0.35">
      <c r="B1241" s="87">
        <v>41281</v>
      </c>
      <c r="C1241" s="22">
        <v>127.9</v>
      </c>
    </row>
    <row r="1242" spans="2:3" x14ac:dyDescent="0.35">
      <c r="B1242" s="87">
        <v>41282</v>
      </c>
      <c r="C1242" s="22">
        <v>128.94999999999999</v>
      </c>
    </row>
    <row r="1243" spans="2:3" x14ac:dyDescent="0.35">
      <c r="B1243" s="87">
        <v>41283</v>
      </c>
      <c r="C1243" s="22">
        <v>127.75</v>
      </c>
    </row>
    <row r="1244" spans="2:3" x14ac:dyDescent="0.35">
      <c r="B1244" s="87">
        <v>41284</v>
      </c>
      <c r="C1244" s="22">
        <v>128.05000000000001</v>
      </c>
    </row>
    <row r="1245" spans="2:3" x14ac:dyDescent="0.35">
      <c r="B1245" s="87">
        <v>41285</v>
      </c>
      <c r="C1245" s="22">
        <v>126.05</v>
      </c>
    </row>
    <row r="1246" spans="2:3" x14ac:dyDescent="0.35">
      <c r="B1246" s="87">
        <v>41288</v>
      </c>
      <c r="C1246" s="22">
        <v>128.75</v>
      </c>
    </row>
    <row r="1247" spans="2:3" x14ac:dyDescent="0.35">
      <c r="B1247" s="87">
        <v>41289</v>
      </c>
      <c r="C1247" s="22">
        <v>128.69999999999999</v>
      </c>
    </row>
    <row r="1248" spans="2:3" x14ac:dyDescent="0.35">
      <c r="B1248" s="87">
        <v>41290</v>
      </c>
      <c r="C1248" s="22">
        <v>129</v>
      </c>
    </row>
    <row r="1249" spans="2:3" x14ac:dyDescent="0.35">
      <c r="B1249" s="87">
        <v>41291</v>
      </c>
      <c r="C1249" s="22">
        <v>129.15</v>
      </c>
    </row>
    <row r="1250" spans="2:3" x14ac:dyDescent="0.35">
      <c r="B1250" s="87">
        <v>41292</v>
      </c>
      <c r="C1250" s="22">
        <v>128.94999999999999</v>
      </c>
    </row>
    <row r="1251" spans="2:3" x14ac:dyDescent="0.35">
      <c r="B1251" s="87">
        <v>41295</v>
      </c>
      <c r="C1251" s="22">
        <v>128.05000000000001</v>
      </c>
    </row>
    <row r="1252" spans="2:3" x14ac:dyDescent="0.35">
      <c r="B1252" s="87">
        <v>41296</v>
      </c>
      <c r="C1252" s="22">
        <v>129.75</v>
      </c>
    </row>
    <row r="1253" spans="2:3" x14ac:dyDescent="0.35">
      <c r="B1253" s="87">
        <v>41297</v>
      </c>
      <c r="C1253" s="22">
        <v>128.80000000000001</v>
      </c>
    </row>
    <row r="1254" spans="2:3" x14ac:dyDescent="0.35">
      <c r="B1254" s="87">
        <v>41298</v>
      </c>
      <c r="C1254" s="22">
        <v>127.5</v>
      </c>
    </row>
    <row r="1255" spans="2:3" x14ac:dyDescent="0.35">
      <c r="B1255" s="87">
        <v>41299</v>
      </c>
      <c r="C1255" s="22">
        <v>129.15</v>
      </c>
    </row>
    <row r="1256" spans="2:3" x14ac:dyDescent="0.35">
      <c r="B1256" s="87">
        <v>41302</v>
      </c>
      <c r="C1256" s="22">
        <v>131.4</v>
      </c>
    </row>
    <row r="1257" spans="2:3" x14ac:dyDescent="0.35">
      <c r="B1257" s="87">
        <v>41303</v>
      </c>
      <c r="C1257" s="22">
        <v>130.55000000000001</v>
      </c>
    </row>
    <row r="1258" spans="2:3" x14ac:dyDescent="0.35">
      <c r="B1258" s="87">
        <v>41304</v>
      </c>
      <c r="C1258" s="22">
        <v>129.9</v>
      </c>
    </row>
    <row r="1259" spans="2:3" x14ac:dyDescent="0.35">
      <c r="B1259" s="87">
        <v>41305</v>
      </c>
      <c r="C1259" s="22">
        <v>132.69999999999999</v>
      </c>
    </row>
    <row r="1260" spans="2:3" x14ac:dyDescent="0.35">
      <c r="B1260" s="87">
        <v>41306</v>
      </c>
      <c r="C1260" s="22">
        <v>133.65</v>
      </c>
    </row>
    <row r="1261" spans="2:3" x14ac:dyDescent="0.35">
      <c r="B1261" s="87">
        <v>41309</v>
      </c>
      <c r="C1261" s="22">
        <v>133.80000000000001</v>
      </c>
    </row>
    <row r="1262" spans="2:3" x14ac:dyDescent="0.35">
      <c r="B1262" s="87">
        <v>41310</v>
      </c>
      <c r="C1262" s="22">
        <v>133.85</v>
      </c>
    </row>
    <row r="1263" spans="2:3" x14ac:dyDescent="0.35">
      <c r="B1263" s="87">
        <v>41311</v>
      </c>
      <c r="C1263" s="22">
        <v>133</v>
      </c>
    </row>
    <row r="1264" spans="2:3" x14ac:dyDescent="0.35">
      <c r="B1264" s="87">
        <v>41312</v>
      </c>
      <c r="C1264" s="22">
        <v>131.75</v>
      </c>
    </row>
    <row r="1265" spans="2:3" x14ac:dyDescent="0.35">
      <c r="B1265" s="87">
        <v>41313</v>
      </c>
      <c r="C1265" s="22">
        <v>131.1</v>
      </c>
    </row>
    <row r="1266" spans="2:3" x14ac:dyDescent="0.35">
      <c r="B1266" s="87">
        <v>41316</v>
      </c>
      <c r="C1266" s="22">
        <v>130.80000000000001</v>
      </c>
    </row>
    <row r="1267" spans="2:3" x14ac:dyDescent="0.35">
      <c r="B1267" s="87">
        <v>41317</v>
      </c>
      <c r="C1267" s="22">
        <v>133.75</v>
      </c>
    </row>
    <row r="1268" spans="2:3" x14ac:dyDescent="0.35">
      <c r="B1268" s="87">
        <v>41318</v>
      </c>
      <c r="C1268" s="22">
        <v>133.44999999999999</v>
      </c>
    </row>
    <row r="1269" spans="2:3" x14ac:dyDescent="0.35">
      <c r="B1269" s="87">
        <v>41319</v>
      </c>
      <c r="C1269" s="22">
        <v>133.65</v>
      </c>
    </row>
    <row r="1270" spans="2:3" x14ac:dyDescent="0.35">
      <c r="B1270" s="87">
        <v>41320</v>
      </c>
      <c r="C1270" s="22">
        <v>133.15</v>
      </c>
    </row>
    <row r="1271" spans="2:3" x14ac:dyDescent="0.35">
      <c r="B1271" s="87">
        <v>41323</v>
      </c>
      <c r="C1271" s="22">
        <v>131.80000000000001</v>
      </c>
    </row>
    <row r="1272" spans="2:3" x14ac:dyDescent="0.35">
      <c r="B1272" s="87">
        <v>41324</v>
      </c>
      <c r="C1272" s="22">
        <v>131.94999999999999</v>
      </c>
    </row>
    <row r="1273" spans="2:3" x14ac:dyDescent="0.35">
      <c r="B1273" s="87">
        <v>41325</v>
      </c>
      <c r="C1273" s="22">
        <v>131.94999999999999</v>
      </c>
    </row>
    <row r="1274" spans="2:3" x14ac:dyDescent="0.35">
      <c r="B1274" s="87">
        <v>41326</v>
      </c>
      <c r="C1274" s="22">
        <v>130.85</v>
      </c>
    </row>
    <row r="1275" spans="2:3" x14ac:dyDescent="0.35">
      <c r="B1275" s="87">
        <v>41327</v>
      </c>
      <c r="C1275" s="22">
        <v>131.55000000000001</v>
      </c>
    </row>
    <row r="1276" spans="2:3" x14ac:dyDescent="0.35">
      <c r="B1276" s="87">
        <v>41330</v>
      </c>
      <c r="C1276" s="22">
        <v>128.65</v>
      </c>
    </row>
    <row r="1277" spans="2:3" x14ac:dyDescent="0.35">
      <c r="B1277" s="87">
        <v>41331</v>
      </c>
      <c r="C1277" s="22">
        <v>128.80000000000001</v>
      </c>
    </row>
    <row r="1278" spans="2:3" x14ac:dyDescent="0.35">
      <c r="B1278" s="87">
        <v>41332</v>
      </c>
      <c r="C1278" s="22">
        <v>129.05000000000001</v>
      </c>
    </row>
    <row r="1279" spans="2:3" x14ac:dyDescent="0.35">
      <c r="B1279" s="87">
        <v>41333</v>
      </c>
      <c r="C1279" s="22">
        <v>126.4</v>
      </c>
    </row>
    <row r="1280" spans="2:3" x14ac:dyDescent="0.35">
      <c r="B1280" s="87">
        <v>41334</v>
      </c>
      <c r="C1280" s="22">
        <v>129.5</v>
      </c>
    </row>
    <row r="1281" spans="2:3" x14ac:dyDescent="0.35">
      <c r="B1281" s="87">
        <v>41337</v>
      </c>
      <c r="C1281" s="22">
        <v>128.65</v>
      </c>
    </row>
    <row r="1282" spans="2:3" x14ac:dyDescent="0.35">
      <c r="B1282" s="87">
        <v>41338</v>
      </c>
      <c r="C1282" s="22">
        <v>134.05000000000001</v>
      </c>
    </row>
    <row r="1283" spans="2:3" x14ac:dyDescent="0.35">
      <c r="B1283" s="87">
        <v>41339</v>
      </c>
      <c r="C1283" s="22">
        <v>132.9</v>
      </c>
    </row>
    <row r="1284" spans="2:3" x14ac:dyDescent="0.35">
      <c r="B1284" s="87">
        <v>41340</v>
      </c>
      <c r="C1284" s="22">
        <v>133</v>
      </c>
    </row>
    <row r="1285" spans="2:3" x14ac:dyDescent="0.35">
      <c r="B1285" s="87">
        <v>41341</v>
      </c>
      <c r="C1285" s="22">
        <v>135.15</v>
      </c>
    </row>
    <row r="1286" spans="2:3" x14ac:dyDescent="0.35">
      <c r="B1286" s="87">
        <v>41344</v>
      </c>
      <c r="C1286" s="22">
        <v>134</v>
      </c>
    </row>
    <row r="1287" spans="2:3" x14ac:dyDescent="0.35">
      <c r="B1287" s="87">
        <v>41345</v>
      </c>
      <c r="C1287" s="22">
        <v>133.30000000000001</v>
      </c>
    </row>
    <row r="1288" spans="2:3" x14ac:dyDescent="0.35">
      <c r="B1288" s="87">
        <v>41346</v>
      </c>
      <c r="C1288" s="22">
        <v>134.4</v>
      </c>
    </row>
    <row r="1289" spans="2:3" x14ac:dyDescent="0.35">
      <c r="B1289" s="87">
        <v>41347</v>
      </c>
      <c r="C1289" s="22">
        <v>133.5</v>
      </c>
    </row>
    <row r="1290" spans="2:3" x14ac:dyDescent="0.35">
      <c r="B1290" s="87">
        <v>41348</v>
      </c>
      <c r="C1290" s="22">
        <v>137.25</v>
      </c>
    </row>
    <row r="1291" spans="2:3" x14ac:dyDescent="0.35">
      <c r="B1291" s="87">
        <v>41351</v>
      </c>
      <c r="C1291" s="22">
        <v>137.85</v>
      </c>
    </row>
    <row r="1292" spans="2:3" x14ac:dyDescent="0.35">
      <c r="B1292" s="87">
        <v>41352</v>
      </c>
      <c r="C1292" s="22">
        <v>135.94999999999999</v>
      </c>
    </row>
    <row r="1293" spans="2:3" x14ac:dyDescent="0.35">
      <c r="B1293" s="87">
        <v>41353</v>
      </c>
      <c r="C1293" s="22">
        <v>135.9</v>
      </c>
    </row>
    <row r="1294" spans="2:3" x14ac:dyDescent="0.35">
      <c r="B1294" s="87">
        <v>41354</v>
      </c>
      <c r="C1294" s="22">
        <v>133.69999999999999</v>
      </c>
    </row>
    <row r="1295" spans="2:3" x14ac:dyDescent="0.35">
      <c r="B1295" s="87">
        <v>41355</v>
      </c>
      <c r="C1295" s="22">
        <v>133.75</v>
      </c>
    </row>
    <row r="1296" spans="2:3" x14ac:dyDescent="0.35">
      <c r="B1296" s="87">
        <v>41358</v>
      </c>
      <c r="C1296" s="22">
        <v>130.85</v>
      </c>
    </row>
    <row r="1297" spans="2:3" x14ac:dyDescent="0.35">
      <c r="B1297" s="87">
        <v>41359</v>
      </c>
      <c r="C1297" s="22">
        <v>134.19999999999999</v>
      </c>
    </row>
    <row r="1298" spans="2:3" x14ac:dyDescent="0.35">
      <c r="B1298" s="87">
        <v>41361</v>
      </c>
      <c r="C1298" s="22">
        <v>136.94999999999999</v>
      </c>
    </row>
    <row r="1299" spans="2:3" x14ac:dyDescent="0.35">
      <c r="B1299" s="87">
        <v>41365</v>
      </c>
      <c r="C1299" s="22">
        <v>141.85</v>
      </c>
    </row>
    <row r="1300" spans="2:3" x14ac:dyDescent="0.35">
      <c r="B1300" s="87">
        <v>41366</v>
      </c>
      <c r="C1300" s="22">
        <v>141.30000000000001</v>
      </c>
    </row>
    <row r="1301" spans="2:3" x14ac:dyDescent="0.35">
      <c r="B1301" s="87">
        <v>41367</v>
      </c>
      <c r="C1301" s="22">
        <v>144.19999999999999</v>
      </c>
    </row>
    <row r="1302" spans="2:3" x14ac:dyDescent="0.35">
      <c r="B1302" s="87">
        <v>41368</v>
      </c>
      <c r="C1302" s="22">
        <v>140.5</v>
      </c>
    </row>
    <row r="1303" spans="2:3" x14ac:dyDescent="0.35">
      <c r="B1303" s="87">
        <v>41369</v>
      </c>
      <c r="C1303" s="22">
        <v>143.25</v>
      </c>
    </row>
    <row r="1304" spans="2:3" x14ac:dyDescent="0.35">
      <c r="B1304" s="87">
        <v>41372</v>
      </c>
      <c r="C1304" s="22">
        <v>141.75</v>
      </c>
    </row>
    <row r="1305" spans="2:3" x14ac:dyDescent="0.35">
      <c r="B1305" s="87">
        <v>41373</v>
      </c>
      <c r="C1305" s="22">
        <v>138.94999999999999</v>
      </c>
    </row>
    <row r="1306" spans="2:3" x14ac:dyDescent="0.35">
      <c r="B1306" s="87">
        <v>41374</v>
      </c>
      <c r="C1306" s="22">
        <v>137.5</v>
      </c>
    </row>
    <row r="1307" spans="2:3" x14ac:dyDescent="0.35">
      <c r="B1307" s="87">
        <v>41375</v>
      </c>
      <c r="C1307" s="22">
        <v>137.9</v>
      </c>
    </row>
    <row r="1308" spans="2:3" x14ac:dyDescent="0.35">
      <c r="B1308" s="87">
        <v>41376</v>
      </c>
      <c r="C1308" s="22">
        <v>138.94999999999999</v>
      </c>
    </row>
    <row r="1309" spans="2:3" x14ac:dyDescent="0.35">
      <c r="B1309" s="87">
        <v>41379</v>
      </c>
      <c r="C1309" s="22">
        <v>138.30000000000001</v>
      </c>
    </row>
    <row r="1310" spans="2:3" x14ac:dyDescent="0.35">
      <c r="B1310" s="87">
        <v>41380</v>
      </c>
      <c r="C1310" s="22">
        <v>139.4</v>
      </c>
    </row>
    <row r="1311" spans="2:3" x14ac:dyDescent="0.35">
      <c r="B1311" s="87">
        <v>41381</v>
      </c>
      <c r="C1311" s="22">
        <v>139.35</v>
      </c>
    </row>
    <row r="1312" spans="2:3" x14ac:dyDescent="0.35">
      <c r="B1312" s="87">
        <v>41382</v>
      </c>
      <c r="C1312" s="22">
        <v>141.55000000000001</v>
      </c>
    </row>
    <row r="1313" spans="2:3" x14ac:dyDescent="0.35">
      <c r="B1313" s="87">
        <v>41386</v>
      </c>
      <c r="C1313" s="22">
        <v>144.4</v>
      </c>
    </row>
    <row r="1314" spans="2:3" x14ac:dyDescent="0.35">
      <c r="B1314" s="87">
        <v>41387</v>
      </c>
      <c r="C1314" s="22">
        <v>142.6</v>
      </c>
    </row>
    <row r="1315" spans="2:3" x14ac:dyDescent="0.35">
      <c r="B1315" s="87">
        <v>41389</v>
      </c>
      <c r="C1315" s="22">
        <v>145.85</v>
      </c>
    </row>
    <row r="1316" spans="2:3" x14ac:dyDescent="0.35">
      <c r="B1316" s="87">
        <v>41390</v>
      </c>
      <c r="C1316" s="22">
        <v>146.5</v>
      </c>
    </row>
    <row r="1317" spans="2:3" x14ac:dyDescent="0.35">
      <c r="B1317" s="87">
        <v>41393</v>
      </c>
      <c r="C1317" s="22">
        <v>146.6</v>
      </c>
    </row>
    <row r="1318" spans="2:3" x14ac:dyDescent="0.35">
      <c r="B1318" s="87">
        <v>41394</v>
      </c>
      <c r="C1318" s="22">
        <v>147.80000000000001</v>
      </c>
    </row>
    <row r="1319" spans="2:3" x14ac:dyDescent="0.35">
      <c r="B1319" s="87">
        <v>41396</v>
      </c>
      <c r="C1319" s="22">
        <v>151</v>
      </c>
    </row>
    <row r="1320" spans="2:3" x14ac:dyDescent="0.35">
      <c r="B1320" s="87">
        <v>41397</v>
      </c>
      <c r="C1320" s="22">
        <v>161.05000000000001</v>
      </c>
    </row>
    <row r="1321" spans="2:3" x14ac:dyDescent="0.35">
      <c r="B1321" s="87">
        <v>41400</v>
      </c>
      <c r="C1321" s="22">
        <v>157.85</v>
      </c>
    </row>
    <row r="1322" spans="2:3" x14ac:dyDescent="0.35">
      <c r="B1322" s="87">
        <v>41401</v>
      </c>
      <c r="C1322" s="22">
        <v>161.94999999999999</v>
      </c>
    </row>
    <row r="1323" spans="2:3" x14ac:dyDescent="0.35">
      <c r="B1323" s="87">
        <v>41402</v>
      </c>
      <c r="C1323" s="22">
        <v>161.80000000000001</v>
      </c>
    </row>
    <row r="1324" spans="2:3" x14ac:dyDescent="0.35">
      <c r="B1324" s="87">
        <v>41403</v>
      </c>
      <c r="C1324" s="22">
        <v>158.25</v>
      </c>
    </row>
    <row r="1325" spans="2:3" x14ac:dyDescent="0.35">
      <c r="B1325" s="87">
        <v>41404</v>
      </c>
      <c r="C1325" s="22">
        <v>161</v>
      </c>
    </row>
    <row r="1326" spans="2:3" x14ac:dyDescent="0.35">
      <c r="B1326" s="87">
        <v>41407</v>
      </c>
      <c r="C1326" s="22">
        <v>163.95</v>
      </c>
    </row>
    <row r="1327" spans="2:3" x14ac:dyDescent="0.35">
      <c r="B1327" s="87">
        <v>41408</v>
      </c>
      <c r="C1327" s="22">
        <v>161.80000000000001</v>
      </c>
    </row>
    <row r="1328" spans="2:3" x14ac:dyDescent="0.35">
      <c r="B1328" s="87">
        <v>41409</v>
      </c>
      <c r="C1328" s="22">
        <v>161.19999999999999</v>
      </c>
    </row>
    <row r="1329" spans="2:3" x14ac:dyDescent="0.35">
      <c r="B1329" s="87">
        <v>41410</v>
      </c>
      <c r="C1329" s="22">
        <v>158.44999999999999</v>
      </c>
    </row>
    <row r="1330" spans="2:3" x14ac:dyDescent="0.35">
      <c r="B1330" s="87">
        <v>41411</v>
      </c>
      <c r="C1330" s="22">
        <v>157.1</v>
      </c>
    </row>
    <row r="1331" spans="2:3" x14ac:dyDescent="0.35">
      <c r="B1331" s="87">
        <v>41414</v>
      </c>
      <c r="C1331" s="22">
        <v>155.94999999999999</v>
      </c>
    </row>
    <row r="1332" spans="2:3" x14ac:dyDescent="0.35">
      <c r="B1332" s="87">
        <v>41415</v>
      </c>
      <c r="C1332" s="22">
        <v>155.05000000000001</v>
      </c>
    </row>
    <row r="1333" spans="2:3" x14ac:dyDescent="0.35">
      <c r="B1333" s="87">
        <v>41416</v>
      </c>
      <c r="C1333" s="22">
        <v>157.44999999999999</v>
      </c>
    </row>
    <row r="1334" spans="2:3" x14ac:dyDescent="0.35">
      <c r="B1334" s="87">
        <v>41417</v>
      </c>
      <c r="C1334" s="22">
        <v>155.4</v>
      </c>
    </row>
    <row r="1335" spans="2:3" x14ac:dyDescent="0.35">
      <c r="B1335" s="87">
        <v>41418</v>
      </c>
      <c r="C1335" s="22">
        <v>158.15</v>
      </c>
    </row>
    <row r="1336" spans="2:3" x14ac:dyDescent="0.35">
      <c r="B1336" s="87">
        <v>41421</v>
      </c>
      <c r="C1336" s="22">
        <v>158.4</v>
      </c>
    </row>
    <row r="1337" spans="2:3" x14ac:dyDescent="0.35">
      <c r="B1337" s="87">
        <v>41422</v>
      </c>
      <c r="C1337" s="22">
        <v>156.19999999999999</v>
      </c>
    </row>
    <row r="1338" spans="2:3" x14ac:dyDescent="0.35">
      <c r="B1338" s="87">
        <v>41423</v>
      </c>
      <c r="C1338" s="22">
        <v>157.05000000000001</v>
      </c>
    </row>
    <row r="1339" spans="2:3" x14ac:dyDescent="0.35">
      <c r="B1339" s="87">
        <v>41424</v>
      </c>
      <c r="C1339" s="22">
        <v>156.9</v>
      </c>
    </row>
    <row r="1340" spans="2:3" x14ac:dyDescent="0.35">
      <c r="B1340" s="87">
        <v>41425</v>
      </c>
      <c r="C1340" s="22">
        <v>156.35</v>
      </c>
    </row>
    <row r="1341" spans="2:3" x14ac:dyDescent="0.35">
      <c r="B1341" s="87">
        <v>41428</v>
      </c>
      <c r="C1341" s="22">
        <v>158.05000000000001</v>
      </c>
    </row>
    <row r="1342" spans="2:3" x14ac:dyDescent="0.35">
      <c r="B1342" s="87">
        <v>41429</v>
      </c>
      <c r="C1342" s="22">
        <v>158.9</v>
      </c>
    </row>
    <row r="1343" spans="2:3" x14ac:dyDescent="0.35">
      <c r="B1343" s="87">
        <v>41430</v>
      </c>
      <c r="C1343" s="22">
        <v>158.1</v>
      </c>
    </row>
    <row r="1344" spans="2:3" x14ac:dyDescent="0.35">
      <c r="B1344" s="87">
        <v>41431</v>
      </c>
      <c r="C1344" s="22">
        <v>157.65</v>
      </c>
    </row>
    <row r="1345" spans="2:3" x14ac:dyDescent="0.35">
      <c r="B1345" s="87">
        <v>41432</v>
      </c>
      <c r="C1345" s="22">
        <v>157.15</v>
      </c>
    </row>
    <row r="1346" spans="2:3" x14ac:dyDescent="0.35">
      <c r="B1346" s="87">
        <v>41435</v>
      </c>
      <c r="C1346" s="22">
        <v>151.55000000000001</v>
      </c>
    </row>
    <row r="1347" spans="2:3" x14ac:dyDescent="0.35">
      <c r="B1347" s="87">
        <v>41436</v>
      </c>
      <c r="C1347" s="22">
        <v>152.1</v>
      </c>
    </row>
    <row r="1348" spans="2:3" x14ac:dyDescent="0.35">
      <c r="B1348" s="87">
        <v>41437</v>
      </c>
      <c r="C1348" s="22">
        <v>153.44999999999999</v>
      </c>
    </row>
    <row r="1349" spans="2:3" x14ac:dyDescent="0.35">
      <c r="B1349" s="87">
        <v>41438</v>
      </c>
      <c r="C1349" s="22">
        <v>150.35</v>
      </c>
    </row>
    <row r="1350" spans="2:3" x14ac:dyDescent="0.35">
      <c r="B1350" s="87">
        <v>41439</v>
      </c>
      <c r="C1350" s="22">
        <v>152.65</v>
      </c>
    </row>
    <row r="1351" spans="2:3" x14ac:dyDescent="0.35">
      <c r="B1351" s="87">
        <v>41442</v>
      </c>
      <c r="C1351" s="22">
        <v>155.25</v>
      </c>
    </row>
    <row r="1352" spans="2:3" x14ac:dyDescent="0.35">
      <c r="B1352" s="87">
        <v>41443</v>
      </c>
      <c r="C1352" s="22">
        <v>155.19999999999999</v>
      </c>
    </row>
    <row r="1353" spans="2:3" x14ac:dyDescent="0.35">
      <c r="B1353" s="87">
        <v>41444</v>
      </c>
      <c r="C1353" s="22">
        <v>156</v>
      </c>
    </row>
    <row r="1354" spans="2:3" x14ac:dyDescent="0.35">
      <c r="B1354" s="87">
        <v>41445</v>
      </c>
      <c r="C1354" s="22">
        <v>151.44999999999999</v>
      </c>
    </row>
    <row r="1355" spans="2:3" x14ac:dyDescent="0.35">
      <c r="B1355" s="87">
        <v>41446</v>
      </c>
      <c r="C1355" s="22">
        <v>154.05000000000001</v>
      </c>
    </row>
    <row r="1356" spans="2:3" x14ac:dyDescent="0.35">
      <c r="B1356" s="87">
        <v>41449</v>
      </c>
      <c r="C1356" s="22">
        <v>154.4</v>
      </c>
    </row>
    <row r="1357" spans="2:3" x14ac:dyDescent="0.35">
      <c r="B1357" s="87">
        <v>41450</v>
      </c>
      <c r="C1357" s="22">
        <v>152.4</v>
      </c>
    </row>
    <row r="1358" spans="2:3" x14ac:dyDescent="0.35">
      <c r="B1358" s="87">
        <v>41451</v>
      </c>
      <c r="C1358" s="22">
        <v>152.19999999999999</v>
      </c>
    </row>
    <row r="1359" spans="2:3" x14ac:dyDescent="0.35">
      <c r="B1359" s="87">
        <v>41452</v>
      </c>
      <c r="C1359" s="22">
        <v>153.85</v>
      </c>
    </row>
    <row r="1360" spans="2:3" x14ac:dyDescent="0.35">
      <c r="B1360" s="87">
        <v>41453</v>
      </c>
      <c r="C1360" s="22">
        <v>155.4</v>
      </c>
    </row>
    <row r="1361" spans="2:3" x14ac:dyDescent="0.35">
      <c r="B1361" s="87">
        <v>41456</v>
      </c>
      <c r="C1361" s="22">
        <v>155.30000000000001</v>
      </c>
    </row>
    <row r="1362" spans="2:3" x14ac:dyDescent="0.35">
      <c r="B1362" s="87">
        <v>41457</v>
      </c>
      <c r="C1362" s="22">
        <v>155.19999999999999</v>
      </c>
    </row>
    <row r="1363" spans="2:3" x14ac:dyDescent="0.35">
      <c r="B1363" s="87">
        <v>41458</v>
      </c>
      <c r="C1363" s="22">
        <v>156.6</v>
      </c>
    </row>
    <row r="1364" spans="2:3" x14ac:dyDescent="0.35">
      <c r="B1364" s="87">
        <v>41459</v>
      </c>
      <c r="C1364" s="22">
        <v>158.9</v>
      </c>
    </row>
    <row r="1365" spans="2:3" x14ac:dyDescent="0.35">
      <c r="B1365" s="87">
        <v>41460</v>
      </c>
      <c r="C1365" s="22">
        <v>157</v>
      </c>
    </row>
    <row r="1366" spans="2:3" x14ac:dyDescent="0.35">
      <c r="B1366" s="87">
        <v>41463</v>
      </c>
      <c r="C1366" s="22">
        <v>157.44999999999999</v>
      </c>
    </row>
    <row r="1367" spans="2:3" x14ac:dyDescent="0.35">
      <c r="B1367" s="87">
        <v>41464</v>
      </c>
      <c r="C1367" s="22">
        <v>156.44999999999999</v>
      </c>
    </row>
    <row r="1368" spans="2:3" x14ac:dyDescent="0.35">
      <c r="B1368" s="87">
        <v>41465</v>
      </c>
      <c r="C1368" s="22">
        <v>154.4</v>
      </c>
    </row>
    <row r="1369" spans="2:3" x14ac:dyDescent="0.35">
      <c r="B1369" s="87">
        <v>41466</v>
      </c>
      <c r="C1369" s="22">
        <v>155.05000000000001</v>
      </c>
    </row>
    <row r="1370" spans="2:3" x14ac:dyDescent="0.35">
      <c r="B1370" s="87">
        <v>41467</v>
      </c>
      <c r="C1370" s="22">
        <v>158.55000000000001</v>
      </c>
    </row>
    <row r="1371" spans="2:3" x14ac:dyDescent="0.35">
      <c r="B1371" s="87">
        <v>41470</v>
      </c>
      <c r="C1371" s="22">
        <v>156.94999999999999</v>
      </c>
    </row>
    <row r="1372" spans="2:3" x14ac:dyDescent="0.35">
      <c r="B1372" s="87">
        <v>41471</v>
      </c>
      <c r="C1372" s="22">
        <v>159</v>
      </c>
    </row>
    <row r="1373" spans="2:3" x14ac:dyDescent="0.35">
      <c r="B1373" s="87">
        <v>41472</v>
      </c>
      <c r="C1373" s="22">
        <v>165.65</v>
      </c>
    </row>
    <row r="1374" spans="2:3" x14ac:dyDescent="0.35">
      <c r="B1374" s="87">
        <v>41473</v>
      </c>
      <c r="C1374" s="22">
        <v>171.05</v>
      </c>
    </row>
    <row r="1375" spans="2:3" x14ac:dyDescent="0.35">
      <c r="B1375" s="87">
        <v>41474</v>
      </c>
      <c r="C1375" s="22">
        <v>167.65</v>
      </c>
    </row>
    <row r="1376" spans="2:3" x14ac:dyDescent="0.35">
      <c r="B1376" s="87">
        <v>41477</v>
      </c>
      <c r="C1376" s="22">
        <v>170.95</v>
      </c>
    </row>
    <row r="1377" spans="2:3" x14ac:dyDescent="0.35">
      <c r="B1377" s="87">
        <v>41478</v>
      </c>
      <c r="C1377" s="22">
        <v>170.5</v>
      </c>
    </row>
    <row r="1378" spans="2:3" x14ac:dyDescent="0.35">
      <c r="B1378" s="87">
        <v>41479</v>
      </c>
      <c r="C1378" s="22">
        <v>174.85</v>
      </c>
    </row>
    <row r="1379" spans="2:3" x14ac:dyDescent="0.35">
      <c r="B1379" s="87">
        <v>41480</v>
      </c>
      <c r="C1379" s="22">
        <v>170.5</v>
      </c>
    </row>
    <row r="1380" spans="2:3" x14ac:dyDescent="0.35">
      <c r="B1380" s="87">
        <v>41481</v>
      </c>
      <c r="C1380" s="22">
        <v>171.75</v>
      </c>
    </row>
    <row r="1381" spans="2:3" x14ac:dyDescent="0.35">
      <c r="B1381" s="87">
        <v>41484</v>
      </c>
      <c r="C1381" s="22">
        <v>169.3</v>
      </c>
    </row>
    <row r="1382" spans="2:3" x14ac:dyDescent="0.35">
      <c r="B1382" s="87">
        <v>41485</v>
      </c>
      <c r="C1382" s="22">
        <v>164.85</v>
      </c>
    </row>
    <row r="1383" spans="2:3" x14ac:dyDescent="0.35">
      <c r="B1383" s="87">
        <v>41486</v>
      </c>
      <c r="C1383" s="22">
        <v>161.4</v>
      </c>
    </row>
    <row r="1384" spans="2:3" x14ac:dyDescent="0.35">
      <c r="B1384" s="87">
        <v>41487</v>
      </c>
      <c r="C1384" s="22">
        <v>159.80000000000001</v>
      </c>
    </row>
    <row r="1385" spans="2:3" x14ac:dyDescent="0.35">
      <c r="B1385" s="87">
        <v>41488</v>
      </c>
      <c r="C1385" s="22">
        <v>160</v>
      </c>
    </row>
    <row r="1386" spans="2:3" x14ac:dyDescent="0.35">
      <c r="B1386" s="87">
        <v>41491</v>
      </c>
      <c r="C1386" s="22">
        <v>164.25</v>
      </c>
    </row>
    <row r="1387" spans="2:3" x14ac:dyDescent="0.35">
      <c r="B1387" s="87">
        <v>41492</v>
      </c>
      <c r="C1387" s="22">
        <v>160.30000000000001</v>
      </c>
    </row>
    <row r="1388" spans="2:3" x14ac:dyDescent="0.35">
      <c r="B1388" s="87">
        <v>41493</v>
      </c>
      <c r="C1388" s="22">
        <v>157.35</v>
      </c>
    </row>
    <row r="1389" spans="2:3" x14ac:dyDescent="0.35">
      <c r="B1389" s="87">
        <v>41494</v>
      </c>
      <c r="C1389" s="22">
        <v>161.35</v>
      </c>
    </row>
    <row r="1390" spans="2:3" x14ac:dyDescent="0.35">
      <c r="B1390" s="87">
        <v>41498</v>
      </c>
      <c r="C1390" s="22">
        <v>166.8</v>
      </c>
    </row>
    <row r="1391" spans="2:3" x14ac:dyDescent="0.35">
      <c r="B1391" s="87">
        <v>41499</v>
      </c>
      <c r="C1391" s="22">
        <v>172.25</v>
      </c>
    </row>
    <row r="1392" spans="2:3" x14ac:dyDescent="0.35">
      <c r="B1392" s="87">
        <v>41500</v>
      </c>
      <c r="C1392" s="22">
        <v>171.1</v>
      </c>
    </row>
    <row r="1393" spans="2:3" x14ac:dyDescent="0.35">
      <c r="B1393" s="87">
        <v>41502</v>
      </c>
      <c r="C1393" s="22">
        <v>170.1</v>
      </c>
    </row>
    <row r="1394" spans="2:3" x14ac:dyDescent="0.35">
      <c r="B1394" s="87">
        <v>41505</v>
      </c>
      <c r="C1394" s="22">
        <v>162.5</v>
      </c>
    </row>
    <row r="1395" spans="2:3" x14ac:dyDescent="0.35">
      <c r="B1395" s="87">
        <v>41506</v>
      </c>
      <c r="C1395" s="22">
        <v>156.75</v>
      </c>
    </row>
    <row r="1396" spans="2:3" x14ac:dyDescent="0.35">
      <c r="B1396" s="87">
        <v>41507</v>
      </c>
      <c r="C1396" s="22">
        <v>149.5</v>
      </c>
    </row>
    <row r="1397" spans="2:3" x14ac:dyDescent="0.35">
      <c r="B1397" s="87">
        <v>41508</v>
      </c>
      <c r="C1397" s="22">
        <v>145.94999999999999</v>
      </c>
    </row>
    <row r="1398" spans="2:3" x14ac:dyDescent="0.35">
      <c r="B1398" s="87">
        <v>41509</v>
      </c>
      <c r="C1398" s="22">
        <v>149.5</v>
      </c>
    </row>
    <row r="1399" spans="2:3" x14ac:dyDescent="0.35">
      <c r="B1399" s="87">
        <v>41512</v>
      </c>
      <c r="C1399" s="22">
        <v>156.65</v>
      </c>
    </row>
    <row r="1400" spans="2:3" x14ac:dyDescent="0.35">
      <c r="B1400" s="87">
        <v>41513</v>
      </c>
      <c r="C1400" s="22">
        <v>157.05000000000001</v>
      </c>
    </row>
    <row r="1401" spans="2:3" x14ac:dyDescent="0.35">
      <c r="B1401" s="87">
        <v>41514</v>
      </c>
      <c r="C1401" s="22">
        <v>156.35</v>
      </c>
    </row>
    <row r="1402" spans="2:3" x14ac:dyDescent="0.35">
      <c r="B1402" s="87">
        <v>41515</v>
      </c>
      <c r="C1402" s="22">
        <v>159.94999999999999</v>
      </c>
    </row>
    <row r="1403" spans="2:3" x14ac:dyDescent="0.35">
      <c r="B1403" s="87">
        <v>41516</v>
      </c>
      <c r="C1403" s="22">
        <v>163.1</v>
      </c>
    </row>
    <row r="1404" spans="2:3" x14ac:dyDescent="0.35">
      <c r="B1404" s="87">
        <v>41519</v>
      </c>
      <c r="C1404" s="22">
        <v>168.6</v>
      </c>
    </row>
    <row r="1405" spans="2:3" x14ac:dyDescent="0.35">
      <c r="B1405" s="87">
        <v>41520</v>
      </c>
      <c r="C1405" s="22">
        <v>163.85</v>
      </c>
    </row>
    <row r="1406" spans="2:3" x14ac:dyDescent="0.35">
      <c r="B1406" s="87">
        <v>41521</v>
      </c>
      <c r="C1406" s="22">
        <v>169.85</v>
      </c>
    </row>
    <row r="1407" spans="2:3" x14ac:dyDescent="0.35">
      <c r="B1407" s="87">
        <v>41522</v>
      </c>
      <c r="C1407" s="22">
        <v>163.5</v>
      </c>
    </row>
    <row r="1408" spans="2:3" x14ac:dyDescent="0.35">
      <c r="B1408" s="87">
        <v>41523</v>
      </c>
      <c r="C1408" s="22">
        <v>163.15</v>
      </c>
    </row>
    <row r="1409" spans="2:3" x14ac:dyDescent="0.35">
      <c r="B1409" s="87">
        <v>41527</v>
      </c>
      <c r="C1409" s="22">
        <v>170.65</v>
      </c>
    </row>
    <row r="1410" spans="2:3" x14ac:dyDescent="0.35">
      <c r="B1410" s="87">
        <v>41528</v>
      </c>
      <c r="C1410" s="22">
        <v>169.95</v>
      </c>
    </row>
    <row r="1411" spans="2:3" x14ac:dyDescent="0.35">
      <c r="B1411" s="87">
        <v>41529</v>
      </c>
      <c r="C1411" s="22">
        <v>169.75</v>
      </c>
    </row>
    <row r="1412" spans="2:3" x14ac:dyDescent="0.35">
      <c r="B1412" s="87">
        <v>41530</v>
      </c>
      <c r="C1412" s="22">
        <v>169.05</v>
      </c>
    </row>
    <row r="1413" spans="2:3" x14ac:dyDescent="0.35">
      <c r="B1413" s="87">
        <v>41533</v>
      </c>
      <c r="C1413" s="22">
        <v>169.2</v>
      </c>
    </row>
    <row r="1414" spans="2:3" x14ac:dyDescent="0.35">
      <c r="B1414" s="87">
        <v>41534</v>
      </c>
      <c r="C1414" s="22">
        <v>167.85</v>
      </c>
    </row>
    <row r="1415" spans="2:3" x14ac:dyDescent="0.35">
      <c r="B1415" s="87">
        <v>41535</v>
      </c>
      <c r="C1415" s="22">
        <v>168.85</v>
      </c>
    </row>
    <row r="1416" spans="2:3" x14ac:dyDescent="0.35">
      <c r="B1416" s="87">
        <v>41536</v>
      </c>
      <c r="C1416" s="22">
        <v>169.8</v>
      </c>
    </row>
    <row r="1417" spans="2:3" x14ac:dyDescent="0.35">
      <c r="B1417" s="87">
        <v>41537</v>
      </c>
      <c r="C1417" s="22">
        <v>168.85</v>
      </c>
    </row>
    <row r="1418" spans="2:3" x14ac:dyDescent="0.35">
      <c r="B1418" s="87">
        <v>41540</v>
      </c>
      <c r="C1418" s="22">
        <v>167.1</v>
      </c>
    </row>
    <row r="1419" spans="2:3" x14ac:dyDescent="0.35">
      <c r="B1419" s="87">
        <v>41541</v>
      </c>
      <c r="C1419" s="22">
        <v>168.35</v>
      </c>
    </row>
    <row r="1420" spans="2:3" x14ac:dyDescent="0.35">
      <c r="B1420" s="87">
        <v>41542</v>
      </c>
      <c r="C1420" s="22">
        <v>167.3</v>
      </c>
    </row>
    <row r="1421" spans="2:3" x14ac:dyDescent="0.35">
      <c r="B1421" s="87">
        <v>41543</v>
      </c>
      <c r="C1421" s="22">
        <v>167.4</v>
      </c>
    </row>
    <row r="1422" spans="2:3" x14ac:dyDescent="0.35">
      <c r="B1422" s="87">
        <v>41544</v>
      </c>
      <c r="C1422" s="22">
        <v>170</v>
      </c>
    </row>
    <row r="1423" spans="2:3" x14ac:dyDescent="0.35">
      <c r="B1423" s="87">
        <v>41547</v>
      </c>
      <c r="C1423" s="22">
        <v>169.5</v>
      </c>
    </row>
    <row r="1424" spans="2:3" x14ac:dyDescent="0.35">
      <c r="B1424" s="87">
        <v>41548</v>
      </c>
      <c r="C1424" s="22">
        <v>168.05</v>
      </c>
    </row>
    <row r="1425" spans="2:3" x14ac:dyDescent="0.35">
      <c r="B1425" s="87">
        <v>41550</v>
      </c>
      <c r="C1425" s="22">
        <v>169.7</v>
      </c>
    </row>
    <row r="1426" spans="2:3" x14ac:dyDescent="0.35">
      <c r="B1426" s="87">
        <v>41551</v>
      </c>
      <c r="C1426" s="22">
        <v>171</v>
      </c>
    </row>
    <row r="1427" spans="2:3" x14ac:dyDescent="0.35">
      <c r="B1427" s="87">
        <v>41554</v>
      </c>
      <c r="C1427" s="22">
        <v>170.5</v>
      </c>
    </row>
    <row r="1428" spans="2:3" x14ac:dyDescent="0.35">
      <c r="B1428" s="87">
        <v>41555</v>
      </c>
      <c r="C1428" s="22">
        <v>171.7</v>
      </c>
    </row>
    <row r="1429" spans="2:3" x14ac:dyDescent="0.35">
      <c r="B1429" s="87">
        <v>41556</v>
      </c>
      <c r="C1429" s="22">
        <v>170.4</v>
      </c>
    </row>
    <row r="1430" spans="2:3" x14ac:dyDescent="0.35">
      <c r="B1430" s="87">
        <v>41557</v>
      </c>
      <c r="C1430" s="22">
        <v>170.1</v>
      </c>
    </row>
    <row r="1431" spans="2:3" x14ac:dyDescent="0.35">
      <c r="B1431" s="87">
        <v>41558</v>
      </c>
      <c r="C1431" s="22">
        <v>169.55</v>
      </c>
    </row>
    <row r="1432" spans="2:3" x14ac:dyDescent="0.35">
      <c r="B1432" s="87">
        <v>41561</v>
      </c>
      <c r="C1432" s="22">
        <v>169.25</v>
      </c>
    </row>
    <row r="1433" spans="2:3" x14ac:dyDescent="0.35">
      <c r="B1433" s="87">
        <v>41562</v>
      </c>
      <c r="C1433" s="22">
        <v>168.45</v>
      </c>
    </row>
    <row r="1434" spans="2:3" x14ac:dyDescent="0.35">
      <c r="B1434" s="87">
        <v>41564</v>
      </c>
      <c r="C1434" s="22">
        <v>166.45</v>
      </c>
    </row>
    <row r="1435" spans="2:3" x14ac:dyDescent="0.35">
      <c r="B1435" s="87">
        <v>41565</v>
      </c>
      <c r="C1435" s="22">
        <v>169.15</v>
      </c>
    </row>
    <row r="1436" spans="2:3" x14ac:dyDescent="0.35">
      <c r="B1436" s="87">
        <v>41568</v>
      </c>
      <c r="C1436" s="22">
        <v>170.5</v>
      </c>
    </row>
    <row r="1437" spans="2:3" x14ac:dyDescent="0.35">
      <c r="B1437" s="87">
        <v>41569</v>
      </c>
      <c r="C1437" s="22">
        <v>178.7</v>
      </c>
    </row>
    <row r="1438" spans="2:3" x14ac:dyDescent="0.35">
      <c r="B1438" s="87">
        <v>41570</v>
      </c>
      <c r="C1438" s="22">
        <v>176.4</v>
      </c>
    </row>
    <row r="1439" spans="2:3" x14ac:dyDescent="0.35">
      <c r="B1439" s="87">
        <v>41571</v>
      </c>
      <c r="C1439" s="22">
        <v>176.65</v>
      </c>
    </row>
    <row r="1440" spans="2:3" x14ac:dyDescent="0.35">
      <c r="B1440" s="87">
        <v>41572</v>
      </c>
      <c r="C1440" s="22">
        <v>182.6</v>
      </c>
    </row>
    <row r="1441" spans="2:3" x14ac:dyDescent="0.35">
      <c r="B1441" s="87">
        <v>41575</v>
      </c>
      <c r="C1441" s="22">
        <v>175.75</v>
      </c>
    </row>
    <row r="1442" spans="2:3" x14ac:dyDescent="0.35">
      <c r="B1442" s="87">
        <v>41576</v>
      </c>
      <c r="C1442" s="22">
        <v>177.9</v>
      </c>
    </row>
    <row r="1443" spans="2:3" x14ac:dyDescent="0.35">
      <c r="B1443" s="87">
        <v>41577</v>
      </c>
      <c r="C1443" s="22">
        <v>179.3</v>
      </c>
    </row>
    <row r="1444" spans="2:3" x14ac:dyDescent="0.35">
      <c r="B1444" s="87">
        <v>41578</v>
      </c>
      <c r="C1444" s="22">
        <v>178.65</v>
      </c>
    </row>
    <row r="1445" spans="2:3" x14ac:dyDescent="0.35">
      <c r="B1445" s="87">
        <v>41579</v>
      </c>
      <c r="C1445" s="22">
        <v>176.8</v>
      </c>
    </row>
    <row r="1446" spans="2:3" x14ac:dyDescent="0.35">
      <c r="B1446" s="87">
        <v>41583</v>
      </c>
      <c r="C1446" s="22">
        <v>172.5</v>
      </c>
    </row>
    <row r="1447" spans="2:3" x14ac:dyDescent="0.35">
      <c r="B1447" s="87">
        <v>41584</v>
      </c>
      <c r="C1447" s="22">
        <v>170</v>
      </c>
    </row>
    <row r="1448" spans="2:3" x14ac:dyDescent="0.35">
      <c r="B1448" s="87">
        <v>41585</v>
      </c>
      <c r="C1448" s="22">
        <v>167.6</v>
      </c>
    </row>
    <row r="1449" spans="2:3" x14ac:dyDescent="0.35">
      <c r="B1449" s="87">
        <v>41586</v>
      </c>
      <c r="C1449" s="22">
        <v>163.35</v>
      </c>
    </row>
    <row r="1450" spans="2:3" x14ac:dyDescent="0.35">
      <c r="B1450" s="87">
        <v>41589</v>
      </c>
      <c r="C1450" s="22">
        <v>160.65</v>
      </c>
    </row>
    <row r="1451" spans="2:3" x14ac:dyDescent="0.35">
      <c r="B1451" s="87">
        <v>41590</v>
      </c>
      <c r="C1451" s="22">
        <v>163.25</v>
      </c>
    </row>
    <row r="1452" spans="2:3" x14ac:dyDescent="0.35">
      <c r="B1452" s="87">
        <v>41591</v>
      </c>
      <c r="C1452" s="22">
        <v>161.75</v>
      </c>
    </row>
    <row r="1453" spans="2:3" x14ac:dyDescent="0.35">
      <c r="B1453" s="87">
        <v>41592</v>
      </c>
      <c r="C1453" s="22">
        <v>164.25</v>
      </c>
    </row>
    <row r="1454" spans="2:3" x14ac:dyDescent="0.35">
      <c r="B1454" s="87">
        <v>41596</v>
      </c>
      <c r="C1454" s="22">
        <v>162.05000000000001</v>
      </c>
    </row>
    <row r="1455" spans="2:3" x14ac:dyDescent="0.35">
      <c r="B1455" s="87">
        <v>41597</v>
      </c>
      <c r="C1455" s="22">
        <v>159.9</v>
      </c>
    </row>
    <row r="1456" spans="2:3" x14ac:dyDescent="0.35">
      <c r="B1456" s="87">
        <v>41598</v>
      </c>
      <c r="C1456" s="22">
        <v>157.35</v>
      </c>
    </row>
    <row r="1457" spans="2:3" x14ac:dyDescent="0.35">
      <c r="B1457" s="87">
        <v>41599</v>
      </c>
      <c r="C1457" s="22">
        <v>160.94999999999999</v>
      </c>
    </row>
    <row r="1458" spans="2:3" x14ac:dyDescent="0.35">
      <c r="B1458" s="87">
        <v>41600</v>
      </c>
      <c r="C1458" s="22">
        <v>161.05000000000001</v>
      </c>
    </row>
    <row r="1459" spans="2:3" x14ac:dyDescent="0.35">
      <c r="B1459" s="87">
        <v>41603</v>
      </c>
      <c r="C1459" s="22">
        <v>167.4</v>
      </c>
    </row>
    <row r="1460" spans="2:3" x14ac:dyDescent="0.35">
      <c r="B1460" s="87">
        <v>41604</v>
      </c>
      <c r="C1460" s="22">
        <v>165.15</v>
      </c>
    </row>
    <row r="1461" spans="2:3" x14ac:dyDescent="0.35">
      <c r="B1461" s="87">
        <v>41605</v>
      </c>
      <c r="C1461" s="22">
        <v>165.25</v>
      </c>
    </row>
    <row r="1462" spans="2:3" x14ac:dyDescent="0.35">
      <c r="B1462" s="87">
        <v>41606</v>
      </c>
      <c r="C1462" s="22">
        <v>163.05000000000001</v>
      </c>
    </row>
    <row r="1463" spans="2:3" x14ac:dyDescent="0.35">
      <c r="B1463" s="87">
        <v>41607</v>
      </c>
      <c r="C1463" s="22">
        <v>165.65</v>
      </c>
    </row>
    <row r="1464" spans="2:3" x14ac:dyDescent="0.35">
      <c r="B1464" s="87">
        <v>41610</v>
      </c>
      <c r="C1464" s="22">
        <v>166.65</v>
      </c>
    </row>
    <row r="1465" spans="2:3" x14ac:dyDescent="0.35">
      <c r="B1465" s="87">
        <v>41611</v>
      </c>
      <c r="C1465" s="22">
        <v>164.85</v>
      </c>
    </row>
    <row r="1466" spans="2:3" x14ac:dyDescent="0.35">
      <c r="B1466" s="87">
        <v>41612</v>
      </c>
      <c r="C1466" s="22">
        <v>163</v>
      </c>
    </row>
    <row r="1467" spans="2:3" x14ac:dyDescent="0.35">
      <c r="B1467" s="87">
        <v>41613</v>
      </c>
      <c r="C1467" s="22">
        <v>163.19999999999999</v>
      </c>
    </row>
    <row r="1468" spans="2:3" x14ac:dyDescent="0.35">
      <c r="B1468" s="87">
        <v>41614</v>
      </c>
      <c r="C1468" s="22">
        <v>164.4</v>
      </c>
    </row>
    <row r="1469" spans="2:3" x14ac:dyDescent="0.35">
      <c r="B1469" s="87">
        <v>41617</v>
      </c>
      <c r="C1469" s="22">
        <v>164.75</v>
      </c>
    </row>
    <row r="1470" spans="2:3" x14ac:dyDescent="0.35">
      <c r="B1470" s="87">
        <v>41618</v>
      </c>
      <c r="C1470" s="22">
        <v>164.9</v>
      </c>
    </row>
    <row r="1471" spans="2:3" x14ac:dyDescent="0.35">
      <c r="B1471" s="87">
        <v>41619</v>
      </c>
      <c r="C1471" s="22">
        <v>169.15</v>
      </c>
    </row>
    <row r="1472" spans="2:3" x14ac:dyDescent="0.35">
      <c r="B1472" s="87">
        <v>41620</v>
      </c>
      <c r="C1472" s="22">
        <v>167.85</v>
      </c>
    </row>
    <row r="1473" spans="2:3" x14ac:dyDescent="0.35">
      <c r="B1473" s="87">
        <v>41621</v>
      </c>
      <c r="C1473" s="22">
        <v>165.75</v>
      </c>
    </row>
    <row r="1474" spans="2:3" x14ac:dyDescent="0.35">
      <c r="B1474" s="87">
        <v>41624</v>
      </c>
      <c r="C1474" s="22">
        <v>166.15</v>
      </c>
    </row>
    <row r="1475" spans="2:3" x14ac:dyDescent="0.35">
      <c r="B1475" s="87">
        <v>41625</v>
      </c>
      <c r="C1475" s="22">
        <v>165.7</v>
      </c>
    </row>
    <row r="1476" spans="2:3" x14ac:dyDescent="0.35">
      <c r="B1476" s="87">
        <v>41626</v>
      </c>
      <c r="C1476" s="22">
        <v>164.3</v>
      </c>
    </row>
    <row r="1477" spans="2:3" x14ac:dyDescent="0.35">
      <c r="B1477" s="87">
        <v>41627</v>
      </c>
      <c r="C1477" s="22">
        <v>167.25</v>
      </c>
    </row>
    <row r="1478" spans="2:3" x14ac:dyDescent="0.35">
      <c r="B1478" s="87">
        <v>41628</v>
      </c>
      <c r="C1478" s="22">
        <v>167</v>
      </c>
    </row>
    <row r="1479" spans="2:3" x14ac:dyDescent="0.35">
      <c r="B1479" s="87">
        <v>41631</v>
      </c>
      <c r="C1479" s="22">
        <v>167.45</v>
      </c>
    </row>
    <row r="1480" spans="2:3" x14ac:dyDescent="0.35">
      <c r="B1480" s="87">
        <v>41632</v>
      </c>
      <c r="C1480" s="22">
        <v>171.4</v>
      </c>
    </row>
    <row r="1481" spans="2:3" x14ac:dyDescent="0.35">
      <c r="B1481" s="87">
        <v>41634</v>
      </c>
      <c r="C1481" s="22">
        <v>172.95</v>
      </c>
    </row>
    <row r="1482" spans="2:3" x14ac:dyDescent="0.35">
      <c r="B1482" s="87">
        <v>41635</v>
      </c>
      <c r="C1482" s="22">
        <v>172.4</v>
      </c>
    </row>
    <row r="1483" spans="2:3" x14ac:dyDescent="0.35">
      <c r="B1483" s="87">
        <v>41638</v>
      </c>
      <c r="C1483" s="22">
        <v>171.15</v>
      </c>
    </row>
    <row r="1484" spans="2:3" x14ac:dyDescent="0.35">
      <c r="B1484" s="87">
        <v>41639</v>
      </c>
      <c r="C1484" s="22">
        <v>170.35</v>
      </c>
    </row>
    <row r="1485" spans="2:3" x14ac:dyDescent="0.35">
      <c r="B1485" s="87">
        <v>41640</v>
      </c>
      <c r="C1485" s="22">
        <v>172</v>
      </c>
    </row>
    <row r="1486" spans="2:3" x14ac:dyDescent="0.35">
      <c r="B1486" s="87">
        <v>41641</v>
      </c>
      <c r="C1486" s="22">
        <v>166.9</v>
      </c>
    </row>
    <row r="1487" spans="2:3" x14ac:dyDescent="0.35">
      <c r="B1487" s="87">
        <v>41642</v>
      </c>
      <c r="C1487" s="22">
        <v>167.05</v>
      </c>
    </row>
    <row r="1488" spans="2:3" x14ac:dyDescent="0.35">
      <c r="B1488" s="87">
        <v>41645</v>
      </c>
      <c r="C1488" s="22">
        <v>169.7</v>
      </c>
    </row>
    <row r="1489" spans="2:3" x14ac:dyDescent="0.35">
      <c r="B1489" s="87">
        <v>41646</v>
      </c>
      <c r="C1489" s="22">
        <v>172.6</v>
      </c>
    </row>
    <row r="1490" spans="2:3" x14ac:dyDescent="0.35">
      <c r="B1490" s="87">
        <v>41647</v>
      </c>
      <c r="C1490" s="22">
        <v>174</v>
      </c>
    </row>
    <row r="1491" spans="2:3" x14ac:dyDescent="0.35">
      <c r="B1491" s="87">
        <v>41648</v>
      </c>
      <c r="C1491" s="22">
        <v>173.05</v>
      </c>
    </row>
    <row r="1492" spans="2:3" x14ac:dyDescent="0.35">
      <c r="B1492" s="87">
        <v>41649</v>
      </c>
      <c r="C1492" s="22">
        <v>173.95</v>
      </c>
    </row>
    <row r="1493" spans="2:3" x14ac:dyDescent="0.35">
      <c r="B1493" s="87">
        <v>41652</v>
      </c>
      <c r="C1493" s="22">
        <v>169.95</v>
      </c>
    </row>
    <row r="1494" spans="2:3" x14ac:dyDescent="0.35">
      <c r="B1494" s="87">
        <v>41653</v>
      </c>
      <c r="C1494" s="22">
        <v>171.8</v>
      </c>
    </row>
    <row r="1495" spans="2:3" x14ac:dyDescent="0.35">
      <c r="B1495" s="87">
        <v>41654</v>
      </c>
      <c r="C1495" s="22">
        <v>170.6</v>
      </c>
    </row>
    <row r="1496" spans="2:3" x14ac:dyDescent="0.35">
      <c r="B1496" s="87">
        <v>41655</v>
      </c>
      <c r="C1496" s="22">
        <v>168</v>
      </c>
    </row>
    <row r="1497" spans="2:3" x14ac:dyDescent="0.35">
      <c r="B1497" s="87">
        <v>41656</v>
      </c>
      <c r="C1497" s="22">
        <v>167.2</v>
      </c>
    </row>
    <row r="1498" spans="2:3" x14ac:dyDescent="0.35">
      <c r="B1498" s="87">
        <v>41659</v>
      </c>
      <c r="C1498" s="22">
        <v>169.75</v>
      </c>
    </row>
    <row r="1499" spans="2:3" x14ac:dyDescent="0.35">
      <c r="B1499" s="87">
        <v>41660</v>
      </c>
      <c r="C1499" s="22">
        <v>167.7</v>
      </c>
    </row>
    <row r="1500" spans="2:3" x14ac:dyDescent="0.35">
      <c r="B1500" s="87">
        <v>41661</v>
      </c>
      <c r="C1500" s="22">
        <v>160.80000000000001</v>
      </c>
    </row>
    <row r="1501" spans="2:3" x14ac:dyDescent="0.35">
      <c r="B1501" s="87">
        <v>41662</v>
      </c>
      <c r="C1501" s="22">
        <v>161.75</v>
      </c>
    </row>
    <row r="1502" spans="2:3" x14ac:dyDescent="0.35">
      <c r="B1502" s="87">
        <v>41663</v>
      </c>
      <c r="C1502" s="22">
        <v>163.95</v>
      </c>
    </row>
    <row r="1503" spans="2:3" x14ac:dyDescent="0.35">
      <c r="B1503" s="87">
        <v>41666</v>
      </c>
      <c r="C1503" s="22">
        <v>163</v>
      </c>
    </row>
    <row r="1504" spans="2:3" x14ac:dyDescent="0.35">
      <c r="B1504" s="87">
        <v>41667</v>
      </c>
      <c r="C1504" s="22">
        <v>168.3</v>
      </c>
    </row>
    <row r="1505" spans="2:3" x14ac:dyDescent="0.35">
      <c r="B1505" s="87">
        <v>41668</v>
      </c>
      <c r="C1505" s="22">
        <v>171</v>
      </c>
    </row>
    <row r="1506" spans="2:3" x14ac:dyDescent="0.35">
      <c r="B1506" s="87">
        <v>41669</v>
      </c>
      <c r="C1506" s="22">
        <v>170</v>
      </c>
    </row>
    <row r="1507" spans="2:3" x14ac:dyDescent="0.35">
      <c r="B1507" s="87">
        <v>41670</v>
      </c>
      <c r="C1507" s="22">
        <v>172</v>
      </c>
    </row>
    <row r="1508" spans="2:3" x14ac:dyDescent="0.35">
      <c r="B1508" s="87">
        <v>41673</v>
      </c>
      <c r="C1508" s="22">
        <v>168.4</v>
      </c>
    </row>
    <row r="1509" spans="2:3" x14ac:dyDescent="0.35">
      <c r="B1509" s="87">
        <v>41674</v>
      </c>
      <c r="C1509" s="22">
        <v>170.05</v>
      </c>
    </row>
    <row r="1510" spans="2:3" x14ac:dyDescent="0.35">
      <c r="B1510" s="87">
        <v>41675</v>
      </c>
      <c r="C1510" s="22">
        <v>173.1</v>
      </c>
    </row>
    <row r="1511" spans="2:3" x14ac:dyDescent="0.35">
      <c r="B1511" s="87">
        <v>41676</v>
      </c>
      <c r="C1511" s="22">
        <v>173.25</v>
      </c>
    </row>
    <row r="1512" spans="2:3" x14ac:dyDescent="0.35">
      <c r="B1512" s="87">
        <v>41677</v>
      </c>
      <c r="C1512" s="22">
        <v>174.8</v>
      </c>
    </row>
    <row r="1513" spans="2:3" x14ac:dyDescent="0.35">
      <c r="B1513" s="87">
        <v>41680</v>
      </c>
      <c r="C1513" s="22">
        <v>174.65</v>
      </c>
    </row>
    <row r="1514" spans="2:3" x14ac:dyDescent="0.35">
      <c r="B1514" s="87">
        <v>41681</v>
      </c>
      <c r="C1514" s="22">
        <v>176.3</v>
      </c>
    </row>
    <row r="1515" spans="2:3" x14ac:dyDescent="0.35">
      <c r="B1515" s="87">
        <v>41682</v>
      </c>
      <c r="C1515" s="22">
        <v>177.75</v>
      </c>
    </row>
    <row r="1516" spans="2:3" x14ac:dyDescent="0.35">
      <c r="B1516" s="87">
        <v>41683</v>
      </c>
      <c r="C1516" s="22">
        <v>172</v>
      </c>
    </row>
    <row r="1517" spans="2:3" x14ac:dyDescent="0.35">
      <c r="B1517" s="87">
        <v>41684</v>
      </c>
      <c r="C1517" s="22">
        <v>173.65</v>
      </c>
    </row>
    <row r="1518" spans="2:3" x14ac:dyDescent="0.35">
      <c r="B1518" s="87">
        <v>41687</v>
      </c>
      <c r="C1518" s="22">
        <v>172.65</v>
      </c>
    </row>
    <row r="1519" spans="2:3" x14ac:dyDescent="0.35">
      <c r="B1519" s="87">
        <v>41688</v>
      </c>
      <c r="C1519" s="22">
        <v>170.8</v>
      </c>
    </row>
    <row r="1520" spans="2:3" x14ac:dyDescent="0.35">
      <c r="B1520" s="87">
        <v>41689</v>
      </c>
      <c r="C1520" s="22">
        <v>170.55</v>
      </c>
    </row>
    <row r="1521" spans="2:3" x14ac:dyDescent="0.35">
      <c r="B1521" s="87">
        <v>41690</v>
      </c>
      <c r="C1521" s="22">
        <v>170.15</v>
      </c>
    </row>
    <row r="1522" spans="2:3" x14ac:dyDescent="0.35">
      <c r="B1522" s="87">
        <v>41691</v>
      </c>
      <c r="C1522" s="22">
        <v>173.2</v>
      </c>
    </row>
    <row r="1523" spans="2:3" x14ac:dyDescent="0.35">
      <c r="B1523" s="87">
        <v>41694</v>
      </c>
      <c r="C1523" s="22">
        <v>172.65</v>
      </c>
    </row>
    <row r="1524" spans="2:3" x14ac:dyDescent="0.35">
      <c r="B1524" s="87">
        <v>41695</v>
      </c>
      <c r="C1524" s="22">
        <v>172.05</v>
      </c>
    </row>
    <row r="1525" spans="2:3" x14ac:dyDescent="0.35">
      <c r="B1525" s="87">
        <v>41696</v>
      </c>
      <c r="C1525" s="22">
        <v>172.1</v>
      </c>
    </row>
    <row r="1526" spans="2:3" x14ac:dyDescent="0.35">
      <c r="B1526" s="87">
        <v>41698</v>
      </c>
      <c r="C1526" s="22">
        <v>173.45</v>
      </c>
    </row>
    <row r="1527" spans="2:3" x14ac:dyDescent="0.35">
      <c r="B1527" s="87">
        <v>41701</v>
      </c>
      <c r="C1527" s="22">
        <v>172.3</v>
      </c>
    </row>
    <row r="1528" spans="2:3" x14ac:dyDescent="0.35">
      <c r="B1528" s="87">
        <v>41702</v>
      </c>
      <c r="C1528" s="22">
        <v>174.05</v>
      </c>
    </row>
    <row r="1529" spans="2:3" x14ac:dyDescent="0.35">
      <c r="B1529" s="87">
        <v>41703</v>
      </c>
      <c r="C1529" s="22">
        <v>171.7</v>
      </c>
    </row>
    <row r="1530" spans="2:3" x14ac:dyDescent="0.35">
      <c r="B1530" s="87">
        <v>41704</v>
      </c>
      <c r="C1530" s="22">
        <v>172.85</v>
      </c>
    </row>
    <row r="1531" spans="2:3" x14ac:dyDescent="0.35">
      <c r="B1531" s="87">
        <v>41705</v>
      </c>
      <c r="C1531" s="22">
        <v>171.55</v>
      </c>
    </row>
    <row r="1532" spans="2:3" x14ac:dyDescent="0.35">
      <c r="B1532" s="87">
        <v>41708</v>
      </c>
      <c r="C1532" s="22">
        <v>172.9</v>
      </c>
    </row>
    <row r="1533" spans="2:3" x14ac:dyDescent="0.35">
      <c r="B1533" s="87">
        <v>41709</v>
      </c>
      <c r="C1533" s="22">
        <v>174.7</v>
      </c>
    </row>
    <row r="1534" spans="2:3" x14ac:dyDescent="0.35">
      <c r="B1534" s="87">
        <v>41710</v>
      </c>
      <c r="C1534" s="22">
        <v>173.2</v>
      </c>
    </row>
    <row r="1535" spans="2:3" x14ac:dyDescent="0.35">
      <c r="B1535" s="87">
        <v>41711</v>
      </c>
      <c r="C1535" s="22">
        <v>171.8</v>
      </c>
    </row>
    <row r="1536" spans="2:3" x14ac:dyDescent="0.35">
      <c r="B1536" s="87">
        <v>41712</v>
      </c>
      <c r="C1536" s="22">
        <v>173.95</v>
      </c>
    </row>
    <row r="1537" spans="2:3" x14ac:dyDescent="0.35">
      <c r="B1537" s="87">
        <v>41716</v>
      </c>
      <c r="C1537" s="22">
        <v>177.05</v>
      </c>
    </row>
    <row r="1538" spans="2:3" x14ac:dyDescent="0.35">
      <c r="B1538" s="87">
        <v>41717</v>
      </c>
      <c r="C1538" s="22">
        <v>177.9</v>
      </c>
    </row>
    <row r="1539" spans="2:3" x14ac:dyDescent="0.35">
      <c r="B1539" s="87">
        <v>41718</v>
      </c>
      <c r="C1539" s="22">
        <v>179.05</v>
      </c>
    </row>
    <row r="1540" spans="2:3" x14ac:dyDescent="0.35">
      <c r="B1540" s="87">
        <v>41719</v>
      </c>
      <c r="C1540" s="22">
        <v>179.95</v>
      </c>
    </row>
    <row r="1541" spans="2:3" x14ac:dyDescent="0.35">
      <c r="B1541" s="87">
        <v>41720</v>
      </c>
      <c r="C1541" s="22">
        <v>179.7</v>
      </c>
    </row>
    <row r="1542" spans="2:3" x14ac:dyDescent="0.35">
      <c r="B1542" s="87">
        <v>41722</v>
      </c>
      <c r="C1542" s="22">
        <v>179.45</v>
      </c>
    </row>
    <row r="1543" spans="2:3" x14ac:dyDescent="0.35">
      <c r="B1543" s="87">
        <v>41723</v>
      </c>
      <c r="C1543" s="22">
        <v>176</v>
      </c>
    </row>
    <row r="1544" spans="2:3" x14ac:dyDescent="0.35">
      <c r="B1544" s="87">
        <v>41724</v>
      </c>
      <c r="C1544" s="22">
        <v>177.15</v>
      </c>
    </row>
    <row r="1545" spans="2:3" x14ac:dyDescent="0.35">
      <c r="B1545" s="87">
        <v>41725</v>
      </c>
      <c r="C1545" s="22">
        <v>177.9</v>
      </c>
    </row>
    <row r="1546" spans="2:3" x14ac:dyDescent="0.35">
      <c r="B1546" s="87">
        <v>41726</v>
      </c>
      <c r="C1546" s="22">
        <v>179.1</v>
      </c>
    </row>
    <row r="1547" spans="2:3" x14ac:dyDescent="0.35">
      <c r="B1547" s="87">
        <v>41729</v>
      </c>
      <c r="C1547" s="22">
        <v>179.65</v>
      </c>
    </row>
    <row r="1548" spans="2:3" x14ac:dyDescent="0.35">
      <c r="B1548" s="87">
        <v>41730</v>
      </c>
      <c r="C1548" s="22">
        <v>188.35</v>
      </c>
    </row>
    <row r="1549" spans="2:3" x14ac:dyDescent="0.35">
      <c r="B1549" s="87">
        <v>41731</v>
      </c>
      <c r="C1549" s="22">
        <v>182.35</v>
      </c>
    </row>
    <row r="1550" spans="2:3" x14ac:dyDescent="0.35">
      <c r="B1550" s="87">
        <v>41732</v>
      </c>
      <c r="C1550" s="22">
        <v>184</v>
      </c>
    </row>
    <row r="1551" spans="2:3" x14ac:dyDescent="0.35">
      <c r="B1551" s="87">
        <v>41733</v>
      </c>
      <c r="C1551" s="22">
        <v>179.95</v>
      </c>
    </row>
    <row r="1552" spans="2:3" x14ac:dyDescent="0.35">
      <c r="B1552" s="87">
        <v>41736</v>
      </c>
      <c r="C1552" s="22">
        <v>183.5</v>
      </c>
    </row>
    <row r="1553" spans="2:3" x14ac:dyDescent="0.35">
      <c r="B1553" s="87">
        <v>41738</v>
      </c>
      <c r="C1553" s="22">
        <v>182.75</v>
      </c>
    </row>
    <row r="1554" spans="2:3" x14ac:dyDescent="0.35">
      <c r="B1554" s="87">
        <v>41739</v>
      </c>
      <c r="C1554" s="22">
        <v>181.15</v>
      </c>
    </row>
    <row r="1555" spans="2:3" x14ac:dyDescent="0.35">
      <c r="B1555" s="87">
        <v>41740</v>
      </c>
      <c r="C1555" s="22">
        <v>179.15</v>
      </c>
    </row>
    <row r="1556" spans="2:3" x14ac:dyDescent="0.35">
      <c r="B1556" s="87">
        <v>41744</v>
      </c>
      <c r="C1556" s="22">
        <v>178.8</v>
      </c>
    </row>
    <row r="1557" spans="2:3" x14ac:dyDescent="0.35">
      <c r="B1557" s="87">
        <v>41745</v>
      </c>
      <c r="C1557" s="22">
        <v>178.9</v>
      </c>
    </row>
    <row r="1558" spans="2:3" x14ac:dyDescent="0.35">
      <c r="B1558" s="87">
        <v>41746</v>
      </c>
      <c r="C1558" s="22">
        <v>179.05</v>
      </c>
    </row>
    <row r="1559" spans="2:3" x14ac:dyDescent="0.35">
      <c r="B1559" s="87">
        <v>41750</v>
      </c>
      <c r="C1559" s="22">
        <v>178.15</v>
      </c>
    </row>
    <row r="1560" spans="2:3" x14ac:dyDescent="0.35">
      <c r="B1560" s="87">
        <v>41751</v>
      </c>
      <c r="C1560" s="22">
        <v>179.8</v>
      </c>
    </row>
    <row r="1561" spans="2:3" x14ac:dyDescent="0.35">
      <c r="B1561" s="87">
        <v>41752</v>
      </c>
      <c r="C1561" s="22">
        <v>178.35</v>
      </c>
    </row>
    <row r="1562" spans="2:3" x14ac:dyDescent="0.35">
      <c r="B1562" s="87">
        <v>41754</v>
      </c>
      <c r="C1562" s="22">
        <v>178.8</v>
      </c>
    </row>
    <row r="1563" spans="2:3" x14ac:dyDescent="0.35">
      <c r="B1563" s="87">
        <v>41757</v>
      </c>
      <c r="C1563" s="22">
        <v>180.1</v>
      </c>
    </row>
    <row r="1564" spans="2:3" x14ac:dyDescent="0.35">
      <c r="B1564" s="87">
        <v>41758</v>
      </c>
      <c r="C1564" s="22">
        <v>177.8</v>
      </c>
    </row>
    <row r="1565" spans="2:3" x14ac:dyDescent="0.35">
      <c r="B1565" s="87">
        <v>41759</v>
      </c>
      <c r="C1565" s="22">
        <v>179.25</v>
      </c>
    </row>
    <row r="1566" spans="2:3" x14ac:dyDescent="0.35">
      <c r="B1566" s="87">
        <v>41761</v>
      </c>
      <c r="C1566" s="22">
        <v>180.25</v>
      </c>
    </row>
    <row r="1567" spans="2:3" x14ac:dyDescent="0.35">
      <c r="B1567" s="87">
        <v>41764</v>
      </c>
      <c r="C1567" s="22">
        <v>179.5</v>
      </c>
    </row>
    <row r="1568" spans="2:3" x14ac:dyDescent="0.35">
      <c r="B1568" s="87">
        <v>41765</v>
      </c>
      <c r="C1568" s="22">
        <v>179.2</v>
      </c>
    </row>
    <row r="1569" spans="2:3" x14ac:dyDescent="0.35">
      <c r="B1569" s="87">
        <v>41766</v>
      </c>
      <c r="C1569" s="22">
        <v>178</v>
      </c>
    </row>
    <row r="1570" spans="2:3" x14ac:dyDescent="0.35">
      <c r="B1570" s="87">
        <v>41767</v>
      </c>
      <c r="C1570" s="22">
        <v>179.7</v>
      </c>
    </row>
    <row r="1571" spans="2:3" x14ac:dyDescent="0.35">
      <c r="B1571" s="87">
        <v>41768</v>
      </c>
      <c r="C1571" s="22">
        <v>179.85</v>
      </c>
    </row>
    <row r="1572" spans="2:3" x14ac:dyDescent="0.35">
      <c r="B1572" s="87">
        <v>41771</v>
      </c>
      <c r="C1572" s="22">
        <v>182.1</v>
      </c>
    </row>
    <row r="1573" spans="2:3" x14ac:dyDescent="0.35">
      <c r="B1573" s="87">
        <v>41772</v>
      </c>
      <c r="C1573" s="22">
        <v>188.85</v>
      </c>
    </row>
    <row r="1574" spans="2:3" x14ac:dyDescent="0.35">
      <c r="B1574" s="87">
        <v>41773</v>
      </c>
      <c r="C1574" s="22">
        <v>189.7</v>
      </c>
    </row>
    <row r="1575" spans="2:3" x14ac:dyDescent="0.35">
      <c r="B1575" s="87">
        <v>41774</v>
      </c>
      <c r="C1575" s="22">
        <v>187.85</v>
      </c>
    </row>
    <row r="1576" spans="2:3" x14ac:dyDescent="0.35">
      <c r="B1576" s="87">
        <v>41775</v>
      </c>
      <c r="C1576" s="22">
        <v>181.5</v>
      </c>
    </row>
    <row r="1577" spans="2:3" x14ac:dyDescent="0.35">
      <c r="B1577" s="87">
        <v>41778</v>
      </c>
      <c r="C1577" s="22">
        <v>180</v>
      </c>
    </row>
    <row r="1578" spans="2:3" x14ac:dyDescent="0.35">
      <c r="B1578" s="87">
        <v>41779</v>
      </c>
      <c r="C1578" s="22">
        <v>182.95</v>
      </c>
    </row>
    <row r="1579" spans="2:3" x14ac:dyDescent="0.35">
      <c r="B1579" s="87">
        <v>41780</v>
      </c>
      <c r="C1579" s="22">
        <v>184.05</v>
      </c>
    </row>
    <row r="1580" spans="2:3" x14ac:dyDescent="0.35">
      <c r="B1580" s="87">
        <v>41781</v>
      </c>
      <c r="C1580" s="22">
        <v>185.05</v>
      </c>
    </row>
    <row r="1581" spans="2:3" x14ac:dyDescent="0.35">
      <c r="B1581" s="87">
        <v>41782</v>
      </c>
      <c r="C1581" s="22">
        <v>183.15</v>
      </c>
    </row>
    <row r="1582" spans="2:3" x14ac:dyDescent="0.35">
      <c r="B1582" s="87">
        <v>41785</v>
      </c>
      <c r="C1582" s="22">
        <v>178.8</v>
      </c>
    </row>
    <row r="1583" spans="2:3" x14ac:dyDescent="0.35">
      <c r="B1583" s="87">
        <v>41786</v>
      </c>
      <c r="C1583" s="22">
        <v>179.55</v>
      </c>
    </row>
    <row r="1584" spans="2:3" x14ac:dyDescent="0.35">
      <c r="B1584" s="87">
        <v>41787</v>
      </c>
      <c r="C1584" s="22">
        <v>180.85</v>
      </c>
    </row>
    <row r="1585" spans="2:3" x14ac:dyDescent="0.35">
      <c r="B1585" s="87">
        <v>41788</v>
      </c>
      <c r="C1585" s="22">
        <v>178.6</v>
      </c>
    </row>
    <row r="1586" spans="2:3" x14ac:dyDescent="0.35">
      <c r="B1586" s="87">
        <v>41789</v>
      </c>
      <c r="C1586" s="22">
        <v>188.45</v>
      </c>
    </row>
    <row r="1587" spans="2:3" x14ac:dyDescent="0.35">
      <c r="B1587" s="87">
        <v>41792</v>
      </c>
      <c r="C1587" s="22">
        <v>184.25</v>
      </c>
    </row>
    <row r="1588" spans="2:3" x14ac:dyDescent="0.35">
      <c r="B1588" s="87">
        <v>41793</v>
      </c>
      <c r="C1588" s="22">
        <v>185.3</v>
      </c>
    </row>
    <row r="1589" spans="2:3" x14ac:dyDescent="0.35">
      <c r="B1589" s="87">
        <v>41794</v>
      </c>
      <c r="C1589" s="22">
        <v>184.4</v>
      </c>
    </row>
    <row r="1590" spans="2:3" x14ac:dyDescent="0.35">
      <c r="B1590" s="87">
        <v>41795</v>
      </c>
      <c r="C1590" s="22">
        <v>188.85</v>
      </c>
    </row>
    <row r="1591" spans="2:3" x14ac:dyDescent="0.35">
      <c r="B1591" s="87">
        <v>41796</v>
      </c>
      <c r="C1591" s="22">
        <v>190.85</v>
      </c>
    </row>
    <row r="1592" spans="2:3" x14ac:dyDescent="0.35">
      <c r="B1592" s="87">
        <v>41799</v>
      </c>
      <c r="C1592" s="22">
        <v>189.45</v>
      </c>
    </row>
    <row r="1593" spans="2:3" x14ac:dyDescent="0.35">
      <c r="B1593" s="87">
        <v>41800</v>
      </c>
      <c r="C1593" s="22">
        <v>191.9</v>
      </c>
    </row>
    <row r="1594" spans="2:3" x14ac:dyDescent="0.35">
      <c r="B1594" s="87">
        <v>41801</v>
      </c>
      <c r="C1594" s="22">
        <v>189.55</v>
      </c>
    </row>
    <row r="1595" spans="2:3" x14ac:dyDescent="0.35">
      <c r="B1595" s="87">
        <v>41802</v>
      </c>
      <c r="C1595" s="22">
        <v>192.5</v>
      </c>
    </row>
    <row r="1596" spans="2:3" x14ac:dyDescent="0.35">
      <c r="B1596" s="87">
        <v>41803</v>
      </c>
      <c r="C1596" s="22">
        <v>189.05</v>
      </c>
    </row>
    <row r="1597" spans="2:3" x14ac:dyDescent="0.35">
      <c r="B1597" s="87">
        <v>41806</v>
      </c>
      <c r="C1597" s="22">
        <v>187.2</v>
      </c>
    </row>
    <row r="1598" spans="2:3" x14ac:dyDescent="0.35">
      <c r="B1598" s="87">
        <v>41807</v>
      </c>
      <c r="C1598" s="22">
        <v>188.45</v>
      </c>
    </row>
    <row r="1599" spans="2:3" x14ac:dyDescent="0.35">
      <c r="B1599" s="87">
        <v>41808</v>
      </c>
      <c r="C1599" s="22">
        <v>189</v>
      </c>
    </row>
    <row r="1600" spans="2:3" x14ac:dyDescent="0.35">
      <c r="B1600" s="87">
        <v>41809</v>
      </c>
      <c r="C1600" s="22">
        <v>190.6</v>
      </c>
    </row>
    <row r="1601" spans="2:3" x14ac:dyDescent="0.35">
      <c r="B1601" s="87">
        <v>41810</v>
      </c>
      <c r="C1601" s="22">
        <v>188.85</v>
      </c>
    </row>
    <row r="1602" spans="2:3" x14ac:dyDescent="0.35">
      <c r="B1602" s="87">
        <v>41813</v>
      </c>
      <c r="C1602" s="22">
        <v>187.75</v>
      </c>
    </row>
    <row r="1603" spans="2:3" x14ac:dyDescent="0.35">
      <c r="B1603" s="87">
        <v>41814</v>
      </c>
      <c r="C1603" s="22">
        <v>185.8</v>
      </c>
    </row>
    <row r="1604" spans="2:3" x14ac:dyDescent="0.35">
      <c r="B1604" s="87">
        <v>41815</v>
      </c>
      <c r="C1604" s="22">
        <v>185.9</v>
      </c>
    </row>
    <row r="1605" spans="2:3" x14ac:dyDescent="0.35">
      <c r="B1605" s="87">
        <v>41816</v>
      </c>
      <c r="C1605" s="22">
        <v>184.75</v>
      </c>
    </row>
    <row r="1606" spans="2:3" x14ac:dyDescent="0.35">
      <c r="B1606" s="87">
        <v>41817</v>
      </c>
      <c r="C1606" s="22">
        <v>186.05</v>
      </c>
    </row>
    <row r="1607" spans="2:3" x14ac:dyDescent="0.35">
      <c r="B1607" s="87">
        <v>41820</v>
      </c>
      <c r="C1607" s="22">
        <v>187.5</v>
      </c>
    </row>
    <row r="1608" spans="2:3" x14ac:dyDescent="0.35">
      <c r="B1608" s="87">
        <v>41821</v>
      </c>
      <c r="C1608" s="22">
        <v>187</v>
      </c>
    </row>
    <row r="1609" spans="2:3" x14ac:dyDescent="0.35">
      <c r="B1609" s="87">
        <v>41822</v>
      </c>
      <c r="C1609" s="22">
        <v>186.45</v>
      </c>
    </row>
    <row r="1610" spans="2:3" x14ac:dyDescent="0.35">
      <c r="B1610" s="87">
        <v>41823</v>
      </c>
      <c r="C1610" s="22">
        <v>192</v>
      </c>
    </row>
    <row r="1611" spans="2:3" x14ac:dyDescent="0.35">
      <c r="B1611" s="87">
        <v>41824</v>
      </c>
      <c r="C1611" s="22">
        <v>191.4</v>
      </c>
    </row>
    <row r="1612" spans="2:3" x14ac:dyDescent="0.35">
      <c r="B1612" s="87">
        <v>41827</v>
      </c>
      <c r="C1612" s="22">
        <v>193.3</v>
      </c>
    </row>
    <row r="1613" spans="2:3" x14ac:dyDescent="0.35">
      <c r="B1613" s="87">
        <v>41828</v>
      </c>
      <c r="C1613" s="22">
        <v>192.5</v>
      </c>
    </row>
    <row r="1614" spans="2:3" x14ac:dyDescent="0.35">
      <c r="B1614" s="87">
        <v>41829</v>
      </c>
      <c r="C1614" s="22">
        <v>194.8</v>
      </c>
    </row>
    <row r="1615" spans="2:3" x14ac:dyDescent="0.35">
      <c r="B1615" s="87">
        <v>41830</v>
      </c>
      <c r="C1615" s="22">
        <v>194</v>
      </c>
    </row>
    <row r="1616" spans="2:3" x14ac:dyDescent="0.35">
      <c r="B1616" s="87">
        <v>41831</v>
      </c>
      <c r="C1616" s="22">
        <v>194</v>
      </c>
    </row>
    <row r="1617" spans="2:3" x14ac:dyDescent="0.35">
      <c r="B1617" s="87">
        <v>41834</v>
      </c>
      <c r="C1617" s="22">
        <v>190.25</v>
      </c>
    </row>
    <row r="1618" spans="2:3" x14ac:dyDescent="0.35">
      <c r="B1618" s="87">
        <v>41835</v>
      </c>
      <c r="C1618" s="22">
        <v>194.6</v>
      </c>
    </row>
    <row r="1619" spans="2:3" x14ac:dyDescent="0.35">
      <c r="B1619" s="87">
        <v>41836</v>
      </c>
      <c r="C1619" s="22">
        <v>194.45</v>
      </c>
    </row>
    <row r="1620" spans="2:3" x14ac:dyDescent="0.35">
      <c r="B1620" s="87">
        <v>41837</v>
      </c>
      <c r="C1620" s="22">
        <v>194.05</v>
      </c>
    </row>
    <row r="1621" spans="2:3" x14ac:dyDescent="0.35">
      <c r="B1621" s="87">
        <v>41838</v>
      </c>
      <c r="C1621" s="22">
        <v>194.05</v>
      </c>
    </row>
    <row r="1622" spans="2:3" x14ac:dyDescent="0.35">
      <c r="B1622" s="87">
        <v>41841</v>
      </c>
      <c r="C1622" s="22">
        <v>194</v>
      </c>
    </row>
    <row r="1623" spans="2:3" x14ac:dyDescent="0.35">
      <c r="B1623" s="87">
        <v>41842</v>
      </c>
      <c r="C1623" s="22">
        <v>192.95</v>
      </c>
    </row>
    <row r="1624" spans="2:3" x14ac:dyDescent="0.35">
      <c r="B1624" s="87">
        <v>41843</v>
      </c>
      <c r="C1624" s="22">
        <v>194.1</v>
      </c>
    </row>
    <row r="1625" spans="2:3" x14ac:dyDescent="0.35">
      <c r="B1625" s="87">
        <v>41844</v>
      </c>
      <c r="C1625" s="22">
        <v>194.95</v>
      </c>
    </row>
    <row r="1626" spans="2:3" x14ac:dyDescent="0.35">
      <c r="B1626" s="87">
        <v>41845</v>
      </c>
      <c r="C1626" s="22">
        <v>199.6</v>
      </c>
    </row>
    <row r="1627" spans="2:3" x14ac:dyDescent="0.35">
      <c r="B1627" s="87">
        <v>41848</v>
      </c>
      <c r="C1627" s="22">
        <v>197.95</v>
      </c>
    </row>
    <row r="1628" spans="2:3" x14ac:dyDescent="0.35">
      <c r="B1628" s="87">
        <v>41850</v>
      </c>
      <c r="C1628" s="22">
        <v>200.15</v>
      </c>
    </row>
    <row r="1629" spans="2:3" x14ac:dyDescent="0.35">
      <c r="B1629" s="87">
        <v>41851</v>
      </c>
      <c r="C1629" s="22">
        <v>207.25</v>
      </c>
    </row>
    <row r="1630" spans="2:3" x14ac:dyDescent="0.35">
      <c r="B1630" s="87">
        <v>41852</v>
      </c>
      <c r="C1630" s="22">
        <v>202.35</v>
      </c>
    </row>
    <row r="1631" spans="2:3" x14ac:dyDescent="0.35">
      <c r="B1631" s="87">
        <v>41855</v>
      </c>
      <c r="C1631" s="22">
        <v>204.2</v>
      </c>
    </row>
    <row r="1632" spans="2:3" x14ac:dyDescent="0.35">
      <c r="B1632" s="87">
        <v>41856</v>
      </c>
      <c r="C1632" s="22">
        <v>202.85</v>
      </c>
    </row>
    <row r="1633" spans="2:3" x14ac:dyDescent="0.35">
      <c r="B1633" s="87">
        <v>41857</v>
      </c>
      <c r="C1633" s="22">
        <v>205.3</v>
      </c>
    </row>
    <row r="1634" spans="2:3" x14ac:dyDescent="0.35">
      <c r="B1634" s="87">
        <v>41858</v>
      </c>
      <c r="C1634" s="22">
        <v>202.75</v>
      </c>
    </row>
    <row r="1635" spans="2:3" x14ac:dyDescent="0.35">
      <c r="B1635" s="87">
        <v>41859</v>
      </c>
      <c r="C1635" s="22">
        <v>205.6</v>
      </c>
    </row>
    <row r="1636" spans="2:3" x14ac:dyDescent="0.35">
      <c r="B1636" s="87">
        <v>41862</v>
      </c>
      <c r="C1636" s="22">
        <v>202.75</v>
      </c>
    </row>
    <row r="1637" spans="2:3" x14ac:dyDescent="0.35">
      <c r="B1637" s="87">
        <v>41863</v>
      </c>
      <c r="C1637" s="22">
        <v>206.1</v>
      </c>
    </row>
    <row r="1638" spans="2:3" x14ac:dyDescent="0.35">
      <c r="B1638" s="87">
        <v>41864</v>
      </c>
      <c r="C1638" s="22">
        <v>211.15</v>
      </c>
    </row>
    <row r="1639" spans="2:3" x14ac:dyDescent="0.35">
      <c r="B1639" s="87">
        <v>41865</v>
      </c>
      <c r="C1639" s="22">
        <v>217.9</v>
      </c>
    </row>
    <row r="1640" spans="2:3" x14ac:dyDescent="0.35">
      <c r="B1640" s="87">
        <v>41869</v>
      </c>
      <c r="C1640" s="22">
        <v>223.5</v>
      </c>
    </row>
    <row r="1641" spans="2:3" x14ac:dyDescent="0.35">
      <c r="B1641" s="87">
        <v>41870</v>
      </c>
      <c r="C1641" s="22">
        <v>225.75</v>
      </c>
    </row>
    <row r="1642" spans="2:3" x14ac:dyDescent="0.35">
      <c r="B1642" s="87">
        <v>41871</v>
      </c>
      <c r="C1642" s="22">
        <v>219.9</v>
      </c>
    </row>
    <row r="1643" spans="2:3" x14ac:dyDescent="0.35">
      <c r="B1643" s="87">
        <v>41872</v>
      </c>
      <c r="C1643" s="22">
        <v>224.55</v>
      </c>
    </row>
    <row r="1644" spans="2:3" x14ac:dyDescent="0.35">
      <c r="B1644" s="87">
        <v>41873</v>
      </c>
      <c r="C1644" s="22">
        <v>222.35</v>
      </c>
    </row>
    <row r="1645" spans="2:3" x14ac:dyDescent="0.35">
      <c r="B1645" s="87">
        <v>41876</v>
      </c>
      <c r="C1645" s="22">
        <v>223.15</v>
      </c>
    </row>
    <row r="1646" spans="2:3" x14ac:dyDescent="0.35">
      <c r="B1646" s="87">
        <v>41877</v>
      </c>
      <c r="C1646" s="22">
        <v>227.15</v>
      </c>
    </row>
    <row r="1647" spans="2:3" x14ac:dyDescent="0.35">
      <c r="B1647" s="87">
        <v>41878</v>
      </c>
      <c r="C1647" s="22">
        <v>232.25</v>
      </c>
    </row>
    <row r="1648" spans="2:3" x14ac:dyDescent="0.35">
      <c r="B1648" s="87">
        <v>41879</v>
      </c>
      <c r="C1648" s="22">
        <v>232.6</v>
      </c>
    </row>
    <row r="1649" spans="2:3" x14ac:dyDescent="0.35">
      <c r="B1649" s="87">
        <v>41883</v>
      </c>
      <c r="C1649" s="22">
        <v>227.5</v>
      </c>
    </row>
    <row r="1650" spans="2:3" x14ac:dyDescent="0.35">
      <c r="B1650" s="87">
        <v>41884</v>
      </c>
      <c r="C1650" s="22">
        <v>227</v>
      </c>
    </row>
    <row r="1651" spans="2:3" x14ac:dyDescent="0.35">
      <c r="B1651" s="87">
        <v>41885</v>
      </c>
      <c r="C1651" s="22">
        <v>227.5</v>
      </c>
    </row>
    <row r="1652" spans="2:3" x14ac:dyDescent="0.35">
      <c r="B1652" s="87">
        <v>41886</v>
      </c>
      <c r="C1652" s="22">
        <v>225.75</v>
      </c>
    </row>
    <row r="1653" spans="2:3" x14ac:dyDescent="0.35">
      <c r="B1653" s="87">
        <v>41887</v>
      </c>
      <c r="C1653" s="22">
        <v>226</v>
      </c>
    </row>
    <row r="1654" spans="2:3" x14ac:dyDescent="0.35">
      <c r="B1654" s="87">
        <v>41890</v>
      </c>
      <c r="C1654" s="22">
        <v>226.9</v>
      </c>
    </row>
    <row r="1655" spans="2:3" x14ac:dyDescent="0.35">
      <c r="B1655" s="87">
        <v>41891</v>
      </c>
      <c r="C1655" s="22">
        <v>228.25</v>
      </c>
    </row>
    <row r="1656" spans="2:3" x14ac:dyDescent="0.35">
      <c r="B1656" s="87">
        <v>41892</v>
      </c>
      <c r="C1656" s="22">
        <v>225.85</v>
      </c>
    </row>
    <row r="1657" spans="2:3" x14ac:dyDescent="0.35">
      <c r="B1657" s="87">
        <v>41893</v>
      </c>
      <c r="C1657" s="22">
        <v>225.95</v>
      </c>
    </row>
    <row r="1658" spans="2:3" x14ac:dyDescent="0.35">
      <c r="B1658" s="87">
        <v>41894</v>
      </c>
      <c r="C1658" s="22">
        <v>223.7</v>
      </c>
    </row>
    <row r="1659" spans="2:3" x14ac:dyDescent="0.35">
      <c r="B1659" s="87">
        <v>41897</v>
      </c>
      <c r="C1659" s="22">
        <v>224.8</v>
      </c>
    </row>
    <row r="1660" spans="2:3" x14ac:dyDescent="0.35">
      <c r="B1660" s="87">
        <v>41898</v>
      </c>
      <c r="C1660" s="22">
        <v>221.05</v>
      </c>
    </row>
    <row r="1661" spans="2:3" x14ac:dyDescent="0.35">
      <c r="B1661" s="87">
        <v>41899</v>
      </c>
      <c r="C1661" s="22">
        <v>222</v>
      </c>
    </row>
    <row r="1662" spans="2:3" x14ac:dyDescent="0.35">
      <c r="B1662" s="87">
        <v>41900</v>
      </c>
      <c r="C1662" s="22">
        <v>223</v>
      </c>
    </row>
    <row r="1663" spans="2:3" x14ac:dyDescent="0.35">
      <c r="B1663" s="87">
        <v>41901</v>
      </c>
      <c r="C1663" s="22">
        <v>223.4</v>
      </c>
    </row>
    <row r="1664" spans="2:3" x14ac:dyDescent="0.35">
      <c r="B1664" s="87">
        <v>41904</v>
      </c>
      <c r="C1664" s="22">
        <v>224.25</v>
      </c>
    </row>
    <row r="1665" spans="2:3" x14ac:dyDescent="0.35">
      <c r="B1665" s="87">
        <v>41905</v>
      </c>
      <c r="C1665" s="22">
        <v>220.5</v>
      </c>
    </row>
    <row r="1666" spans="2:3" x14ac:dyDescent="0.35">
      <c r="B1666" s="87">
        <v>41906</v>
      </c>
      <c r="C1666" s="22">
        <v>224.9</v>
      </c>
    </row>
    <row r="1667" spans="2:3" x14ac:dyDescent="0.35">
      <c r="B1667" s="87">
        <v>41907</v>
      </c>
      <c r="C1667" s="22">
        <v>225.6</v>
      </c>
    </row>
    <row r="1668" spans="2:3" x14ac:dyDescent="0.35">
      <c r="B1668" s="87">
        <v>41908</v>
      </c>
      <c r="C1668" s="22">
        <v>223.75</v>
      </c>
    </row>
    <row r="1669" spans="2:3" x14ac:dyDescent="0.35">
      <c r="B1669" s="87">
        <v>41911</v>
      </c>
      <c r="C1669" s="22">
        <v>220.3</v>
      </c>
    </row>
    <row r="1670" spans="2:3" x14ac:dyDescent="0.35">
      <c r="B1670" s="87">
        <v>41912</v>
      </c>
      <c r="C1670" s="22">
        <v>222.15</v>
      </c>
    </row>
    <row r="1671" spans="2:3" x14ac:dyDescent="0.35">
      <c r="B1671" s="87">
        <v>41913</v>
      </c>
      <c r="C1671" s="22">
        <v>221.1</v>
      </c>
    </row>
    <row r="1672" spans="2:3" x14ac:dyDescent="0.35">
      <c r="B1672" s="87">
        <v>41919</v>
      </c>
      <c r="C1672" s="22">
        <v>215.75</v>
      </c>
    </row>
    <row r="1673" spans="2:3" x14ac:dyDescent="0.35">
      <c r="B1673" s="87">
        <v>41920</v>
      </c>
      <c r="C1673" s="22">
        <v>216.75</v>
      </c>
    </row>
    <row r="1674" spans="2:3" x14ac:dyDescent="0.35">
      <c r="B1674" s="87">
        <v>41921</v>
      </c>
      <c r="C1674" s="22">
        <v>216.95</v>
      </c>
    </row>
    <row r="1675" spans="2:3" x14ac:dyDescent="0.35">
      <c r="B1675" s="87">
        <v>41922</v>
      </c>
      <c r="C1675" s="22">
        <v>215.1</v>
      </c>
    </row>
    <row r="1676" spans="2:3" x14ac:dyDescent="0.35">
      <c r="B1676" s="87">
        <v>41925</v>
      </c>
      <c r="C1676" s="22">
        <v>210.9</v>
      </c>
    </row>
    <row r="1677" spans="2:3" x14ac:dyDescent="0.35">
      <c r="B1677" s="87">
        <v>41926</v>
      </c>
      <c r="C1677" s="22">
        <v>210</v>
      </c>
    </row>
    <row r="1678" spans="2:3" x14ac:dyDescent="0.35">
      <c r="B1678" s="87">
        <v>41928</v>
      </c>
      <c r="C1678" s="22">
        <v>207.95</v>
      </c>
    </row>
    <row r="1679" spans="2:3" x14ac:dyDescent="0.35">
      <c r="B1679" s="87">
        <v>41929</v>
      </c>
      <c r="C1679" s="22">
        <v>205.85</v>
      </c>
    </row>
    <row r="1680" spans="2:3" x14ac:dyDescent="0.35">
      <c r="B1680" s="87">
        <v>41932</v>
      </c>
      <c r="C1680" s="22">
        <v>205.95</v>
      </c>
    </row>
    <row r="1681" spans="2:3" x14ac:dyDescent="0.35">
      <c r="B1681" s="87">
        <v>41933</v>
      </c>
      <c r="C1681" s="22">
        <v>209.45</v>
      </c>
    </row>
    <row r="1682" spans="2:3" x14ac:dyDescent="0.35">
      <c r="B1682" s="87">
        <v>41934</v>
      </c>
      <c r="C1682" s="22">
        <v>214.85</v>
      </c>
    </row>
    <row r="1683" spans="2:3" x14ac:dyDescent="0.35">
      <c r="B1683" s="87">
        <v>41935</v>
      </c>
      <c r="C1683" s="22">
        <v>215.85</v>
      </c>
    </row>
    <row r="1684" spans="2:3" x14ac:dyDescent="0.35">
      <c r="B1684" s="87">
        <v>41939</v>
      </c>
      <c r="C1684" s="22">
        <v>209.4</v>
      </c>
    </row>
    <row r="1685" spans="2:3" x14ac:dyDescent="0.35">
      <c r="B1685" s="87">
        <v>41940</v>
      </c>
      <c r="C1685" s="22">
        <v>213.45</v>
      </c>
    </row>
    <row r="1686" spans="2:3" x14ac:dyDescent="0.35">
      <c r="B1686" s="87">
        <v>41941</v>
      </c>
      <c r="C1686" s="22">
        <v>217.95</v>
      </c>
    </row>
    <row r="1687" spans="2:3" x14ac:dyDescent="0.35">
      <c r="B1687" s="87">
        <v>41942</v>
      </c>
      <c r="C1687" s="22">
        <v>220.2</v>
      </c>
    </row>
    <row r="1688" spans="2:3" x14ac:dyDescent="0.35">
      <c r="B1688" s="87">
        <v>41943</v>
      </c>
      <c r="C1688" s="22">
        <v>226.5</v>
      </c>
    </row>
    <row r="1689" spans="2:3" x14ac:dyDescent="0.35">
      <c r="B1689" s="87">
        <v>41946</v>
      </c>
      <c r="C1689" s="22">
        <v>230.35</v>
      </c>
    </row>
    <row r="1690" spans="2:3" x14ac:dyDescent="0.35">
      <c r="B1690" s="87">
        <v>41948</v>
      </c>
      <c r="C1690" s="22">
        <v>226</v>
      </c>
    </row>
    <row r="1691" spans="2:3" x14ac:dyDescent="0.35">
      <c r="B1691" s="87">
        <v>41950</v>
      </c>
      <c r="C1691" s="22">
        <v>227.85</v>
      </c>
    </row>
    <row r="1692" spans="2:3" x14ac:dyDescent="0.35">
      <c r="B1692" s="87">
        <v>41953</v>
      </c>
      <c r="C1692" s="22">
        <v>226.55</v>
      </c>
    </row>
    <row r="1693" spans="2:3" x14ac:dyDescent="0.35">
      <c r="B1693" s="87">
        <v>41954</v>
      </c>
      <c r="C1693" s="22">
        <v>229.15</v>
      </c>
    </row>
    <row r="1694" spans="2:3" x14ac:dyDescent="0.35">
      <c r="B1694" s="87">
        <v>41955</v>
      </c>
      <c r="C1694" s="22">
        <v>234.15</v>
      </c>
    </row>
    <row r="1695" spans="2:3" x14ac:dyDescent="0.35">
      <c r="B1695" s="87">
        <v>41956</v>
      </c>
      <c r="C1695" s="22">
        <v>232.1</v>
      </c>
    </row>
    <row r="1696" spans="2:3" x14ac:dyDescent="0.35">
      <c r="B1696" s="87">
        <v>41957</v>
      </c>
      <c r="C1696" s="22">
        <v>231.35</v>
      </c>
    </row>
    <row r="1697" spans="2:3" x14ac:dyDescent="0.35">
      <c r="B1697" s="87">
        <v>41960</v>
      </c>
      <c r="C1697" s="22">
        <v>235.75</v>
      </c>
    </row>
    <row r="1698" spans="2:3" x14ac:dyDescent="0.35">
      <c r="B1698" s="87">
        <v>41961</v>
      </c>
      <c r="C1698" s="22">
        <v>232.1</v>
      </c>
    </row>
    <row r="1699" spans="2:3" x14ac:dyDescent="0.35">
      <c r="B1699" s="87">
        <v>41962</v>
      </c>
      <c r="C1699" s="22">
        <v>232.05</v>
      </c>
    </row>
    <row r="1700" spans="2:3" x14ac:dyDescent="0.35">
      <c r="B1700" s="87">
        <v>41963</v>
      </c>
      <c r="C1700" s="22">
        <v>235.45</v>
      </c>
    </row>
    <row r="1701" spans="2:3" x14ac:dyDescent="0.35">
      <c r="B1701" s="87">
        <v>41964</v>
      </c>
      <c r="C1701" s="22">
        <v>230.65</v>
      </c>
    </row>
    <row r="1702" spans="2:3" x14ac:dyDescent="0.35">
      <c r="B1702" s="87">
        <v>41967</v>
      </c>
      <c r="C1702" s="22">
        <v>236.65</v>
      </c>
    </row>
    <row r="1703" spans="2:3" x14ac:dyDescent="0.35">
      <c r="B1703" s="87">
        <v>41968</v>
      </c>
      <c r="C1703" s="22">
        <v>242.9</v>
      </c>
    </row>
    <row r="1704" spans="2:3" x14ac:dyDescent="0.35">
      <c r="B1704" s="87">
        <v>41969</v>
      </c>
      <c r="C1704" s="22">
        <v>240.7</v>
      </c>
    </row>
    <row r="1705" spans="2:3" x14ac:dyDescent="0.35">
      <c r="B1705" s="87">
        <v>41970</v>
      </c>
      <c r="C1705" s="22">
        <v>243.5</v>
      </c>
    </row>
    <row r="1706" spans="2:3" x14ac:dyDescent="0.35">
      <c r="B1706" s="87">
        <v>41971</v>
      </c>
      <c r="C1706" s="22">
        <v>240.9</v>
      </c>
    </row>
    <row r="1707" spans="2:3" x14ac:dyDescent="0.35">
      <c r="B1707" s="87">
        <v>41974</v>
      </c>
      <c r="C1707" s="22">
        <v>245.7</v>
      </c>
    </row>
    <row r="1708" spans="2:3" x14ac:dyDescent="0.35">
      <c r="B1708" s="87">
        <v>41975</v>
      </c>
      <c r="C1708" s="22">
        <v>243.05</v>
      </c>
    </row>
    <row r="1709" spans="2:3" x14ac:dyDescent="0.35">
      <c r="B1709" s="87">
        <v>41976</v>
      </c>
      <c r="C1709" s="22">
        <v>244.6</v>
      </c>
    </row>
    <row r="1710" spans="2:3" x14ac:dyDescent="0.35">
      <c r="B1710" s="87">
        <v>41977</v>
      </c>
      <c r="C1710" s="22">
        <v>244.95</v>
      </c>
    </row>
    <row r="1711" spans="2:3" x14ac:dyDescent="0.35">
      <c r="B1711" s="87">
        <v>41978</v>
      </c>
      <c r="C1711" s="22">
        <v>243.4</v>
      </c>
    </row>
    <row r="1712" spans="2:3" x14ac:dyDescent="0.35">
      <c r="B1712" s="87">
        <v>41981</v>
      </c>
      <c r="C1712" s="22">
        <v>240.15</v>
      </c>
    </row>
    <row r="1713" spans="2:3" x14ac:dyDescent="0.35">
      <c r="B1713" s="87">
        <v>41982</v>
      </c>
      <c r="C1713" s="22">
        <v>239.25</v>
      </c>
    </row>
    <row r="1714" spans="2:3" x14ac:dyDescent="0.35">
      <c r="B1714" s="87">
        <v>41983</v>
      </c>
      <c r="C1714" s="22">
        <v>238.75</v>
      </c>
    </row>
    <row r="1715" spans="2:3" x14ac:dyDescent="0.35">
      <c r="B1715" s="87">
        <v>41984</v>
      </c>
      <c r="C1715" s="22">
        <v>235.65</v>
      </c>
    </row>
    <row r="1716" spans="2:3" x14ac:dyDescent="0.35">
      <c r="B1716" s="87">
        <v>41985</v>
      </c>
      <c r="C1716" s="22">
        <v>234.7</v>
      </c>
    </row>
    <row r="1717" spans="2:3" x14ac:dyDescent="0.35">
      <c r="B1717" s="87">
        <v>41988</v>
      </c>
      <c r="C1717" s="22">
        <v>230.4</v>
      </c>
    </row>
    <row r="1718" spans="2:3" x14ac:dyDescent="0.35">
      <c r="B1718" s="87">
        <v>41989</v>
      </c>
      <c r="C1718" s="22">
        <v>223.3</v>
      </c>
    </row>
    <row r="1719" spans="2:3" x14ac:dyDescent="0.35">
      <c r="B1719" s="87">
        <v>41990</v>
      </c>
      <c r="C1719" s="22">
        <v>219.7</v>
      </c>
    </row>
    <row r="1720" spans="2:3" x14ac:dyDescent="0.35">
      <c r="B1720" s="87">
        <v>41991</v>
      </c>
      <c r="C1720" s="22">
        <v>231.65</v>
      </c>
    </row>
    <row r="1721" spans="2:3" x14ac:dyDescent="0.35">
      <c r="B1721" s="87">
        <v>41992</v>
      </c>
      <c r="C1721" s="22">
        <v>227.8</v>
      </c>
    </row>
    <row r="1722" spans="2:3" x14ac:dyDescent="0.35">
      <c r="B1722" s="87">
        <v>41995</v>
      </c>
      <c r="C1722" s="22">
        <v>231.05</v>
      </c>
    </row>
    <row r="1723" spans="2:3" x14ac:dyDescent="0.35">
      <c r="B1723" s="87">
        <v>41996</v>
      </c>
      <c r="C1723" s="22">
        <v>232.8</v>
      </c>
    </row>
    <row r="1724" spans="2:3" x14ac:dyDescent="0.35">
      <c r="B1724" s="87">
        <v>41997</v>
      </c>
      <c r="C1724" s="22">
        <v>228.4</v>
      </c>
    </row>
    <row r="1725" spans="2:3" x14ac:dyDescent="0.35">
      <c r="B1725" s="87">
        <v>41999</v>
      </c>
      <c r="C1725" s="22">
        <v>229.95</v>
      </c>
    </row>
    <row r="1726" spans="2:3" x14ac:dyDescent="0.35">
      <c r="B1726" s="87">
        <v>42002</v>
      </c>
      <c r="C1726" s="22">
        <v>228.45</v>
      </c>
    </row>
    <row r="1727" spans="2:3" x14ac:dyDescent="0.35">
      <c r="B1727" s="87">
        <v>42003</v>
      </c>
      <c r="C1727" s="22">
        <v>232.3</v>
      </c>
    </row>
    <row r="1728" spans="2:3" x14ac:dyDescent="0.35">
      <c r="B1728" s="87">
        <v>42004</v>
      </c>
      <c r="C1728" s="22">
        <v>233.75</v>
      </c>
    </row>
    <row r="1729" spans="2:3" x14ac:dyDescent="0.35">
      <c r="B1729" s="87">
        <v>42005</v>
      </c>
      <c r="C1729" s="22">
        <v>232.4</v>
      </c>
    </row>
    <row r="1730" spans="2:3" x14ac:dyDescent="0.35">
      <c r="B1730" s="87">
        <v>42006</v>
      </c>
      <c r="C1730" s="22">
        <v>234.7</v>
      </c>
    </row>
    <row r="1731" spans="2:3" x14ac:dyDescent="0.35">
      <c r="B1731" s="87">
        <v>42009</v>
      </c>
      <c r="C1731" s="22">
        <v>231.45</v>
      </c>
    </row>
    <row r="1732" spans="2:3" x14ac:dyDescent="0.35">
      <c r="B1732" s="87">
        <v>42010</v>
      </c>
      <c r="C1732" s="22">
        <v>224.35</v>
      </c>
    </row>
    <row r="1733" spans="2:3" x14ac:dyDescent="0.35">
      <c r="B1733" s="87">
        <v>42011</v>
      </c>
      <c r="C1733" s="22">
        <v>227.75</v>
      </c>
    </row>
    <row r="1734" spans="2:3" x14ac:dyDescent="0.35">
      <c r="B1734" s="87">
        <v>42012</v>
      </c>
      <c r="C1734" s="22">
        <v>230</v>
      </c>
    </row>
    <row r="1735" spans="2:3" x14ac:dyDescent="0.35">
      <c r="B1735" s="87">
        <v>42013</v>
      </c>
      <c r="C1735" s="22">
        <v>229.45</v>
      </c>
    </row>
    <row r="1736" spans="2:3" x14ac:dyDescent="0.35">
      <c r="B1736" s="87">
        <v>42016</v>
      </c>
      <c r="C1736" s="22">
        <v>234.75</v>
      </c>
    </row>
    <row r="1737" spans="2:3" x14ac:dyDescent="0.35">
      <c r="B1737" s="87">
        <v>42017</v>
      </c>
      <c r="C1737" s="22">
        <v>235.75</v>
      </c>
    </row>
    <row r="1738" spans="2:3" x14ac:dyDescent="0.35">
      <c r="B1738" s="87">
        <v>42018</v>
      </c>
      <c r="C1738" s="22">
        <v>251.05</v>
      </c>
    </row>
    <row r="1739" spans="2:3" x14ac:dyDescent="0.35">
      <c r="B1739" s="87">
        <v>42019</v>
      </c>
      <c r="C1739" s="22">
        <v>249.9</v>
      </c>
    </row>
    <row r="1740" spans="2:3" x14ac:dyDescent="0.35">
      <c r="B1740" s="87">
        <v>42020</v>
      </c>
      <c r="C1740" s="22">
        <v>251.4</v>
      </c>
    </row>
    <row r="1741" spans="2:3" x14ac:dyDescent="0.35">
      <c r="B1741" s="87">
        <v>42023</v>
      </c>
      <c r="C1741" s="22">
        <v>257.8</v>
      </c>
    </row>
    <row r="1742" spans="2:3" x14ac:dyDescent="0.35">
      <c r="B1742" s="87">
        <v>42024</v>
      </c>
      <c r="C1742" s="22">
        <v>254.15</v>
      </c>
    </row>
    <row r="1743" spans="2:3" x14ac:dyDescent="0.35">
      <c r="B1743" s="87">
        <v>42025</v>
      </c>
      <c r="C1743" s="22">
        <v>250.2</v>
      </c>
    </row>
    <row r="1744" spans="2:3" x14ac:dyDescent="0.35">
      <c r="B1744" s="87">
        <v>42026</v>
      </c>
      <c r="C1744" s="22">
        <v>250.2</v>
      </c>
    </row>
    <row r="1745" spans="2:3" x14ac:dyDescent="0.35">
      <c r="B1745" s="87">
        <v>42027</v>
      </c>
      <c r="C1745" s="22">
        <v>249.6</v>
      </c>
    </row>
    <row r="1746" spans="2:3" x14ac:dyDescent="0.35">
      <c r="B1746" s="87">
        <v>42031</v>
      </c>
      <c r="C1746" s="22">
        <v>248.75</v>
      </c>
    </row>
    <row r="1747" spans="2:3" x14ac:dyDescent="0.35">
      <c r="B1747" s="87">
        <v>42032</v>
      </c>
      <c r="C1747" s="22">
        <v>251.75</v>
      </c>
    </row>
    <row r="1748" spans="2:3" x14ac:dyDescent="0.35">
      <c r="B1748" s="87">
        <v>42033</v>
      </c>
      <c r="C1748" s="22">
        <v>258.39999999999998</v>
      </c>
    </row>
    <row r="1749" spans="2:3" x14ac:dyDescent="0.35">
      <c r="B1749" s="87">
        <v>42034</v>
      </c>
      <c r="C1749" s="22">
        <v>256.25</v>
      </c>
    </row>
    <row r="1750" spans="2:3" x14ac:dyDescent="0.35">
      <c r="B1750" s="87">
        <v>42037</v>
      </c>
      <c r="C1750" s="22">
        <v>261.64999999999998</v>
      </c>
    </row>
    <row r="1751" spans="2:3" x14ac:dyDescent="0.35">
      <c r="B1751" s="87">
        <v>42038</v>
      </c>
      <c r="C1751" s="22">
        <v>265.85000000000002</v>
      </c>
    </row>
    <row r="1752" spans="2:3" x14ac:dyDescent="0.35">
      <c r="B1752" s="87">
        <v>42039</v>
      </c>
      <c r="C1752" s="22">
        <v>267.64999999999998</v>
      </c>
    </row>
    <row r="1753" spans="2:3" x14ac:dyDescent="0.35">
      <c r="B1753" s="87">
        <v>42040</v>
      </c>
      <c r="C1753" s="22">
        <v>267.89999999999998</v>
      </c>
    </row>
    <row r="1754" spans="2:3" x14ac:dyDescent="0.35">
      <c r="B1754" s="87">
        <v>42041</v>
      </c>
      <c r="C1754" s="22">
        <v>273.45</v>
      </c>
    </row>
    <row r="1755" spans="2:3" x14ac:dyDescent="0.35">
      <c r="B1755" s="87">
        <v>42044</v>
      </c>
      <c r="C1755" s="22">
        <v>261.05</v>
      </c>
    </row>
    <row r="1756" spans="2:3" x14ac:dyDescent="0.35">
      <c r="B1756" s="87">
        <v>42045</v>
      </c>
      <c r="C1756" s="22">
        <v>270.5</v>
      </c>
    </row>
    <row r="1757" spans="2:3" x14ac:dyDescent="0.35">
      <c r="B1757" s="87">
        <v>42046</v>
      </c>
      <c r="C1757" s="22">
        <v>272</v>
      </c>
    </row>
    <row r="1758" spans="2:3" x14ac:dyDescent="0.35">
      <c r="B1758" s="87">
        <v>42047</v>
      </c>
      <c r="C1758" s="22">
        <v>267.14999999999998</v>
      </c>
    </row>
    <row r="1759" spans="2:3" x14ac:dyDescent="0.35">
      <c r="B1759" s="87">
        <v>42048</v>
      </c>
      <c r="C1759" s="22">
        <v>272.25</v>
      </c>
    </row>
    <row r="1760" spans="2:3" x14ac:dyDescent="0.35">
      <c r="B1760" s="87">
        <v>42051</v>
      </c>
      <c r="C1760" s="22">
        <v>266.85000000000002</v>
      </c>
    </row>
    <row r="1761" spans="2:3" x14ac:dyDescent="0.35">
      <c r="B1761" s="87">
        <v>42053</v>
      </c>
      <c r="C1761" s="22">
        <v>268.8</v>
      </c>
    </row>
    <row r="1762" spans="2:3" x14ac:dyDescent="0.35">
      <c r="B1762" s="87">
        <v>42054</v>
      </c>
      <c r="C1762" s="22">
        <v>266.95</v>
      </c>
    </row>
    <row r="1763" spans="2:3" x14ac:dyDescent="0.35">
      <c r="B1763" s="87">
        <v>42055</v>
      </c>
      <c r="C1763" s="22">
        <v>265.45</v>
      </c>
    </row>
    <row r="1764" spans="2:3" x14ac:dyDescent="0.35">
      <c r="B1764" s="87">
        <v>42058</v>
      </c>
      <c r="C1764" s="22">
        <v>265.7</v>
      </c>
    </row>
    <row r="1765" spans="2:3" x14ac:dyDescent="0.35">
      <c r="B1765" s="87">
        <v>42059</v>
      </c>
      <c r="C1765" s="22">
        <v>268.14999999999998</v>
      </c>
    </row>
    <row r="1766" spans="2:3" x14ac:dyDescent="0.35">
      <c r="B1766" s="87">
        <v>42060</v>
      </c>
      <c r="C1766" s="22">
        <v>264.35000000000002</v>
      </c>
    </row>
    <row r="1767" spans="2:3" x14ac:dyDescent="0.35">
      <c r="B1767" s="87">
        <v>42061</v>
      </c>
      <c r="C1767" s="22">
        <v>263.45</v>
      </c>
    </row>
    <row r="1768" spans="2:3" x14ac:dyDescent="0.35">
      <c r="B1768" s="87">
        <v>42062</v>
      </c>
      <c r="C1768" s="22">
        <v>265.14999999999998</v>
      </c>
    </row>
    <row r="1769" spans="2:3" x14ac:dyDescent="0.35">
      <c r="B1769" s="87">
        <v>42063</v>
      </c>
      <c r="C1769" s="22">
        <v>263.60000000000002</v>
      </c>
    </row>
    <row r="1770" spans="2:3" x14ac:dyDescent="0.35">
      <c r="B1770" s="87">
        <v>42065</v>
      </c>
      <c r="C1770" s="22">
        <v>262.60000000000002</v>
      </c>
    </row>
    <row r="1771" spans="2:3" x14ac:dyDescent="0.35">
      <c r="B1771" s="87">
        <v>42066</v>
      </c>
      <c r="C1771" s="22">
        <v>264.05</v>
      </c>
    </row>
    <row r="1772" spans="2:3" x14ac:dyDescent="0.35">
      <c r="B1772" s="87">
        <v>42067</v>
      </c>
      <c r="C1772" s="22">
        <v>264.14999999999998</v>
      </c>
    </row>
    <row r="1773" spans="2:3" x14ac:dyDescent="0.35">
      <c r="B1773" s="87">
        <v>42068</v>
      </c>
      <c r="C1773" s="22">
        <v>266.7</v>
      </c>
    </row>
    <row r="1774" spans="2:3" x14ac:dyDescent="0.35">
      <c r="B1774" s="87">
        <v>42072</v>
      </c>
      <c r="C1774" s="22">
        <v>274.35000000000002</v>
      </c>
    </row>
    <row r="1775" spans="2:3" x14ac:dyDescent="0.35">
      <c r="B1775" s="87">
        <v>42073</v>
      </c>
      <c r="C1775" s="22">
        <v>265.8</v>
      </c>
    </row>
    <row r="1776" spans="2:3" x14ac:dyDescent="0.35">
      <c r="B1776" s="87">
        <v>42074</v>
      </c>
      <c r="C1776" s="22">
        <v>267.5</v>
      </c>
    </row>
    <row r="1777" spans="2:3" x14ac:dyDescent="0.35">
      <c r="B1777" s="87">
        <v>42075</v>
      </c>
      <c r="C1777" s="22">
        <v>271.2</v>
      </c>
    </row>
    <row r="1778" spans="2:3" x14ac:dyDescent="0.35">
      <c r="B1778" s="87">
        <v>42076</v>
      </c>
      <c r="C1778" s="22">
        <v>272.45</v>
      </c>
    </row>
    <row r="1779" spans="2:3" x14ac:dyDescent="0.35">
      <c r="B1779" s="87">
        <v>42079</v>
      </c>
      <c r="C1779" s="22">
        <v>271.25</v>
      </c>
    </row>
    <row r="1780" spans="2:3" x14ac:dyDescent="0.35">
      <c r="B1780" s="87">
        <v>42080</v>
      </c>
      <c r="C1780" s="22">
        <v>283.3</v>
      </c>
    </row>
    <row r="1781" spans="2:3" x14ac:dyDescent="0.35">
      <c r="B1781" s="87">
        <v>42081</v>
      </c>
      <c r="C1781" s="22">
        <v>284.10000000000002</v>
      </c>
    </row>
    <row r="1782" spans="2:3" x14ac:dyDescent="0.35">
      <c r="B1782" s="87">
        <v>42082</v>
      </c>
      <c r="C1782" s="22">
        <v>275.39999999999998</v>
      </c>
    </row>
    <row r="1783" spans="2:3" x14ac:dyDescent="0.35">
      <c r="B1783" s="87">
        <v>42083</v>
      </c>
      <c r="C1783" s="22">
        <v>266</v>
      </c>
    </row>
    <row r="1784" spans="2:3" x14ac:dyDescent="0.35">
      <c r="B1784" s="87">
        <v>42086</v>
      </c>
      <c r="C1784" s="22">
        <v>269.10000000000002</v>
      </c>
    </row>
    <row r="1785" spans="2:3" x14ac:dyDescent="0.35">
      <c r="B1785" s="87">
        <v>42087</v>
      </c>
      <c r="C1785" s="22">
        <v>266.5</v>
      </c>
    </row>
    <row r="1786" spans="2:3" x14ac:dyDescent="0.35">
      <c r="B1786" s="87">
        <v>42088</v>
      </c>
      <c r="C1786" s="22">
        <v>268.2</v>
      </c>
    </row>
    <row r="1787" spans="2:3" x14ac:dyDescent="0.35">
      <c r="B1787" s="87">
        <v>42089</v>
      </c>
      <c r="C1787" s="22">
        <v>262.75</v>
      </c>
    </row>
    <row r="1788" spans="2:3" x14ac:dyDescent="0.35">
      <c r="B1788" s="87">
        <v>42090</v>
      </c>
      <c r="C1788" s="22">
        <v>264.8</v>
      </c>
    </row>
    <row r="1789" spans="2:3" x14ac:dyDescent="0.35">
      <c r="B1789" s="87">
        <v>42093</v>
      </c>
      <c r="C1789" s="22">
        <v>266.05</v>
      </c>
    </row>
    <row r="1790" spans="2:3" x14ac:dyDescent="0.35">
      <c r="B1790" s="87">
        <v>42094</v>
      </c>
      <c r="C1790" s="22">
        <v>265.55</v>
      </c>
    </row>
    <row r="1791" spans="2:3" x14ac:dyDescent="0.35">
      <c r="B1791" s="87">
        <v>42095</v>
      </c>
      <c r="C1791" s="22">
        <v>266.55</v>
      </c>
    </row>
    <row r="1792" spans="2:3" x14ac:dyDescent="0.35">
      <c r="B1792" s="87">
        <v>42100</v>
      </c>
      <c r="C1792" s="22">
        <v>272.95</v>
      </c>
    </row>
    <row r="1793" spans="2:3" x14ac:dyDescent="0.35">
      <c r="B1793" s="87">
        <v>42101</v>
      </c>
      <c r="C1793" s="22">
        <v>274.3</v>
      </c>
    </row>
    <row r="1794" spans="2:3" x14ac:dyDescent="0.35">
      <c r="B1794" s="87">
        <v>42102</v>
      </c>
      <c r="C1794" s="22">
        <v>284.35000000000002</v>
      </c>
    </row>
    <row r="1795" spans="2:3" x14ac:dyDescent="0.35">
      <c r="B1795" s="87">
        <v>42103</v>
      </c>
      <c r="C1795" s="22">
        <v>279.89999999999998</v>
      </c>
    </row>
    <row r="1796" spans="2:3" x14ac:dyDescent="0.35">
      <c r="B1796" s="87">
        <v>42104</v>
      </c>
      <c r="C1796" s="22">
        <v>280.3</v>
      </c>
    </row>
    <row r="1797" spans="2:3" x14ac:dyDescent="0.35">
      <c r="B1797" s="87">
        <v>42107</v>
      </c>
      <c r="C1797" s="22">
        <v>283.60000000000002</v>
      </c>
    </row>
    <row r="1798" spans="2:3" x14ac:dyDescent="0.35">
      <c r="B1798" s="87">
        <v>42109</v>
      </c>
      <c r="C1798" s="22">
        <v>275.35000000000002</v>
      </c>
    </row>
    <row r="1799" spans="2:3" x14ac:dyDescent="0.35">
      <c r="B1799" s="87">
        <v>42110</v>
      </c>
      <c r="C1799" s="22">
        <v>276.14999999999998</v>
      </c>
    </row>
    <row r="1800" spans="2:3" x14ac:dyDescent="0.35">
      <c r="B1800" s="87">
        <v>42111</v>
      </c>
      <c r="C1800" s="22">
        <v>272.95</v>
      </c>
    </row>
    <row r="1801" spans="2:3" x14ac:dyDescent="0.35">
      <c r="B1801" s="87">
        <v>42114</v>
      </c>
      <c r="C1801" s="22">
        <v>268.89999999999998</v>
      </c>
    </row>
    <row r="1802" spans="2:3" x14ac:dyDescent="0.35">
      <c r="B1802" s="87">
        <v>42115</v>
      </c>
      <c r="C1802" s="22">
        <v>268.55</v>
      </c>
    </row>
    <row r="1803" spans="2:3" x14ac:dyDescent="0.35">
      <c r="B1803" s="87">
        <v>42116</v>
      </c>
      <c r="C1803" s="22">
        <v>265.25</v>
      </c>
    </row>
    <row r="1804" spans="2:3" x14ac:dyDescent="0.35">
      <c r="B1804" s="87">
        <v>42117</v>
      </c>
      <c r="C1804" s="22">
        <v>271.05</v>
      </c>
    </row>
    <row r="1805" spans="2:3" x14ac:dyDescent="0.35">
      <c r="B1805" s="87">
        <v>42118</v>
      </c>
      <c r="C1805" s="22">
        <v>270.10000000000002</v>
      </c>
    </row>
    <row r="1806" spans="2:3" x14ac:dyDescent="0.35">
      <c r="B1806" s="87">
        <v>42121</v>
      </c>
      <c r="C1806" s="22">
        <v>263.45</v>
      </c>
    </row>
    <row r="1807" spans="2:3" x14ac:dyDescent="0.35">
      <c r="B1807" s="87">
        <v>42122</v>
      </c>
      <c r="C1807" s="22">
        <v>259.10000000000002</v>
      </c>
    </row>
    <row r="1808" spans="2:3" x14ac:dyDescent="0.35">
      <c r="B1808" s="87">
        <v>42123</v>
      </c>
      <c r="C1808" s="22">
        <v>255.3</v>
      </c>
    </row>
    <row r="1809" spans="2:3" x14ac:dyDescent="0.35">
      <c r="B1809" s="87">
        <v>42124</v>
      </c>
      <c r="C1809" s="22">
        <v>251.9</v>
      </c>
    </row>
    <row r="1810" spans="2:3" x14ac:dyDescent="0.35">
      <c r="B1810" s="87">
        <v>42128</v>
      </c>
      <c r="C1810" s="22">
        <v>261.45</v>
      </c>
    </row>
    <row r="1811" spans="2:3" x14ac:dyDescent="0.35">
      <c r="B1811" s="87">
        <v>42129</v>
      </c>
      <c r="C1811" s="22">
        <v>264.60000000000002</v>
      </c>
    </row>
    <row r="1812" spans="2:3" x14ac:dyDescent="0.35">
      <c r="B1812" s="87">
        <v>42130</v>
      </c>
      <c r="C1812" s="22">
        <v>263.10000000000002</v>
      </c>
    </row>
    <row r="1813" spans="2:3" x14ac:dyDescent="0.35">
      <c r="B1813" s="87">
        <v>42131</v>
      </c>
      <c r="C1813" s="22">
        <v>257.2</v>
      </c>
    </row>
    <row r="1814" spans="2:3" x14ac:dyDescent="0.35">
      <c r="B1814" s="87">
        <v>42132</v>
      </c>
      <c r="C1814" s="22">
        <v>260.85000000000002</v>
      </c>
    </row>
    <row r="1815" spans="2:3" x14ac:dyDescent="0.35">
      <c r="B1815" s="87">
        <v>42135</v>
      </c>
      <c r="C1815" s="22">
        <v>257.2</v>
      </c>
    </row>
    <row r="1816" spans="2:3" x14ac:dyDescent="0.35">
      <c r="B1816" s="87">
        <v>42136</v>
      </c>
      <c r="C1816" s="22">
        <v>260.64999999999998</v>
      </c>
    </row>
    <row r="1817" spans="2:3" x14ac:dyDescent="0.35">
      <c r="B1817" s="87">
        <v>42137</v>
      </c>
      <c r="C1817" s="22">
        <v>261.39999999999998</v>
      </c>
    </row>
    <row r="1818" spans="2:3" x14ac:dyDescent="0.35">
      <c r="B1818" s="87">
        <v>42138</v>
      </c>
      <c r="C1818" s="22">
        <v>263.85000000000002</v>
      </c>
    </row>
    <row r="1819" spans="2:3" x14ac:dyDescent="0.35">
      <c r="B1819" s="87">
        <v>42139</v>
      </c>
      <c r="C1819" s="22">
        <v>264.85000000000002</v>
      </c>
    </row>
    <row r="1820" spans="2:3" x14ac:dyDescent="0.35">
      <c r="B1820" s="87">
        <v>42142</v>
      </c>
      <c r="C1820" s="22">
        <v>265.7</v>
      </c>
    </row>
    <row r="1821" spans="2:3" x14ac:dyDescent="0.35">
      <c r="B1821" s="87">
        <v>42143</v>
      </c>
      <c r="C1821" s="22">
        <v>264.7</v>
      </c>
    </row>
    <row r="1822" spans="2:3" x14ac:dyDescent="0.35">
      <c r="B1822" s="87">
        <v>42144</v>
      </c>
      <c r="C1822" s="22">
        <v>264.10000000000002</v>
      </c>
    </row>
    <row r="1823" spans="2:3" x14ac:dyDescent="0.35">
      <c r="B1823" s="87">
        <v>42145</v>
      </c>
      <c r="C1823" s="22">
        <v>259.05</v>
      </c>
    </row>
    <row r="1824" spans="2:3" x14ac:dyDescent="0.35">
      <c r="B1824" s="87">
        <v>42146</v>
      </c>
      <c r="C1824" s="22">
        <v>265.25</v>
      </c>
    </row>
    <row r="1825" spans="2:3" x14ac:dyDescent="0.35">
      <c r="B1825" s="87">
        <v>42149</v>
      </c>
      <c r="C1825" s="22">
        <v>268.39999999999998</v>
      </c>
    </row>
    <row r="1826" spans="2:3" x14ac:dyDescent="0.35">
      <c r="B1826" s="87">
        <v>42150</v>
      </c>
      <c r="C1826" s="22">
        <v>270.64999999999998</v>
      </c>
    </row>
    <row r="1827" spans="2:3" x14ac:dyDescent="0.35">
      <c r="B1827" s="87">
        <v>42151</v>
      </c>
      <c r="C1827" s="22">
        <v>269.35000000000002</v>
      </c>
    </row>
    <row r="1828" spans="2:3" x14ac:dyDescent="0.35">
      <c r="B1828" s="87">
        <v>42152</v>
      </c>
      <c r="C1828" s="22">
        <v>271.7</v>
      </c>
    </row>
    <row r="1829" spans="2:3" x14ac:dyDescent="0.35">
      <c r="B1829" s="87">
        <v>42153</v>
      </c>
      <c r="C1829" s="22">
        <v>269.85000000000002</v>
      </c>
    </row>
    <row r="1830" spans="2:3" x14ac:dyDescent="0.35">
      <c r="B1830" s="87">
        <v>42156</v>
      </c>
      <c r="C1830" s="22">
        <v>272.7</v>
      </c>
    </row>
    <row r="1831" spans="2:3" x14ac:dyDescent="0.35">
      <c r="B1831" s="87">
        <v>42157</v>
      </c>
      <c r="C1831" s="22">
        <v>266.75</v>
      </c>
    </row>
    <row r="1832" spans="2:3" x14ac:dyDescent="0.35">
      <c r="B1832" s="87">
        <v>42158</v>
      </c>
      <c r="C1832" s="22">
        <v>261.5</v>
      </c>
    </row>
    <row r="1833" spans="2:3" x14ac:dyDescent="0.35">
      <c r="B1833" s="87">
        <v>42159</v>
      </c>
      <c r="C1833" s="22">
        <v>255.75</v>
      </c>
    </row>
    <row r="1834" spans="2:3" x14ac:dyDescent="0.35">
      <c r="B1834" s="87">
        <v>42160</v>
      </c>
      <c r="C1834" s="22">
        <v>257.8</v>
      </c>
    </row>
    <row r="1835" spans="2:3" x14ac:dyDescent="0.35">
      <c r="B1835" s="87">
        <v>42163</v>
      </c>
      <c r="C1835" s="22">
        <v>251.5</v>
      </c>
    </row>
    <row r="1836" spans="2:3" x14ac:dyDescent="0.35">
      <c r="B1836" s="87">
        <v>42164</v>
      </c>
      <c r="C1836" s="22">
        <v>253.75</v>
      </c>
    </row>
    <row r="1837" spans="2:3" x14ac:dyDescent="0.35">
      <c r="B1837" s="87">
        <v>42165</v>
      </c>
      <c r="C1837" s="22">
        <v>253.4</v>
      </c>
    </row>
    <row r="1838" spans="2:3" x14ac:dyDescent="0.35">
      <c r="B1838" s="87">
        <v>42166</v>
      </c>
      <c r="C1838" s="22">
        <v>251.4</v>
      </c>
    </row>
    <row r="1839" spans="2:3" x14ac:dyDescent="0.35">
      <c r="B1839" s="87">
        <v>42167</v>
      </c>
      <c r="C1839" s="22">
        <v>252</v>
      </c>
    </row>
    <row r="1840" spans="2:3" x14ac:dyDescent="0.35">
      <c r="B1840" s="87">
        <v>42170</v>
      </c>
      <c r="C1840" s="22">
        <v>256.3</v>
      </c>
    </row>
    <row r="1841" spans="2:3" x14ac:dyDescent="0.35">
      <c r="B1841" s="87">
        <v>42171</v>
      </c>
      <c r="C1841" s="22">
        <v>256.55</v>
      </c>
    </row>
    <row r="1842" spans="2:3" x14ac:dyDescent="0.35">
      <c r="B1842" s="87">
        <v>42172</v>
      </c>
      <c r="C1842" s="22">
        <v>265.45</v>
      </c>
    </row>
    <row r="1843" spans="2:3" x14ac:dyDescent="0.35">
      <c r="B1843" s="87">
        <v>42173</v>
      </c>
      <c r="C1843" s="22">
        <v>267.7</v>
      </c>
    </row>
    <row r="1844" spans="2:3" x14ac:dyDescent="0.35">
      <c r="B1844" s="87">
        <v>42174</v>
      </c>
      <c r="C1844" s="22">
        <v>269.3</v>
      </c>
    </row>
    <row r="1845" spans="2:3" x14ac:dyDescent="0.35">
      <c r="B1845" s="87">
        <v>42177</v>
      </c>
      <c r="C1845" s="22">
        <v>270.2</v>
      </c>
    </row>
    <row r="1846" spans="2:3" x14ac:dyDescent="0.35">
      <c r="B1846" s="87">
        <v>42178</v>
      </c>
      <c r="C1846" s="22">
        <v>269.75</v>
      </c>
    </row>
    <row r="1847" spans="2:3" x14ac:dyDescent="0.35">
      <c r="B1847" s="87">
        <v>42179</v>
      </c>
      <c r="C1847" s="22">
        <v>273.5</v>
      </c>
    </row>
    <row r="1848" spans="2:3" x14ac:dyDescent="0.35">
      <c r="B1848" s="87">
        <v>42180</v>
      </c>
      <c r="C1848" s="22">
        <v>276.75</v>
      </c>
    </row>
    <row r="1849" spans="2:3" x14ac:dyDescent="0.35">
      <c r="B1849" s="87">
        <v>42181</v>
      </c>
      <c r="C1849" s="22">
        <v>275.7</v>
      </c>
    </row>
    <row r="1850" spans="2:3" x14ac:dyDescent="0.35">
      <c r="B1850" s="87">
        <v>42184</v>
      </c>
      <c r="C1850" s="22">
        <v>275.89999999999998</v>
      </c>
    </row>
    <row r="1851" spans="2:3" x14ac:dyDescent="0.35">
      <c r="B1851" s="87">
        <v>42185</v>
      </c>
      <c r="C1851" s="22">
        <v>280.10000000000002</v>
      </c>
    </row>
    <row r="1852" spans="2:3" x14ac:dyDescent="0.35">
      <c r="B1852" s="87">
        <v>42186</v>
      </c>
      <c r="C1852" s="22">
        <v>282.5</v>
      </c>
    </row>
    <row r="1853" spans="2:3" x14ac:dyDescent="0.35">
      <c r="B1853" s="87">
        <v>42187</v>
      </c>
      <c r="C1853" s="22">
        <v>278.25</v>
      </c>
    </row>
    <row r="1854" spans="2:3" x14ac:dyDescent="0.35">
      <c r="B1854" s="87">
        <v>42188</v>
      </c>
      <c r="C1854" s="22">
        <v>285.55</v>
      </c>
    </row>
    <row r="1855" spans="2:3" x14ac:dyDescent="0.35">
      <c r="B1855" s="87">
        <v>42191</v>
      </c>
      <c r="C1855" s="22">
        <v>286.39999999999998</v>
      </c>
    </row>
    <row r="1856" spans="2:3" x14ac:dyDescent="0.35">
      <c r="B1856" s="87">
        <v>42192</v>
      </c>
      <c r="C1856" s="22">
        <v>288.39999999999998</v>
      </c>
    </row>
    <row r="1857" spans="2:3" x14ac:dyDescent="0.35">
      <c r="B1857" s="87">
        <v>42193</v>
      </c>
      <c r="C1857" s="22">
        <v>286.60000000000002</v>
      </c>
    </row>
    <row r="1858" spans="2:3" x14ac:dyDescent="0.35">
      <c r="B1858" s="87">
        <v>42194</v>
      </c>
      <c r="C1858" s="22">
        <v>287.10000000000002</v>
      </c>
    </row>
    <row r="1859" spans="2:3" x14ac:dyDescent="0.35">
      <c r="B1859" s="87">
        <v>42195</v>
      </c>
      <c r="C1859" s="22">
        <v>282.25</v>
      </c>
    </row>
    <row r="1860" spans="2:3" x14ac:dyDescent="0.35">
      <c r="B1860" s="87">
        <v>42198</v>
      </c>
      <c r="C1860" s="22">
        <v>286.45</v>
      </c>
    </row>
    <row r="1861" spans="2:3" x14ac:dyDescent="0.35">
      <c r="B1861" s="87">
        <v>42199</v>
      </c>
      <c r="C1861" s="22">
        <v>296.14999999999998</v>
      </c>
    </row>
    <row r="1862" spans="2:3" x14ac:dyDescent="0.35">
      <c r="B1862" s="87">
        <v>42200</v>
      </c>
      <c r="C1862" s="22">
        <v>292.2</v>
      </c>
    </row>
    <row r="1863" spans="2:3" x14ac:dyDescent="0.35">
      <c r="B1863" s="87">
        <v>42201</v>
      </c>
      <c r="C1863" s="22">
        <v>291.2</v>
      </c>
    </row>
    <row r="1864" spans="2:3" x14ac:dyDescent="0.35">
      <c r="B1864" s="87">
        <v>42202</v>
      </c>
      <c r="C1864" s="22">
        <v>292.05</v>
      </c>
    </row>
    <row r="1865" spans="2:3" x14ac:dyDescent="0.35">
      <c r="B1865" s="87">
        <v>42205</v>
      </c>
      <c r="C1865" s="22">
        <v>299.2</v>
      </c>
    </row>
    <row r="1866" spans="2:3" x14ac:dyDescent="0.35">
      <c r="B1866" s="87">
        <v>42206</v>
      </c>
      <c r="C1866" s="22">
        <v>302.25</v>
      </c>
    </row>
    <row r="1867" spans="2:3" x14ac:dyDescent="0.35">
      <c r="B1867" s="87">
        <v>42207</v>
      </c>
      <c r="C1867" s="22">
        <v>298.60000000000002</v>
      </c>
    </row>
    <row r="1868" spans="2:3" x14ac:dyDescent="0.35">
      <c r="B1868" s="87">
        <v>42208</v>
      </c>
      <c r="C1868" s="22">
        <v>298.45</v>
      </c>
    </row>
    <row r="1869" spans="2:3" x14ac:dyDescent="0.35">
      <c r="B1869" s="87">
        <v>42209</v>
      </c>
      <c r="C1869" s="22">
        <v>296.55</v>
      </c>
    </row>
    <row r="1870" spans="2:3" x14ac:dyDescent="0.35">
      <c r="B1870" s="87">
        <v>42212</v>
      </c>
      <c r="C1870" s="22">
        <v>296.35000000000002</v>
      </c>
    </row>
    <row r="1871" spans="2:3" x14ac:dyDescent="0.35">
      <c r="B1871" s="87">
        <v>42213</v>
      </c>
      <c r="C1871" s="22">
        <v>294.45</v>
      </c>
    </row>
    <row r="1872" spans="2:3" x14ac:dyDescent="0.35">
      <c r="B1872" s="87">
        <v>42214</v>
      </c>
      <c r="C1872" s="22">
        <v>290.60000000000002</v>
      </c>
    </row>
    <row r="1873" spans="2:3" x14ac:dyDescent="0.35">
      <c r="B1873" s="87">
        <v>42215</v>
      </c>
      <c r="C1873" s="22">
        <v>292.2</v>
      </c>
    </row>
    <row r="1874" spans="2:3" x14ac:dyDescent="0.35">
      <c r="B1874" s="87">
        <v>42216</v>
      </c>
      <c r="C1874" s="22">
        <v>293.3</v>
      </c>
    </row>
    <row r="1875" spans="2:3" x14ac:dyDescent="0.35">
      <c r="B1875" s="87">
        <v>42219</v>
      </c>
      <c r="C1875" s="22">
        <v>290.89999999999998</v>
      </c>
    </row>
    <row r="1876" spans="2:3" x14ac:dyDescent="0.35">
      <c r="B1876" s="87">
        <v>42220</v>
      </c>
      <c r="C1876" s="22">
        <v>292.2</v>
      </c>
    </row>
    <row r="1877" spans="2:3" x14ac:dyDescent="0.35">
      <c r="B1877" s="87">
        <v>42221</v>
      </c>
      <c r="C1877" s="22">
        <v>306.64999999999998</v>
      </c>
    </row>
    <row r="1878" spans="2:3" x14ac:dyDescent="0.35">
      <c r="B1878" s="87">
        <v>42222</v>
      </c>
      <c r="C1878" s="22">
        <v>308.85000000000002</v>
      </c>
    </row>
    <row r="1879" spans="2:3" x14ac:dyDescent="0.35">
      <c r="B1879" s="87">
        <v>42223</v>
      </c>
      <c r="C1879" s="22">
        <v>309.10000000000002</v>
      </c>
    </row>
    <row r="1880" spans="2:3" x14ac:dyDescent="0.35">
      <c r="B1880" s="87">
        <v>42226</v>
      </c>
      <c r="C1880" s="22">
        <v>305.35000000000002</v>
      </c>
    </row>
    <row r="1881" spans="2:3" x14ac:dyDescent="0.35">
      <c r="B1881" s="87">
        <v>42227</v>
      </c>
      <c r="C1881" s="22">
        <v>299.89999999999998</v>
      </c>
    </row>
    <row r="1882" spans="2:3" x14ac:dyDescent="0.35">
      <c r="B1882" s="87">
        <v>42228</v>
      </c>
      <c r="C1882" s="22">
        <v>298.39999999999998</v>
      </c>
    </row>
    <row r="1883" spans="2:3" x14ac:dyDescent="0.35">
      <c r="B1883" s="87">
        <v>42229</v>
      </c>
      <c r="C1883" s="22">
        <v>292</v>
      </c>
    </row>
    <row r="1884" spans="2:3" x14ac:dyDescent="0.35">
      <c r="B1884" s="87">
        <v>42230</v>
      </c>
      <c r="C1884" s="22">
        <v>294.7</v>
      </c>
    </row>
    <row r="1885" spans="2:3" x14ac:dyDescent="0.35">
      <c r="B1885" s="87">
        <v>42233</v>
      </c>
      <c r="C1885" s="22">
        <v>302.89999999999998</v>
      </c>
    </row>
    <row r="1886" spans="2:3" x14ac:dyDescent="0.35">
      <c r="B1886" s="87">
        <v>42234</v>
      </c>
      <c r="C1886" s="22">
        <v>303.10000000000002</v>
      </c>
    </row>
    <row r="1887" spans="2:3" x14ac:dyDescent="0.35">
      <c r="B1887" s="87">
        <v>42235</v>
      </c>
      <c r="C1887" s="22">
        <v>297.45</v>
      </c>
    </row>
    <row r="1888" spans="2:3" x14ac:dyDescent="0.35">
      <c r="B1888" s="87">
        <v>42236</v>
      </c>
      <c r="C1888" s="22">
        <v>297.64999999999998</v>
      </c>
    </row>
    <row r="1889" spans="2:3" x14ac:dyDescent="0.35">
      <c r="B1889" s="87">
        <v>42237</v>
      </c>
      <c r="C1889" s="22">
        <v>298.64999999999998</v>
      </c>
    </row>
    <row r="1890" spans="2:3" x14ac:dyDescent="0.35">
      <c r="B1890" s="87">
        <v>42240</v>
      </c>
      <c r="C1890" s="22">
        <v>273.45</v>
      </c>
    </row>
    <row r="1891" spans="2:3" x14ac:dyDescent="0.35">
      <c r="B1891" s="87">
        <v>42241</v>
      </c>
      <c r="C1891" s="22">
        <v>273.39999999999998</v>
      </c>
    </row>
    <row r="1892" spans="2:3" x14ac:dyDescent="0.35">
      <c r="B1892" s="87">
        <v>42242</v>
      </c>
      <c r="C1892" s="22">
        <v>275.05</v>
      </c>
    </row>
    <row r="1893" spans="2:3" x14ac:dyDescent="0.35">
      <c r="B1893" s="87">
        <v>42243</v>
      </c>
      <c r="C1893" s="22">
        <v>284.5</v>
      </c>
    </row>
    <row r="1894" spans="2:3" x14ac:dyDescent="0.35">
      <c r="B1894" s="87">
        <v>42244</v>
      </c>
      <c r="C1894" s="22">
        <v>280.3</v>
      </c>
    </row>
    <row r="1895" spans="2:3" x14ac:dyDescent="0.35">
      <c r="B1895" s="87">
        <v>42247</v>
      </c>
      <c r="C1895" s="22">
        <v>273.05</v>
      </c>
    </row>
    <row r="1896" spans="2:3" x14ac:dyDescent="0.35">
      <c r="B1896" s="87">
        <v>42248</v>
      </c>
      <c r="C1896" s="22">
        <v>270.10000000000002</v>
      </c>
    </row>
    <row r="1897" spans="2:3" x14ac:dyDescent="0.35">
      <c r="B1897" s="87">
        <v>42249</v>
      </c>
      <c r="C1897" s="22">
        <v>280.14999999999998</v>
      </c>
    </row>
    <row r="1898" spans="2:3" x14ac:dyDescent="0.35">
      <c r="B1898" s="87">
        <v>42250</v>
      </c>
      <c r="C1898" s="22">
        <v>285.10000000000002</v>
      </c>
    </row>
    <row r="1899" spans="2:3" x14ac:dyDescent="0.35">
      <c r="B1899" s="87">
        <v>42251</v>
      </c>
      <c r="C1899" s="22">
        <v>286.25</v>
      </c>
    </row>
    <row r="1900" spans="2:3" x14ac:dyDescent="0.35">
      <c r="B1900" s="87">
        <v>42254</v>
      </c>
      <c r="C1900" s="22">
        <v>277</v>
      </c>
    </row>
    <row r="1901" spans="2:3" x14ac:dyDescent="0.35">
      <c r="B1901" s="87">
        <v>42255</v>
      </c>
      <c r="C1901" s="22">
        <v>274.5</v>
      </c>
    </row>
    <row r="1902" spans="2:3" x14ac:dyDescent="0.35">
      <c r="B1902" s="87">
        <v>42256</v>
      </c>
      <c r="C1902" s="22">
        <v>275.2</v>
      </c>
    </row>
    <row r="1903" spans="2:3" x14ac:dyDescent="0.35">
      <c r="B1903" s="87">
        <v>42257</v>
      </c>
      <c r="C1903" s="22">
        <v>279.89999999999998</v>
      </c>
    </row>
    <row r="1904" spans="2:3" x14ac:dyDescent="0.35">
      <c r="B1904" s="87">
        <v>42258</v>
      </c>
      <c r="C1904" s="22">
        <v>281.8</v>
      </c>
    </row>
    <row r="1905" spans="2:3" x14ac:dyDescent="0.35">
      <c r="B1905" s="87">
        <v>42261</v>
      </c>
      <c r="C1905" s="22">
        <v>281.7</v>
      </c>
    </row>
    <row r="1906" spans="2:3" x14ac:dyDescent="0.35">
      <c r="B1906" s="87">
        <v>42262</v>
      </c>
      <c r="C1906" s="22">
        <v>282.3</v>
      </c>
    </row>
    <row r="1907" spans="2:3" x14ac:dyDescent="0.35">
      <c r="B1907" s="87">
        <v>42263</v>
      </c>
      <c r="C1907" s="22">
        <v>273.89999999999998</v>
      </c>
    </row>
    <row r="1908" spans="2:3" x14ac:dyDescent="0.35">
      <c r="B1908" s="87">
        <v>42265</v>
      </c>
      <c r="C1908" s="22">
        <v>275.25</v>
      </c>
    </row>
    <row r="1909" spans="2:3" x14ac:dyDescent="0.35">
      <c r="B1909" s="87">
        <v>42268</v>
      </c>
      <c r="C1909" s="22">
        <v>279.05</v>
      </c>
    </row>
    <row r="1910" spans="2:3" x14ac:dyDescent="0.35">
      <c r="B1910" s="87">
        <v>42269</v>
      </c>
      <c r="C1910" s="22">
        <v>277.95</v>
      </c>
    </row>
    <row r="1911" spans="2:3" x14ac:dyDescent="0.35">
      <c r="B1911" s="87">
        <v>42270</v>
      </c>
      <c r="C1911" s="22">
        <v>275.85000000000002</v>
      </c>
    </row>
    <row r="1912" spans="2:3" x14ac:dyDescent="0.35">
      <c r="B1912" s="87">
        <v>42271</v>
      </c>
      <c r="C1912" s="22">
        <v>274.85000000000002</v>
      </c>
    </row>
    <row r="1913" spans="2:3" x14ac:dyDescent="0.35">
      <c r="B1913" s="87">
        <v>42275</v>
      </c>
      <c r="C1913" s="22">
        <v>274.55</v>
      </c>
    </row>
    <row r="1914" spans="2:3" x14ac:dyDescent="0.35">
      <c r="B1914" s="87">
        <v>42276</v>
      </c>
      <c r="C1914" s="22">
        <v>274.75</v>
      </c>
    </row>
    <row r="1915" spans="2:3" x14ac:dyDescent="0.35">
      <c r="B1915" s="87">
        <v>42277</v>
      </c>
      <c r="C1915" s="22">
        <v>276</v>
      </c>
    </row>
    <row r="1916" spans="2:3" x14ac:dyDescent="0.35">
      <c r="B1916" s="87">
        <v>42278</v>
      </c>
      <c r="C1916" s="22">
        <v>278.7</v>
      </c>
    </row>
    <row r="1917" spans="2:3" x14ac:dyDescent="0.35">
      <c r="B1917" s="87">
        <v>42282</v>
      </c>
      <c r="C1917" s="22">
        <v>275.10000000000002</v>
      </c>
    </row>
    <row r="1918" spans="2:3" x14ac:dyDescent="0.35">
      <c r="B1918" s="87">
        <v>42283</v>
      </c>
      <c r="C1918" s="22">
        <v>276.89999999999998</v>
      </c>
    </row>
    <row r="1919" spans="2:3" x14ac:dyDescent="0.35">
      <c r="B1919" s="87">
        <v>42284</v>
      </c>
      <c r="C1919" s="22">
        <v>279.60000000000002</v>
      </c>
    </row>
    <row r="1920" spans="2:3" x14ac:dyDescent="0.35">
      <c r="B1920" s="87">
        <v>42285</v>
      </c>
      <c r="C1920" s="22">
        <v>277.8</v>
      </c>
    </row>
    <row r="1921" spans="2:3" x14ac:dyDescent="0.35">
      <c r="B1921" s="87">
        <v>42286</v>
      </c>
      <c r="C1921" s="22">
        <v>279.85000000000002</v>
      </c>
    </row>
    <row r="1922" spans="2:3" x14ac:dyDescent="0.35">
      <c r="B1922" s="87">
        <v>42289</v>
      </c>
      <c r="C1922" s="22">
        <v>279</v>
      </c>
    </row>
    <row r="1923" spans="2:3" x14ac:dyDescent="0.35">
      <c r="B1923" s="87">
        <v>42290</v>
      </c>
      <c r="C1923" s="22">
        <v>271</v>
      </c>
    </row>
    <row r="1924" spans="2:3" x14ac:dyDescent="0.35">
      <c r="B1924" s="87">
        <v>42291</v>
      </c>
      <c r="C1924" s="22">
        <v>272.8</v>
      </c>
    </row>
    <row r="1925" spans="2:3" x14ac:dyDescent="0.35">
      <c r="B1925" s="87">
        <v>42292</v>
      </c>
      <c r="C1925" s="22">
        <v>271.8</v>
      </c>
    </row>
    <row r="1926" spans="2:3" x14ac:dyDescent="0.35">
      <c r="B1926" s="87">
        <v>42293</v>
      </c>
      <c r="C1926" s="22">
        <v>272.64999999999998</v>
      </c>
    </row>
    <row r="1927" spans="2:3" x14ac:dyDescent="0.35">
      <c r="B1927" s="87">
        <v>42296</v>
      </c>
      <c r="C1927" s="22">
        <v>272.45</v>
      </c>
    </row>
    <row r="1928" spans="2:3" x14ac:dyDescent="0.35">
      <c r="B1928" s="87">
        <v>42297</v>
      </c>
      <c r="C1928" s="22">
        <v>271.05</v>
      </c>
    </row>
    <row r="1929" spans="2:3" x14ac:dyDescent="0.35">
      <c r="B1929" s="87">
        <v>42298</v>
      </c>
      <c r="C1929" s="22">
        <v>270.25</v>
      </c>
    </row>
    <row r="1930" spans="2:3" x14ac:dyDescent="0.35">
      <c r="B1930" s="87">
        <v>42300</v>
      </c>
      <c r="C1930" s="22">
        <v>262.89999999999998</v>
      </c>
    </row>
    <row r="1931" spans="2:3" x14ac:dyDescent="0.35">
      <c r="B1931" s="87">
        <v>42303</v>
      </c>
      <c r="C1931" s="22">
        <v>266.7</v>
      </c>
    </row>
    <row r="1932" spans="2:3" x14ac:dyDescent="0.35">
      <c r="B1932" s="87">
        <v>42304</v>
      </c>
      <c r="C1932" s="22">
        <v>271</v>
      </c>
    </row>
    <row r="1933" spans="2:3" x14ac:dyDescent="0.35">
      <c r="B1933" s="87">
        <v>42305</v>
      </c>
      <c r="C1933" s="22">
        <v>271.95</v>
      </c>
    </row>
    <row r="1934" spans="2:3" x14ac:dyDescent="0.35">
      <c r="B1934" s="87">
        <v>42306</v>
      </c>
      <c r="C1934" s="22">
        <v>272.45</v>
      </c>
    </row>
    <row r="1935" spans="2:3" x14ac:dyDescent="0.35">
      <c r="B1935" s="87">
        <v>42307</v>
      </c>
      <c r="C1935" s="22">
        <v>269.75</v>
      </c>
    </row>
    <row r="1936" spans="2:3" x14ac:dyDescent="0.35">
      <c r="B1936" s="87">
        <v>42310</v>
      </c>
      <c r="C1936" s="22">
        <v>270.85000000000002</v>
      </c>
    </row>
    <row r="1937" spans="2:3" x14ac:dyDescent="0.35">
      <c r="B1937" s="87">
        <v>42311</v>
      </c>
      <c r="C1937" s="22">
        <v>270.2</v>
      </c>
    </row>
    <row r="1938" spans="2:3" x14ac:dyDescent="0.35">
      <c r="B1938" s="87">
        <v>42312</v>
      </c>
      <c r="C1938" s="22">
        <v>270.05</v>
      </c>
    </row>
    <row r="1939" spans="2:3" x14ac:dyDescent="0.35">
      <c r="B1939" s="87">
        <v>42313</v>
      </c>
      <c r="C1939" s="22">
        <v>266.25</v>
      </c>
    </row>
    <row r="1940" spans="2:3" x14ac:dyDescent="0.35">
      <c r="B1940" s="87">
        <v>42314</v>
      </c>
      <c r="C1940" s="22">
        <v>267.64999999999998</v>
      </c>
    </row>
    <row r="1941" spans="2:3" x14ac:dyDescent="0.35">
      <c r="B1941" s="87">
        <v>42317</v>
      </c>
      <c r="C1941" s="22">
        <v>266.64999999999998</v>
      </c>
    </row>
    <row r="1942" spans="2:3" x14ac:dyDescent="0.35">
      <c r="B1942" s="87">
        <v>42318</v>
      </c>
      <c r="C1942" s="22">
        <v>264.64999999999998</v>
      </c>
    </row>
    <row r="1943" spans="2:3" x14ac:dyDescent="0.35">
      <c r="B1943" s="87">
        <v>42319</v>
      </c>
      <c r="C1943" s="22">
        <v>266.75</v>
      </c>
    </row>
    <row r="1944" spans="2:3" x14ac:dyDescent="0.35">
      <c r="B1944" s="87">
        <v>42321</v>
      </c>
      <c r="C1944" s="22">
        <v>267.55</v>
      </c>
    </row>
    <row r="1945" spans="2:3" x14ac:dyDescent="0.35">
      <c r="B1945" s="87">
        <v>42324</v>
      </c>
      <c r="C1945" s="22">
        <v>260.89999999999998</v>
      </c>
    </row>
    <row r="1946" spans="2:3" x14ac:dyDescent="0.35">
      <c r="B1946" s="87">
        <v>42325</v>
      </c>
      <c r="C1946" s="22">
        <v>264.05</v>
      </c>
    </row>
    <row r="1947" spans="2:3" x14ac:dyDescent="0.35">
      <c r="B1947" s="87">
        <v>42326</v>
      </c>
      <c r="C1947" s="22">
        <v>269.05</v>
      </c>
    </row>
    <row r="1948" spans="2:3" x14ac:dyDescent="0.35">
      <c r="B1948" s="87">
        <v>42327</v>
      </c>
      <c r="C1948" s="22">
        <v>274</v>
      </c>
    </row>
    <row r="1949" spans="2:3" x14ac:dyDescent="0.35">
      <c r="B1949" s="87">
        <v>42328</v>
      </c>
      <c r="C1949" s="22">
        <v>275.89999999999998</v>
      </c>
    </row>
    <row r="1950" spans="2:3" x14ac:dyDescent="0.35">
      <c r="B1950" s="87">
        <v>42331</v>
      </c>
      <c r="C1950" s="22">
        <v>274.8</v>
      </c>
    </row>
    <row r="1951" spans="2:3" x14ac:dyDescent="0.35">
      <c r="B1951" s="87">
        <v>42332</v>
      </c>
      <c r="C1951" s="22">
        <v>275.2</v>
      </c>
    </row>
    <row r="1952" spans="2:3" x14ac:dyDescent="0.35">
      <c r="B1952" s="87">
        <v>42334</v>
      </c>
      <c r="C1952" s="22">
        <v>279.8</v>
      </c>
    </row>
    <row r="1953" spans="2:3" x14ac:dyDescent="0.35">
      <c r="B1953" s="87">
        <v>42335</v>
      </c>
      <c r="C1953" s="22">
        <v>275.7</v>
      </c>
    </row>
    <row r="1954" spans="2:3" x14ac:dyDescent="0.35">
      <c r="B1954" s="87">
        <v>42338</v>
      </c>
      <c r="C1954" s="22">
        <v>272.55</v>
      </c>
    </row>
    <row r="1955" spans="2:3" x14ac:dyDescent="0.35">
      <c r="B1955" s="87">
        <v>42339</v>
      </c>
      <c r="C1955" s="22">
        <v>278.5</v>
      </c>
    </row>
    <row r="1956" spans="2:3" x14ac:dyDescent="0.35">
      <c r="B1956" s="87">
        <v>42340</v>
      </c>
      <c r="C1956" s="22">
        <v>283.89999999999998</v>
      </c>
    </row>
    <row r="1957" spans="2:3" x14ac:dyDescent="0.35">
      <c r="B1957" s="87">
        <v>42341</v>
      </c>
      <c r="C1957" s="22">
        <v>276.85000000000002</v>
      </c>
    </row>
    <row r="1958" spans="2:3" x14ac:dyDescent="0.35">
      <c r="B1958" s="87">
        <v>42342</v>
      </c>
      <c r="C1958" s="22">
        <v>271.7</v>
      </c>
    </row>
    <row r="1959" spans="2:3" x14ac:dyDescent="0.35">
      <c r="B1959" s="87">
        <v>42345</v>
      </c>
      <c r="C1959" s="22">
        <v>276.25</v>
      </c>
    </row>
    <row r="1960" spans="2:3" x14ac:dyDescent="0.35">
      <c r="B1960" s="87">
        <v>42346</v>
      </c>
      <c r="C1960" s="22">
        <v>275.10000000000002</v>
      </c>
    </row>
    <row r="1961" spans="2:3" x14ac:dyDescent="0.35">
      <c r="B1961" s="87">
        <v>42347</v>
      </c>
      <c r="C1961" s="22">
        <v>269.89999999999998</v>
      </c>
    </row>
    <row r="1962" spans="2:3" x14ac:dyDescent="0.35">
      <c r="B1962" s="87">
        <v>42348</v>
      </c>
      <c r="C1962" s="22">
        <v>269.45</v>
      </c>
    </row>
    <row r="1963" spans="2:3" x14ac:dyDescent="0.35">
      <c r="B1963" s="87">
        <v>42349</v>
      </c>
      <c r="C1963" s="22">
        <v>268</v>
      </c>
    </row>
    <row r="1964" spans="2:3" x14ac:dyDescent="0.35">
      <c r="B1964" s="87">
        <v>42352</v>
      </c>
      <c r="C1964" s="22">
        <v>265.89999999999998</v>
      </c>
    </row>
    <row r="1965" spans="2:3" x14ac:dyDescent="0.35">
      <c r="B1965" s="87">
        <v>42353</v>
      </c>
      <c r="C1965" s="22">
        <v>272.55</v>
      </c>
    </row>
    <row r="1966" spans="2:3" x14ac:dyDescent="0.35">
      <c r="B1966" s="87">
        <v>42354</v>
      </c>
      <c r="C1966" s="22">
        <v>269.7</v>
      </c>
    </row>
    <row r="1967" spans="2:3" x14ac:dyDescent="0.35">
      <c r="B1967" s="87">
        <v>42355</v>
      </c>
      <c r="C1967" s="22">
        <v>275.5</v>
      </c>
    </row>
    <row r="1968" spans="2:3" x14ac:dyDescent="0.35">
      <c r="B1968" s="87">
        <v>42356</v>
      </c>
      <c r="C1968" s="22">
        <v>274</v>
      </c>
    </row>
    <row r="1969" spans="2:3" x14ac:dyDescent="0.35">
      <c r="B1969" s="87">
        <v>42359</v>
      </c>
      <c r="C1969" s="22">
        <v>277.45</v>
      </c>
    </row>
    <row r="1970" spans="2:3" x14ac:dyDescent="0.35">
      <c r="B1970" s="87">
        <v>42360</v>
      </c>
      <c r="C1970" s="22">
        <v>278.10000000000002</v>
      </c>
    </row>
    <row r="1971" spans="2:3" x14ac:dyDescent="0.35">
      <c r="B1971" s="87">
        <v>42361</v>
      </c>
      <c r="C1971" s="22">
        <v>279.45</v>
      </c>
    </row>
    <row r="1972" spans="2:3" x14ac:dyDescent="0.35">
      <c r="B1972" s="87">
        <v>42362</v>
      </c>
      <c r="C1972" s="22">
        <v>276.7</v>
      </c>
    </row>
    <row r="1973" spans="2:3" x14ac:dyDescent="0.35">
      <c r="B1973" s="87">
        <v>42366</v>
      </c>
      <c r="C1973" s="22">
        <v>277.2</v>
      </c>
    </row>
    <row r="1974" spans="2:3" x14ac:dyDescent="0.35">
      <c r="B1974" s="87">
        <v>42367</v>
      </c>
      <c r="C1974" s="22">
        <v>277.3</v>
      </c>
    </row>
    <row r="1975" spans="2:3" x14ac:dyDescent="0.35">
      <c r="B1975" s="87">
        <v>42368</v>
      </c>
      <c r="C1975" s="22">
        <v>275</v>
      </c>
    </row>
    <row r="1976" spans="2:3" x14ac:dyDescent="0.35">
      <c r="B1976" s="87">
        <v>42369</v>
      </c>
      <c r="C1976" s="22">
        <v>276.95</v>
      </c>
    </row>
    <row r="1977" spans="2:3" x14ac:dyDescent="0.35">
      <c r="B1977" s="87">
        <v>42370</v>
      </c>
      <c r="C1977" s="22">
        <v>276.39999999999998</v>
      </c>
    </row>
    <row r="1978" spans="2:3" x14ac:dyDescent="0.35">
      <c r="B1978" s="87">
        <v>42373</v>
      </c>
      <c r="C1978" s="22">
        <v>276.89999999999998</v>
      </c>
    </row>
    <row r="1979" spans="2:3" x14ac:dyDescent="0.35">
      <c r="B1979" s="87">
        <v>42374</v>
      </c>
      <c r="C1979" s="22">
        <v>275.95</v>
      </c>
    </row>
    <row r="1980" spans="2:3" x14ac:dyDescent="0.35">
      <c r="B1980" s="87">
        <v>42375</v>
      </c>
      <c r="C1980" s="22">
        <v>275.89999999999998</v>
      </c>
    </row>
    <row r="1981" spans="2:3" x14ac:dyDescent="0.35">
      <c r="B1981" s="87">
        <v>42376</v>
      </c>
      <c r="C1981" s="22">
        <v>267.7</v>
      </c>
    </row>
    <row r="1982" spans="2:3" x14ac:dyDescent="0.35">
      <c r="B1982" s="87">
        <v>42377</v>
      </c>
      <c r="C1982" s="22">
        <v>269.05</v>
      </c>
    </row>
    <row r="1983" spans="2:3" x14ac:dyDescent="0.35">
      <c r="B1983" s="87">
        <v>42380</v>
      </c>
      <c r="C1983" s="22">
        <v>263.10000000000002</v>
      </c>
    </row>
    <row r="1984" spans="2:3" x14ac:dyDescent="0.35">
      <c r="B1984" s="87">
        <v>42381</v>
      </c>
      <c r="C1984" s="22">
        <v>254.9</v>
      </c>
    </row>
    <row r="1985" spans="2:3" x14ac:dyDescent="0.35">
      <c r="B1985" s="87">
        <v>42382</v>
      </c>
      <c r="C1985" s="22">
        <v>256.85000000000002</v>
      </c>
    </row>
    <row r="1986" spans="2:3" x14ac:dyDescent="0.35">
      <c r="B1986" s="87">
        <v>42383</v>
      </c>
      <c r="C1986" s="22">
        <v>259.8</v>
      </c>
    </row>
    <row r="1987" spans="2:3" x14ac:dyDescent="0.35">
      <c r="B1987" s="87">
        <v>42384</v>
      </c>
      <c r="C1987" s="22">
        <v>250.3</v>
      </c>
    </row>
    <row r="1988" spans="2:3" x14ac:dyDescent="0.35">
      <c r="B1988" s="87">
        <v>42387</v>
      </c>
      <c r="C1988" s="22">
        <v>247.3</v>
      </c>
    </row>
    <row r="1989" spans="2:3" x14ac:dyDescent="0.35">
      <c r="B1989" s="87">
        <v>42388</v>
      </c>
      <c r="C1989" s="22">
        <v>249.55</v>
      </c>
    </row>
    <row r="1990" spans="2:3" x14ac:dyDescent="0.35">
      <c r="B1990" s="87">
        <v>42389</v>
      </c>
      <c r="C1990" s="22">
        <v>249.25</v>
      </c>
    </row>
    <row r="1991" spans="2:3" x14ac:dyDescent="0.35">
      <c r="B1991" s="87">
        <v>42390</v>
      </c>
      <c r="C1991" s="22">
        <v>240.4</v>
      </c>
    </row>
    <row r="1992" spans="2:3" x14ac:dyDescent="0.35">
      <c r="B1992" s="87">
        <v>42391</v>
      </c>
      <c r="C1992" s="22">
        <v>240.95</v>
      </c>
    </row>
    <row r="1993" spans="2:3" x14ac:dyDescent="0.35">
      <c r="B1993" s="87">
        <v>42394</v>
      </c>
      <c r="C1993" s="22">
        <v>237.25</v>
      </c>
    </row>
    <row r="1994" spans="2:3" x14ac:dyDescent="0.35">
      <c r="B1994" s="87">
        <v>42396</v>
      </c>
      <c r="C1994" s="22">
        <v>236.85</v>
      </c>
    </row>
    <row r="1995" spans="2:3" x14ac:dyDescent="0.35">
      <c r="B1995" s="87">
        <v>42397</v>
      </c>
      <c r="C1995" s="22">
        <v>243.5</v>
      </c>
    </row>
    <row r="1996" spans="2:3" x14ac:dyDescent="0.35">
      <c r="B1996" s="87">
        <v>42398</v>
      </c>
      <c r="C1996" s="22">
        <v>250.65</v>
      </c>
    </row>
    <row r="1997" spans="2:3" x14ac:dyDescent="0.35">
      <c r="B1997" s="87">
        <v>42401</v>
      </c>
      <c r="C1997" s="22">
        <v>251.05</v>
      </c>
    </row>
    <row r="1998" spans="2:3" x14ac:dyDescent="0.35">
      <c r="B1998" s="87">
        <v>42402</v>
      </c>
      <c r="C1998" s="22">
        <v>241.15</v>
      </c>
    </row>
    <row r="1999" spans="2:3" x14ac:dyDescent="0.35">
      <c r="B1999" s="87">
        <v>42403</v>
      </c>
      <c r="C1999" s="22">
        <v>243.45</v>
      </c>
    </row>
    <row r="2000" spans="2:3" x14ac:dyDescent="0.35">
      <c r="B2000" s="87">
        <v>42404</v>
      </c>
      <c r="C2000" s="22">
        <v>247.25</v>
      </c>
    </row>
    <row r="2001" spans="2:3" x14ac:dyDescent="0.35">
      <c r="B2001" s="87">
        <v>42405</v>
      </c>
      <c r="C2001" s="22">
        <v>251.3</v>
      </c>
    </row>
    <row r="2002" spans="2:3" x14ac:dyDescent="0.35">
      <c r="B2002" s="87">
        <v>42408</v>
      </c>
      <c r="C2002" s="22">
        <v>250.95</v>
      </c>
    </row>
    <row r="2003" spans="2:3" x14ac:dyDescent="0.35">
      <c r="B2003" s="87">
        <v>42409</v>
      </c>
      <c r="C2003" s="22">
        <v>249.25</v>
      </c>
    </row>
    <row r="2004" spans="2:3" x14ac:dyDescent="0.35">
      <c r="B2004" s="87">
        <v>42410</v>
      </c>
      <c r="C2004" s="22">
        <v>242.9</v>
      </c>
    </row>
    <row r="2005" spans="2:3" x14ac:dyDescent="0.35">
      <c r="B2005" s="87">
        <v>42411</v>
      </c>
      <c r="C2005" s="22">
        <v>239.15</v>
      </c>
    </row>
    <row r="2006" spans="2:3" x14ac:dyDescent="0.35">
      <c r="B2006" s="87">
        <v>42412</v>
      </c>
      <c r="C2006" s="22">
        <v>247.8</v>
      </c>
    </row>
    <row r="2007" spans="2:3" x14ac:dyDescent="0.35">
      <c r="B2007" s="87">
        <v>42415</v>
      </c>
      <c r="C2007" s="22">
        <v>248.9</v>
      </c>
    </row>
    <row r="2008" spans="2:3" x14ac:dyDescent="0.35">
      <c r="B2008" s="87">
        <v>42416</v>
      </c>
      <c r="C2008" s="22">
        <v>245.1</v>
      </c>
    </row>
    <row r="2009" spans="2:3" x14ac:dyDescent="0.35">
      <c r="B2009" s="87">
        <v>42417</v>
      </c>
      <c r="C2009" s="22">
        <v>241.45</v>
      </c>
    </row>
    <row r="2010" spans="2:3" x14ac:dyDescent="0.35">
      <c r="B2010" s="87">
        <v>42418</v>
      </c>
      <c r="C2010" s="22">
        <v>243.75</v>
      </c>
    </row>
    <row r="2011" spans="2:3" x14ac:dyDescent="0.35">
      <c r="B2011" s="87">
        <v>42419</v>
      </c>
      <c r="C2011" s="22">
        <v>244.4</v>
      </c>
    </row>
    <row r="2012" spans="2:3" x14ac:dyDescent="0.35">
      <c r="B2012" s="87">
        <v>42422</v>
      </c>
      <c r="C2012" s="22">
        <v>248.6</v>
      </c>
    </row>
    <row r="2013" spans="2:3" x14ac:dyDescent="0.35">
      <c r="B2013" s="87">
        <v>42423</v>
      </c>
      <c r="C2013" s="22">
        <v>238.9</v>
      </c>
    </row>
    <row r="2014" spans="2:3" x14ac:dyDescent="0.35">
      <c r="B2014" s="87">
        <v>42424</v>
      </c>
      <c r="C2014" s="22">
        <v>236.35</v>
      </c>
    </row>
    <row r="2015" spans="2:3" x14ac:dyDescent="0.35">
      <c r="B2015" s="87">
        <v>42425</v>
      </c>
      <c r="C2015" s="22">
        <v>238.6</v>
      </c>
    </row>
    <row r="2016" spans="2:3" x14ac:dyDescent="0.35">
      <c r="B2016" s="87">
        <v>42426</v>
      </c>
      <c r="C2016" s="22">
        <v>241.3</v>
      </c>
    </row>
    <row r="2017" spans="2:3" x14ac:dyDescent="0.35">
      <c r="B2017" s="87">
        <v>42429</v>
      </c>
      <c r="C2017" s="22">
        <v>237.15</v>
      </c>
    </row>
    <row r="2018" spans="2:3" x14ac:dyDescent="0.35">
      <c r="B2018" s="87">
        <v>42430</v>
      </c>
      <c r="C2018" s="22">
        <v>241.95</v>
      </c>
    </row>
    <row r="2019" spans="2:3" x14ac:dyDescent="0.35">
      <c r="B2019" s="87">
        <v>42431</v>
      </c>
      <c r="C2019" s="22">
        <v>243.55</v>
      </c>
    </row>
    <row r="2020" spans="2:3" x14ac:dyDescent="0.35">
      <c r="B2020" s="87">
        <v>42432</v>
      </c>
      <c r="C2020" s="22">
        <v>245.1</v>
      </c>
    </row>
    <row r="2021" spans="2:3" x14ac:dyDescent="0.35">
      <c r="B2021" s="87">
        <v>42433</v>
      </c>
      <c r="C2021" s="22">
        <v>249.55</v>
      </c>
    </row>
    <row r="2022" spans="2:3" x14ac:dyDescent="0.35">
      <c r="B2022" s="87">
        <v>42437</v>
      </c>
      <c r="C2022" s="22">
        <v>248.6</v>
      </c>
    </row>
    <row r="2023" spans="2:3" x14ac:dyDescent="0.35">
      <c r="B2023" s="87">
        <v>42438</v>
      </c>
      <c r="C2023" s="22">
        <v>245.85</v>
      </c>
    </row>
    <row r="2024" spans="2:3" x14ac:dyDescent="0.35">
      <c r="B2024" s="87">
        <v>42439</v>
      </c>
      <c r="C2024" s="22">
        <v>245.95</v>
      </c>
    </row>
    <row r="2025" spans="2:3" x14ac:dyDescent="0.35">
      <c r="B2025" s="87">
        <v>42440</v>
      </c>
      <c r="C2025" s="22">
        <v>249.85</v>
      </c>
    </row>
    <row r="2026" spans="2:3" x14ac:dyDescent="0.35">
      <c r="B2026" s="87">
        <v>42443</v>
      </c>
      <c r="C2026" s="22">
        <v>251.05</v>
      </c>
    </row>
    <row r="2027" spans="2:3" x14ac:dyDescent="0.35">
      <c r="B2027" s="87">
        <v>42444</v>
      </c>
      <c r="C2027" s="22">
        <v>247.4</v>
      </c>
    </row>
    <row r="2028" spans="2:3" x14ac:dyDescent="0.35">
      <c r="B2028" s="87">
        <v>42445</v>
      </c>
      <c r="C2028" s="22">
        <v>247.25</v>
      </c>
    </row>
    <row r="2029" spans="2:3" x14ac:dyDescent="0.35">
      <c r="B2029" s="87">
        <v>42446</v>
      </c>
      <c r="C2029" s="22">
        <v>247.95</v>
      </c>
    </row>
    <row r="2030" spans="2:3" x14ac:dyDescent="0.35">
      <c r="B2030" s="87">
        <v>42447</v>
      </c>
      <c r="C2030" s="22">
        <v>249.6</v>
      </c>
    </row>
    <row r="2031" spans="2:3" x14ac:dyDescent="0.35">
      <c r="B2031" s="87">
        <v>42450</v>
      </c>
      <c r="C2031" s="22">
        <v>253.1</v>
      </c>
    </row>
    <row r="2032" spans="2:3" x14ac:dyDescent="0.35">
      <c r="B2032" s="87">
        <v>42451</v>
      </c>
      <c r="C2032" s="22">
        <v>249.65</v>
      </c>
    </row>
    <row r="2033" spans="2:3" x14ac:dyDescent="0.35">
      <c r="B2033" s="87">
        <v>42452</v>
      </c>
      <c r="C2033" s="22">
        <v>248.95</v>
      </c>
    </row>
    <row r="2034" spans="2:3" x14ac:dyDescent="0.35">
      <c r="B2034" s="87">
        <v>42457</v>
      </c>
      <c r="C2034" s="22">
        <v>243.55</v>
      </c>
    </row>
    <row r="2035" spans="2:3" x14ac:dyDescent="0.35">
      <c r="B2035" s="87">
        <v>42458</v>
      </c>
      <c r="C2035" s="22">
        <v>245.1</v>
      </c>
    </row>
    <row r="2036" spans="2:3" x14ac:dyDescent="0.35">
      <c r="B2036" s="87">
        <v>42459</v>
      </c>
      <c r="C2036" s="22">
        <v>246.75</v>
      </c>
    </row>
    <row r="2037" spans="2:3" x14ac:dyDescent="0.35">
      <c r="B2037" s="87">
        <v>42460</v>
      </c>
      <c r="C2037" s="22">
        <v>249.9</v>
      </c>
    </row>
    <row r="2038" spans="2:3" x14ac:dyDescent="0.35">
      <c r="B2038" s="87">
        <v>42461</v>
      </c>
      <c r="C2038" s="22">
        <v>250.5</v>
      </c>
    </row>
    <row r="2039" spans="2:3" x14ac:dyDescent="0.35">
      <c r="B2039" s="87">
        <v>42464</v>
      </c>
      <c r="C2039" s="22">
        <v>249.55</v>
      </c>
    </row>
    <row r="2040" spans="2:3" x14ac:dyDescent="0.35">
      <c r="B2040" s="87">
        <v>42465</v>
      </c>
      <c r="C2040" s="22">
        <v>246</v>
      </c>
    </row>
    <row r="2041" spans="2:3" x14ac:dyDescent="0.35">
      <c r="B2041" s="87">
        <v>42466</v>
      </c>
      <c r="C2041" s="22">
        <v>247.8</v>
      </c>
    </row>
    <row r="2042" spans="2:3" x14ac:dyDescent="0.35">
      <c r="B2042" s="87">
        <v>42467</v>
      </c>
      <c r="C2042" s="22">
        <v>247.7</v>
      </c>
    </row>
    <row r="2043" spans="2:3" x14ac:dyDescent="0.35">
      <c r="B2043" s="87">
        <v>42468</v>
      </c>
      <c r="C2043" s="22">
        <v>250.05</v>
      </c>
    </row>
    <row r="2044" spans="2:3" x14ac:dyDescent="0.35">
      <c r="B2044" s="87">
        <v>42471</v>
      </c>
      <c r="C2044" s="22">
        <v>253.4</v>
      </c>
    </row>
    <row r="2045" spans="2:3" x14ac:dyDescent="0.35">
      <c r="B2045" s="87">
        <v>42472</v>
      </c>
      <c r="C2045" s="22">
        <v>262.8</v>
      </c>
    </row>
    <row r="2046" spans="2:3" x14ac:dyDescent="0.35">
      <c r="B2046" s="87">
        <v>42473</v>
      </c>
      <c r="C2046" s="22">
        <v>267.55</v>
      </c>
    </row>
    <row r="2047" spans="2:3" x14ac:dyDescent="0.35">
      <c r="B2047" s="87">
        <v>42478</v>
      </c>
      <c r="C2047" s="22">
        <v>273.64999999999998</v>
      </c>
    </row>
    <row r="2048" spans="2:3" x14ac:dyDescent="0.35">
      <c r="B2048" s="87">
        <v>42480</v>
      </c>
      <c r="C2048" s="22">
        <v>267.25</v>
      </c>
    </row>
    <row r="2049" spans="2:3" x14ac:dyDescent="0.35">
      <c r="B2049" s="87">
        <v>42481</v>
      </c>
      <c r="C2049" s="22">
        <v>267.2</v>
      </c>
    </row>
    <row r="2050" spans="2:3" x14ac:dyDescent="0.35">
      <c r="B2050" s="87">
        <v>42482</v>
      </c>
      <c r="C2050" s="22">
        <v>264.89999999999998</v>
      </c>
    </row>
    <row r="2051" spans="2:3" x14ac:dyDescent="0.35">
      <c r="B2051" s="87">
        <v>42485</v>
      </c>
      <c r="C2051" s="22">
        <v>266.8</v>
      </c>
    </row>
    <row r="2052" spans="2:3" x14ac:dyDescent="0.35">
      <c r="B2052" s="87">
        <v>42486</v>
      </c>
      <c r="C2052" s="22">
        <v>266.55</v>
      </c>
    </row>
    <row r="2053" spans="2:3" x14ac:dyDescent="0.35">
      <c r="B2053" s="87">
        <v>42487</v>
      </c>
      <c r="C2053" s="22">
        <v>272.5</v>
      </c>
    </row>
    <row r="2054" spans="2:3" x14ac:dyDescent="0.35">
      <c r="B2054" s="87">
        <v>42488</v>
      </c>
      <c r="C2054" s="22">
        <v>269.64999999999998</v>
      </c>
    </row>
    <row r="2055" spans="2:3" x14ac:dyDescent="0.35">
      <c r="B2055" s="87">
        <v>42489</v>
      </c>
      <c r="C2055" s="22">
        <v>275.8</v>
      </c>
    </row>
    <row r="2056" spans="2:3" x14ac:dyDescent="0.35">
      <c r="B2056" s="87">
        <v>42492</v>
      </c>
      <c r="C2056" s="22">
        <v>296.14999999999998</v>
      </c>
    </row>
    <row r="2057" spans="2:3" x14ac:dyDescent="0.35">
      <c r="B2057" s="87">
        <v>42493</v>
      </c>
      <c r="C2057" s="22">
        <v>290.39999999999998</v>
      </c>
    </row>
    <row r="2058" spans="2:3" x14ac:dyDescent="0.35">
      <c r="B2058" s="87">
        <v>42494</v>
      </c>
      <c r="C2058" s="22">
        <v>281.25</v>
      </c>
    </row>
    <row r="2059" spans="2:3" x14ac:dyDescent="0.35">
      <c r="B2059" s="87">
        <v>42495</v>
      </c>
      <c r="C2059" s="22">
        <v>282.60000000000002</v>
      </c>
    </row>
    <row r="2060" spans="2:3" x14ac:dyDescent="0.35">
      <c r="B2060" s="87">
        <v>42496</v>
      </c>
      <c r="C2060" s="22">
        <v>290.2</v>
      </c>
    </row>
    <row r="2061" spans="2:3" x14ac:dyDescent="0.35">
      <c r="B2061" s="87">
        <v>42499</v>
      </c>
      <c r="C2061" s="22">
        <v>287.75</v>
      </c>
    </row>
    <row r="2062" spans="2:3" x14ac:dyDescent="0.35">
      <c r="B2062" s="87">
        <v>42500</v>
      </c>
      <c r="C2062" s="22">
        <v>290.14999999999998</v>
      </c>
    </row>
    <row r="2063" spans="2:3" x14ac:dyDescent="0.35">
      <c r="B2063" s="87">
        <v>42501</v>
      </c>
      <c r="C2063" s="22">
        <v>293.10000000000002</v>
      </c>
    </row>
    <row r="2064" spans="2:3" x14ac:dyDescent="0.35">
      <c r="B2064" s="87">
        <v>42502</v>
      </c>
      <c r="C2064" s="22">
        <v>291.39999999999998</v>
      </c>
    </row>
    <row r="2065" spans="2:3" x14ac:dyDescent="0.35">
      <c r="B2065" s="87">
        <v>42503</v>
      </c>
      <c r="C2065" s="22">
        <v>289.5</v>
      </c>
    </row>
    <row r="2066" spans="2:3" x14ac:dyDescent="0.35">
      <c r="B2066" s="87">
        <v>42506</v>
      </c>
      <c r="C2066" s="22">
        <v>284.95</v>
      </c>
    </row>
    <row r="2067" spans="2:3" x14ac:dyDescent="0.35">
      <c r="B2067" s="87">
        <v>42507</v>
      </c>
      <c r="C2067" s="22">
        <v>281.2</v>
      </c>
    </row>
    <row r="2068" spans="2:3" x14ac:dyDescent="0.35">
      <c r="B2068" s="87">
        <v>42508</v>
      </c>
      <c r="C2068" s="22">
        <v>286.35000000000002</v>
      </c>
    </row>
    <row r="2069" spans="2:3" x14ac:dyDescent="0.35">
      <c r="B2069" s="87">
        <v>42509</v>
      </c>
      <c r="C2069" s="22">
        <v>281.55</v>
      </c>
    </row>
    <row r="2070" spans="2:3" x14ac:dyDescent="0.35">
      <c r="B2070" s="87">
        <v>42510</v>
      </c>
      <c r="C2070" s="22">
        <v>277.10000000000002</v>
      </c>
    </row>
    <row r="2071" spans="2:3" x14ac:dyDescent="0.35">
      <c r="B2071" s="87">
        <v>42513</v>
      </c>
      <c r="C2071" s="22">
        <v>285.60000000000002</v>
      </c>
    </row>
    <row r="2072" spans="2:3" x14ac:dyDescent="0.35">
      <c r="B2072" s="87">
        <v>42514</v>
      </c>
      <c r="C2072" s="22">
        <v>283.10000000000002</v>
      </c>
    </row>
    <row r="2073" spans="2:3" x14ac:dyDescent="0.35">
      <c r="B2073" s="87">
        <v>42515</v>
      </c>
      <c r="C2073" s="22">
        <v>288.7</v>
      </c>
    </row>
    <row r="2074" spans="2:3" x14ac:dyDescent="0.35">
      <c r="B2074" s="87">
        <v>42516</v>
      </c>
      <c r="C2074" s="22">
        <v>294.39999999999998</v>
      </c>
    </row>
    <row r="2075" spans="2:3" x14ac:dyDescent="0.35">
      <c r="B2075" s="87">
        <v>42517</v>
      </c>
      <c r="C2075" s="22">
        <v>295.8</v>
      </c>
    </row>
    <row r="2076" spans="2:3" x14ac:dyDescent="0.35">
      <c r="B2076" s="87">
        <v>42520</v>
      </c>
      <c r="C2076" s="22">
        <v>298.3</v>
      </c>
    </row>
    <row r="2077" spans="2:3" x14ac:dyDescent="0.35">
      <c r="B2077" s="87">
        <v>42521</v>
      </c>
      <c r="C2077" s="22">
        <v>289.7</v>
      </c>
    </row>
    <row r="2078" spans="2:3" x14ac:dyDescent="0.35">
      <c r="B2078" s="87">
        <v>42522</v>
      </c>
      <c r="C2078" s="22">
        <v>290.10000000000002</v>
      </c>
    </row>
    <row r="2079" spans="2:3" x14ac:dyDescent="0.35">
      <c r="B2079" s="87">
        <v>42523</v>
      </c>
      <c r="C2079" s="22">
        <v>299.3</v>
      </c>
    </row>
    <row r="2080" spans="2:3" x14ac:dyDescent="0.35">
      <c r="B2080" s="87">
        <v>42524</v>
      </c>
      <c r="C2080" s="22">
        <v>305.89999999999998</v>
      </c>
    </row>
    <row r="2081" spans="2:3" x14ac:dyDescent="0.35">
      <c r="B2081" s="87">
        <v>42527</v>
      </c>
      <c r="C2081" s="22">
        <v>303.25</v>
      </c>
    </row>
    <row r="2082" spans="2:3" x14ac:dyDescent="0.35">
      <c r="B2082" s="87">
        <v>42528</v>
      </c>
      <c r="C2082" s="22">
        <v>307.60000000000002</v>
      </c>
    </row>
    <row r="2083" spans="2:3" x14ac:dyDescent="0.35">
      <c r="B2083" s="87">
        <v>42529</v>
      </c>
      <c r="C2083" s="22">
        <v>307.64999999999998</v>
      </c>
    </row>
    <row r="2084" spans="2:3" x14ac:dyDescent="0.35">
      <c r="B2084" s="87">
        <v>42530</v>
      </c>
      <c r="C2084" s="22">
        <v>303.35000000000002</v>
      </c>
    </row>
    <row r="2085" spans="2:3" x14ac:dyDescent="0.35">
      <c r="B2085" s="87">
        <v>42531</v>
      </c>
      <c r="C2085" s="22">
        <v>301.55</v>
      </c>
    </row>
    <row r="2086" spans="2:3" x14ac:dyDescent="0.35">
      <c r="B2086" s="87">
        <v>42534</v>
      </c>
      <c r="C2086" s="22">
        <v>303.45</v>
      </c>
    </row>
    <row r="2087" spans="2:3" x14ac:dyDescent="0.35">
      <c r="B2087" s="87">
        <v>42535</v>
      </c>
      <c r="C2087" s="22">
        <v>307.89999999999998</v>
      </c>
    </row>
    <row r="2088" spans="2:3" x14ac:dyDescent="0.35">
      <c r="B2088" s="87">
        <v>42536</v>
      </c>
      <c r="C2088" s="22">
        <v>312.25</v>
      </c>
    </row>
    <row r="2089" spans="2:3" x14ac:dyDescent="0.35">
      <c r="B2089" s="87">
        <v>42537</v>
      </c>
      <c r="C2089" s="22">
        <v>314.10000000000002</v>
      </c>
    </row>
    <row r="2090" spans="2:3" x14ac:dyDescent="0.35">
      <c r="B2090" s="87">
        <v>42538</v>
      </c>
      <c r="C2090" s="22">
        <v>315.14999999999998</v>
      </c>
    </row>
    <row r="2091" spans="2:3" x14ac:dyDescent="0.35">
      <c r="B2091" s="87">
        <v>42541</v>
      </c>
      <c r="C2091" s="22">
        <v>313.25</v>
      </c>
    </row>
    <row r="2092" spans="2:3" x14ac:dyDescent="0.35">
      <c r="B2092" s="87">
        <v>42542</v>
      </c>
      <c r="C2092" s="22">
        <v>309.8</v>
      </c>
    </row>
    <row r="2093" spans="2:3" x14ac:dyDescent="0.35">
      <c r="B2093" s="87">
        <v>42543</v>
      </c>
      <c r="C2093" s="22">
        <v>309.8</v>
      </c>
    </row>
    <row r="2094" spans="2:3" x14ac:dyDescent="0.35">
      <c r="B2094" s="87">
        <v>42544</v>
      </c>
      <c r="C2094" s="22">
        <v>306.7</v>
      </c>
    </row>
    <row r="2095" spans="2:3" x14ac:dyDescent="0.35">
      <c r="B2095" s="87">
        <v>42545</v>
      </c>
      <c r="C2095" s="22">
        <v>310.85000000000002</v>
      </c>
    </row>
    <row r="2096" spans="2:3" x14ac:dyDescent="0.35">
      <c r="B2096" s="87">
        <v>42548</v>
      </c>
      <c r="C2096" s="22">
        <v>318.89999999999998</v>
      </c>
    </row>
    <row r="2097" spans="2:3" x14ac:dyDescent="0.35">
      <c r="B2097" s="87">
        <v>42549</v>
      </c>
      <c r="C2097" s="22">
        <v>313</v>
      </c>
    </row>
    <row r="2098" spans="2:3" x14ac:dyDescent="0.35">
      <c r="B2098" s="87">
        <v>42550</v>
      </c>
      <c r="C2098" s="22">
        <v>304.39999999999998</v>
      </c>
    </row>
    <row r="2099" spans="2:3" x14ac:dyDescent="0.35">
      <c r="B2099" s="87">
        <v>42551</v>
      </c>
      <c r="C2099" s="22">
        <v>308.64999999999998</v>
      </c>
    </row>
    <row r="2100" spans="2:3" x14ac:dyDescent="0.35">
      <c r="B2100" s="87">
        <v>42552</v>
      </c>
      <c r="C2100" s="22">
        <v>310.8</v>
      </c>
    </row>
    <row r="2101" spans="2:3" x14ac:dyDescent="0.35">
      <c r="B2101" s="87">
        <v>42555</v>
      </c>
      <c r="C2101" s="22">
        <v>307.95</v>
      </c>
    </row>
    <row r="2102" spans="2:3" x14ac:dyDescent="0.35">
      <c r="B2102" s="87">
        <v>42556</v>
      </c>
      <c r="C2102" s="22">
        <v>308</v>
      </c>
    </row>
    <row r="2103" spans="2:3" x14ac:dyDescent="0.35">
      <c r="B2103" s="87">
        <v>42558</v>
      </c>
      <c r="C2103" s="22">
        <v>314.60000000000002</v>
      </c>
    </row>
    <row r="2104" spans="2:3" x14ac:dyDescent="0.35">
      <c r="B2104" s="87">
        <v>42559</v>
      </c>
      <c r="C2104" s="22">
        <v>312.8</v>
      </c>
    </row>
    <row r="2105" spans="2:3" x14ac:dyDescent="0.35">
      <c r="B2105" s="87">
        <v>42562</v>
      </c>
      <c r="C2105" s="22">
        <v>315.10000000000002</v>
      </c>
    </row>
    <row r="2106" spans="2:3" x14ac:dyDescent="0.35">
      <c r="B2106" s="87">
        <v>42563</v>
      </c>
      <c r="C2106" s="22">
        <v>313.89999999999998</v>
      </c>
    </row>
    <row r="2107" spans="2:3" x14ac:dyDescent="0.35">
      <c r="B2107" s="87">
        <v>42564</v>
      </c>
      <c r="C2107" s="22">
        <v>317.2</v>
      </c>
    </row>
    <row r="2108" spans="2:3" x14ac:dyDescent="0.35">
      <c r="B2108" s="87">
        <v>42565</v>
      </c>
      <c r="C2108" s="22">
        <v>313.75</v>
      </c>
    </row>
    <row r="2109" spans="2:3" x14ac:dyDescent="0.35">
      <c r="B2109" s="87">
        <v>42566</v>
      </c>
      <c r="C2109" s="22">
        <v>312</v>
      </c>
    </row>
    <row r="2110" spans="2:3" x14ac:dyDescent="0.35">
      <c r="B2110" s="87">
        <v>42569</v>
      </c>
      <c r="C2110" s="22">
        <v>313.75</v>
      </c>
    </row>
    <row r="2111" spans="2:3" x14ac:dyDescent="0.35">
      <c r="B2111" s="87">
        <v>42570</v>
      </c>
      <c r="C2111" s="22">
        <v>310.75</v>
      </c>
    </row>
    <row r="2112" spans="2:3" x14ac:dyDescent="0.35">
      <c r="B2112" s="87">
        <v>42571</v>
      </c>
      <c r="C2112" s="22">
        <v>304</v>
      </c>
    </row>
    <row r="2113" spans="2:3" x14ac:dyDescent="0.35">
      <c r="B2113" s="87">
        <v>42572</v>
      </c>
      <c r="C2113" s="22">
        <v>305.10000000000002</v>
      </c>
    </row>
    <row r="2114" spans="2:3" x14ac:dyDescent="0.35">
      <c r="B2114" s="87">
        <v>42573</v>
      </c>
      <c r="C2114" s="22">
        <v>307.60000000000002</v>
      </c>
    </row>
    <row r="2115" spans="2:3" x14ac:dyDescent="0.35">
      <c r="B2115" s="87">
        <v>42576</v>
      </c>
      <c r="C2115" s="22">
        <v>306.85000000000002</v>
      </c>
    </row>
    <row r="2116" spans="2:3" x14ac:dyDescent="0.35">
      <c r="B2116" s="87">
        <v>42577</v>
      </c>
      <c r="C2116" s="22">
        <v>303</v>
      </c>
    </row>
    <row r="2117" spans="2:3" x14ac:dyDescent="0.35">
      <c r="B2117" s="87">
        <v>42578</v>
      </c>
      <c r="C2117" s="22">
        <v>307.64999999999998</v>
      </c>
    </row>
    <row r="2118" spans="2:3" x14ac:dyDescent="0.35">
      <c r="B2118" s="87">
        <v>42579</v>
      </c>
      <c r="C2118" s="22">
        <v>307.60000000000002</v>
      </c>
    </row>
    <row r="2119" spans="2:3" x14ac:dyDescent="0.35">
      <c r="B2119" s="87">
        <v>42580</v>
      </c>
      <c r="C2119" s="22">
        <v>303.60000000000002</v>
      </c>
    </row>
    <row r="2120" spans="2:3" x14ac:dyDescent="0.35">
      <c r="B2120" s="87">
        <v>42583</v>
      </c>
      <c r="C2120" s="22">
        <v>302</v>
      </c>
    </row>
    <row r="2121" spans="2:3" x14ac:dyDescent="0.35">
      <c r="B2121" s="87">
        <v>42584</v>
      </c>
      <c r="C2121" s="22">
        <v>301.10000000000002</v>
      </c>
    </row>
    <row r="2122" spans="2:3" x14ac:dyDescent="0.35">
      <c r="B2122" s="87">
        <v>42585</v>
      </c>
      <c r="C2122" s="22">
        <v>296.95</v>
      </c>
    </row>
    <row r="2123" spans="2:3" x14ac:dyDescent="0.35">
      <c r="B2123" s="87">
        <v>42586</v>
      </c>
      <c r="C2123" s="22">
        <v>295.64999999999998</v>
      </c>
    </row>
    <row r="2124" spans="2:3" x14ac:dyDescent="0.35">
      <c r="B2124" s="87">
        <v>42587</v>
      </c>
      <c r="C2124" s="22">
        <v>295.75</v>
      </c>
    </row>
    <row r="2125" spans="2:3" x14ac:dyDescent="0.35">
      <c r="B2125" s="87">
        <v>42590</v>
      </c>
      <c r="C2125" s="22">
        <v>292.5</v>
      </c>
    </row>
    <row r="2126" spans="2:3" x14ac:dyDescent="0.35">
      <c r="B2126" s="87">
        <v>42591</v>
      </c>
      <c r="C2126" s="22">
        <v>289.25</v>
      </c>
    </row>
    <row r="2127" spans="2:3" x14ac:dyDescent="0.35">
      <c r="B2127" s="87">
        <v>42592</v>
      </c>
      <c r="C2127" s="22">
        <v>286.05</v>
      </c>
    </row>
    <row r="2128" spans="2:3" x14ac:dyDescent="0.35">
      <c r="B2128" s="87">
        <v>42593</v>
      </c>
      <c r="C2128" s="22">
        <v>294.55</v>
      </c>
    </row>
    <row r="2129" spans="2:3" x14ac:dyDescent="0.35">
      <c r="B2129" s="87">
        <v>42594</v>
      </c>
      <c r="C2129" s="22">
        <v>295.8</v>
      </c>
    </row>
    <row r="2130" spans="2:3" x14ac:dyDescent="0.35">
      <c r="B2130" s="87">
        <v>42598</v>
      </c>
      <c r="C2130" s="22">
        <v>298.75</v>
      </c>
    </row>
    <row r="2131" spans="2:3" x14ac:dyDescent="0.35">
      <c r="B2131" s="87">
        <v>42599</v>
      </c>
      <c r="C2131" s="22">
        <v>303.45</v>
      </c>
    </row>
    <row r="2132" spans="2:3" x14ac:dyDescent="0.35">
      <c r="B2132" s="87">
        <v>42600</v>
      </c>
      <c r="C2132" s="22">
        <v>302.2</v>
      </c>
    </row>
    <row r="2133" spans="2:3" x14ac:dyDescent="0.35">
      <c r="B2133" s="87">
        <v>42601</v>
      </c>
      <c r="C2133" s="22">
        <v>299.75</v>
      </c>
    </row>
    <row r="2134" spans="2:3" x14ac:dyDescent="0.35">
      <c r="B2134" s="87">
        <v>42604</v>
      </c>
      <c r="C2134" s="22">
        <v>295.75</v>
      </c>
    </row>
    <row r="2135" spans="2:3" x14ac:dyDescent="0.35">
      <c r="B2135" s="87">
        <v>42605</v>
      </c>
      <c r="C2135" s="22">
        <v>290.8</v>
      </c>
    </row>
    <row r="2136" spans="2:3" x14ac:dyDescent="0.35">
      <c r="B2136" s="87">
        <v>42606</v>
      </c>
      <c r="C2136" s="22">
        <v>293.89999999999998</v>
      </c>
    </row>
    <row r="2137" spans="2:3" x14ac:dyDescent="0.35">
      <c r="B2137" s="87">
        <v>42607</v>
      </c>
      <c r="C2137" s="22">
        <v>292.55</v>
      </c>
    </row>
    <row r="2138" spans="2:3" x14ac:dyDescent="0.35">
      <c r="B2138" s="87">
        <v>42608</v>
      </c>
      <c r="C2138" s="22">
        <v>288.45</v>
      </c>
    </row>
    <row r="2139" spans="2:3" x14ac:dyDescent="0.35">
      <c r="B2139" s="87">
        <v>42611</v>
      </c>
      <c r="C2139" s="22">
        <v>288.14999999999998</v>
      </c>
    </row>
    <row r="2140" spans="2:3" x14ac:dyDescent="0.35">
      <c r="B2140" s="87">
        <v>42612</v>
      </c>
      <c r="C2140" s="22">
        <v>293.8</v>
      </c>
    </row>
    <row r="2141" spans="2:3" x14ac:dyDescent="0.35">
      <c r="B2141" s="87">
        <v>42613</v>
      </c>
      <c r="C2141" s="22">
        <v>290.60000000000002</v>
      </c>
    </row>
    <row r="2142" spans="2:3" x14ac:dyDescent="0.35">
      <c r="B2142" s="87">
        <v>42614</v>
      </c>
      <c r="C2142" s="22">
        <v>293.75</v>
      </c>
    </row>
    <row r="2143" spans="2:3" x14ac:dyDescent="0.35">
      <c r="B2143" s="87">
        <v>42615</v>
      </c>
      <c r="C2143" s="22">
        <v>297</v>
      </c>
    </row>
    <row r="2144" spans="2:3" x14ac:dyDescent="0.35">
      <c r="B2144" s="87">
        <v>42619</v>
      </c>
      <c r="C2144" s="22">
        <v>299.64999999999998</v>
      </c>
    </row>
    <row r="2145" spans="2:3" x14ac:dyDescent="0.35">
      <c r="B2145" s="87">
        <v>42620</v>
      </c>
      <c r="C2145" s="22">
        <v>297.14999999999998</v>
      </c>
    </row>
    <row r="2146" spans="2:3" x14ac:dyDescent="0.35">
      <c r="B2146" s="87">
        <v>42621</v>
      </c>
      <c r="C2146" s="22">
        <v>298.85000000000002</v>
      </c>
    </row>
    <row r="2147" spans="2:3" x14ac:dyDescent="0.35">
      <c r="B2147" s="87">
        <v>42622</v>
      </c>
      <c r="C2147" s="22">
        <v>292.8</v>
      </c>
    </row>
    <row r="2148" spans="2:3" x14ac:dyDescent="0.35">
      <c r="B2148" s="87">
        <v>42625</v>
      </c>
      <c r="C2148" s="22">
        <v>290.5</v>
      </c>
    </row>
    <row r="2149" spans="2:3" x14ac:dyDescent="0.35">
      <c r="B2149" s="87">
        <v>42627</v>
      </c>
      <c r="C2149" s="22">
        <v>293.25</v>
      </c>
    </row>
    <row r="2150" spans="2:3" x14ac:dyDescent="0.35">
      <c r="B2150" s="87">
        <v>42628</v>
      </c>
      <c r="C2150" s="22">
        <v>293.89999999999998</v>
      </c>
    </row>
    <row r="2151" spans="2:3" x14ac:dyDescent="0.35">
      <c r="B2151" s="87">
        <v>42629</v>
      </c>
      <c r="C2151" s="22">
        <v>292.8</v>
      </c>
    </row>
    <row r="2152" spans="2:3" x14ac:dyDescent="0.35">
      <c r="B2152" s="87">
        <v>42632</v>
      </c>
      <c r="C2152" s="22">
        <v>294.39999999999998</v>
      </c>
    </row>
    <row r="2153" spans="2:3" x14ac:dyDescent="0.35">
      <c r="B2153" s="87">
        <v>42633</v>
      </c>
      <c r="C2153" s="22">
        <v>291.25</v>
      </c>
    </row>
    <row r="2154" spans="2:3" x14ac:dyDescent="0.35">
      <c r="B2154" s="87">
        <v>42634</v>
      </c>
      <c r="C2154" s="22">
        <v>289.64999999999998</v>
      </c>
    </row>
    <row r="2155" spans="2:3" x14ac:dyDescent="0.35">
      <c r="B2155" s="87">
        <v>42635</v>
      </c>
      <c r="C2155" s="22">
        <v>285.35000000000002</v>
      </c>
    </row>
    <row r="2156" spans="2:3" x14ac:dyDescent="0.35">
      <c r="B2156" s="87">
        <v>42636</v>
      </c>
      <c r="C2156" s="22">
        <v>282.25</v>
      </c>
    </row>
    <row r="2157" spans="2:3" x14ac:dyDescent="0.35">
      <c r="B2157" s="87">
        <v>42639</v>
      </c>
      <c r="C2157" s="22">
        <v>281.64999999999998</v>
      </c>
    </row>
    <row r="2158" spans="2:3" x14ac:dyDescent="0.35">
      <c r="B2158" s="87">
        <v>42640</v>
      </c>
      <c r="C2158" s="22">
        <v>282.2</v>
      </c>
    </row>
    <row r="2159" spans="2:3" x14ac:dyDescent="0.35">
      <c r="B2159" s="87">
        <v>42641</v>
      </c>
      <c r="C2159" s="22">
        <v>277.3</v>
      </c>
    </row>
    <row r="2160" spans="2:3" x14ac:dyDescent="0.35">
      <c r="B2160" s="87">
        <v>42642</v>
      </c>
      <c r="C2160" s="22">
        <v>270.60000000000002</v>
      </c>
    </row>
    <row r="2161" spans="2:3" x14ac:dyDescent="0.35">
      <c r="B2161" s="87">
        <v>42643</v>
      </c>
      <c r="C2161" s="22">
        <v>271.2</v>
      </c>
    </row>
    <row r="2162" spans="2:3" x14ac:dyDescent="0.35">
      <c r="B2162" s="87">
        <v>42646</v>
      </c>
      <c r="C2162" s="22">
        <v>276.5</v>
      </c>
    </row>
    <row r="2163" spans="2:3" x14ac:dyDescent="0.35">
      <c r="B2163" s="87">
        <v>42647</v>
      </c>
      <c r="C2163" s="22">
        <v>280.05</v>
      </c>
    </row>
    <row r="2164" spans="2:3" x14ac:dyDescent="0.35">
      <c r="B2164" s="87">
        <v>42648</v>
      </c>
      <c r="C2164" s="22">
        <v>283.05</v>
      </c>
    </row>
    <row r="2165" spans="2:3" x14ac:dyDescent="0.35">
      <c r="B2165" s="87">
        <v>42649</v>
      </c>
      <c r="C2165" s="22">
        <v>286.55</v>
      </c>
    </row>
    <row r="2166" spans="2:3" x14ac:dyDescent="0.35">
      <c r="B2166" s="87">
        <v>42650</v>
      </c>
      <c r="C2166" s="22">
        <v>284.64999999999998</v>
      </c>
    </row>
    <row r="2167" spans="2:3" x14ac:dyDescent="0.35">
      <c r="B2167" s="87">
        <v>42653</v>
      </c>
      <c r="C2167" s="22">
        <v>286.35000000000002</v>
      </c>
    </row>
    <row r="2168" spans="2:3" x14ac:dyDescent="0.35">
      <c r="B2168" s="87">
        <v>42656</v>
      </c>
      <c r="C2168" s="22">
        <v>283.7</v>
      </c>
    </row>
    <row r="2169" spans="2:3" x14ac:dyDescent="0.35">
      <c r="B2169" s="87">
        <v>42657</v>
      </c>
      <c r="C2169" s="22">
        <v>279.89999999999998</v>
      </c>
    </row>
    <row r="2170" spans="2:3" x14ac:dyDescent="0.35">
      <c r="B2170" s="87">
        <v>42660</v>
      </c>
      <c r="C2170" s="22">
        <v>271.89999999999998</v>
      </c>
    </row>
    <row r="2171" spans="2:3" x14ac:dyDescent="0.35">
      <c r="B2171" s="87">
        <v>42661</v>
      </c>
      <c r="C2171" s="22">
        <v>275</v>
      </c>
    </row>
    <row r="2172" spans="2:3" x14ac:dyDescent="0.35">
      <c r="B2172" s="87">
        <v>42662</v>
      </c>
      <c r="C2172" s="22">
        <v>277.2</v>
      </c>
    </row>
    <row r="2173" spans="2:3" x14ac:dyDescent="0.35">
      <c r="B2173" s="87">
        <v>42663</v>
      </c>
      <c r="C2173" s="22">
        <v>281</v>
      </c>
    </row>
    <row r="2174" spans="2:3" x14ac:dyDescent="0.35">
      <c r="B2174" s="87">
        <v>42664</v>
      </c>
      <c r="C2174" s="22">
        <v>285.14999999999998</v>
      </c>
    </row>
    <row r="2175" spans="2:3" x14ac:dyDescent="0.35">
      <c r="B2175" s="87">
        <v>42667</v>
      </c>
      <c r="C2175" s="22">
        <v>284.05</v>
      </c>
    </row>
    <row r="2176" spans="2:3" x14ac:dyDescent="0.35">
      <c r="B2176" s="87">
        <v>42668</v>
      </c>
      <c r="C2176" s="22">
        <v>285.10000000000002</v>
      </c>
    </row>
    <row r="2177" spans="2:3" x14ac:dyDescent="0.35">
      <c r="B2177" s="87">
        <v>42669</v>
      </c>
      <c r="C2177" s="22">
        <v>296.7</v>
      </c>
    </row>
    <row r="2178" spans="2:3" x14ac:dyDescent="0.35">
      <c r="B2178" s="87">
        <v>42670</v>
      </c>
      <c r="C2178" s="22">
        <v>290.5</v>
      </c>
    </row>
    <row r="2179" spans="2:3" x14ac:dyDescent="0.35">
      <c r="B2179" s="87">
        <v>42671</v>
      </c>
      <c r="C2179" s="22">
        <v>291.55</v>
      </c>
    </row>
    <row r="2180" spans="2:3" x14ac:dyDescent="0.35">
      <c r="B2180" s="87">
        <v>42673</v>
      </c>
      <c r="C2180" s="22">
        <v>291.55</v>
      </c>
    </row>
    <row r="2181" spans="2:3" x14ac:dyDescent="0.35">
      <c r="B2181" s="87">
        <v>42675</v>
      </c>
      <c r="C2181" s="22">
        <v>291.25</v>
      </c>
    </row>
    <row r="2182" spans="2:3" x14ac:dyDescent="0.35">
      <c r="B2182" s="87">
        <v>42676</v>
      </c>
      <c r="C2182" s="22">
        <v>294.95</v>
      </c>
    </row>
    <row r="2183" spans="2:3" x14ac:dyDescent="0.35">
      <c r="B2183" s="87">
        <v>42677</v>
      </c>
      <c r="C2183" s="22">
        <v>293.14999999999998</v>
      </c>
    </row>
    <row r="2184" spans="2:3" x14ac:dyDescent="0.35">
      <c r="B2184" s="87">
        <v>42678</v>
      </c>
      <c r="C2184" s="22">
        <v>298.5</v>
      </c>
    </row>
    <row r="2185" spans="2:3" x14ac:dyDescent="0.35">
      <c r="B2185" s="87">
        <v>42681</v>
      </c>
      <c r="C2185" s="22">
        <v>297.2</v>
      </c>
    </row>
    <row r="2186" spans="2:3" x14ac:dyDescent="0.35">
      <c r="B2186" s="87">
        <v>42682</v>
      </c>
      <c r="C2186" s="22">
        <v>297.75</v>
      </c>
    </row>
    <row r="2187" spans="2:3" x14ac:dyDescent="0.35">
      <c r="B2187" s="87">
        <v>42683</v>
      </c>
      <c r="C2187" s="22">
        <v>298.45</v>
      </c>
    </row>
    <row r="2188" spans="2:3" x14ac:dyDescent="0.35">
      <c r="B2188" s="87">
        <v>42684</v>
      </c>
      <c r="C2188" s="22">
        <v>297.5</v>
      </c>
    </row>
    <row r="2189" spans="2:3" x14ac:dyDescent="0.35">
      <c r="B2189" s="87">
        <v>42685</v>
      </c>
      <c r="C2189" s="22">
        <v>280.45</v>
      </c>
    </row>
    <row r="2190" spans="2:3" x14ac:dyDescent="0.35">
      <c r="B2190" s="87">
        <v>42689</v>
      </c>
      <c r="C2190" s="22">
        <v>270.75</v>
      </c>
    </row>
    <row r="2191" spans="2:3" x14ac:dyDescent="0.35">
      <c r="B2191" s="87">
        <v>42690</v>
      </c>
      <c r="C2191" s="22">
        <v>275.05</v>
      </c>
    </row>
    <row r="2192" spans="2:3" x14ac:dyDescent="0.35">
      <c r="B2192" s="87">
        <v>42691</v>
      </c>
      <c r="C2192" s="22">
        <v>276.5</v>
      </c>
    </row>
    <row r="2193" spans="2:3" x14ac:dyDescent="0.35">
      <c r="B2193" s="87">
        <v>42692</v>
      </c>
      <c r="C2193" s="22">
        <v>278.45</v>
      </c>
    </row>
    <row r="2194" spans="2:3" x14ac:dyDescent="0.35">
      <c r="B2194" s="87">
        <v>42695</v>
      </c>
      <c r="C2194" s="22">
        <v>276.05</v>
      </c>
    </row>
    <row r="2195" spans="2:3" x14ac:dyDescent="0.35">
      <c r="B2195" s="87">
        <v>42696</v>
      </c>
      <c r="C2195" s="22">
        <v>275.95</v>
      </c>
    </row>
    <row r="2196" spans="2:3" x14ac:dyDescent="0.35">
      <c r="B2196" s="87">
        <v>42697</v>
      </c>
      <c r="C2196" s="22">
        <v>281.5</v>
      </c>
    </row>
    <row r="2197" spans="2:3" x14ac:dyDescent="0.35">
      <c r="B2197" s="87">
        <v>42698</v>
      </c>
      <c r="C2197" s="22">
        <v>276.25</v>
      </c>
    </row>
    <row r="2198" spans="2:3" x14ac:dyDescent="0.35">
      <c r="B2198" s="87">
        <v>42699</v>
      </c>
      <c r="C2198" s="22">
        <v>275.39999999999998</v>
      </c>
    </row>
    <row r="2199" spans="2:3" x14ac:dyDescent="0.35">
      <c r="B2199" s="87">
        <v>42702</v>
      </c>
      <c r="C2199" s="22">
        <v>277.89999999999998</v>
      </c>
    </row>
    <row r="2200" spans="2:3" x14ac:dyDescent="0.35">
      <c r="B2200" s="87">
        <v>42703</v>
      </c>
      <c r="C2200" s="22">
        <v>277.95</v>
      </c>
    </row>
    <row r="2201" spans="2:3" x14ac:dyDescent="0.35">
      <c r="B2201" s="87">
        <v>42704</v>
      </c>
      <c r="C2201" s="22">
        <v>283.55</v>
      </c>
    </row>
    <row r="2202" spans="2:3" x14ac:dyDescent="0.35">
      <c r="B2202" s="87">
        <v>42705</v>
      </c>
      <c r="C2202" s="22">
        <v>286.10000000000002</v>
      </c>
    </row>
    <row r="2203" spans="2:3" x14ac:dyDescent="0.35">
      <c r="B2203" s="87">
        <v>42706</v>
      </c>
      <c r="C2203" s="22">
        <v>283.95</v>
      </c>
    </row>
    <row r="2204" spans="2:3" x14ac:dyDescent="0.35">
      <c r="B2204" s="87">
        <v>42709</v>
      </c>
      <c r="C2204" s="22">
        <v>286.45</v>
      </c>
    </row>
    <row r="2205" spans="2:3" x14ac:dyDescent="0.35">
      <c r="B2205" s="87">
        <v>42710</v>
      </c>
      <c r="C2205" s="22">
        <v>280.45</v>
      </c>
    </row>
    <row r="2206" spans="2:3" x14ac:dyDescent="0.35">
      <c r="B2206" s="87">
        <v>42711</v>
      </c>
      <c r="C2206" s="22">
        <v>279.55</v>
      </c>
    </row>
    <row r="2207" spans="2:3" x14ac:dyDescent="0.35">
      <c r="B2207" s="87">
        <v>42712</v>
      </c>
      <c r="C2207" s="22">
        <v>279</v>
      </c>
    </row>
    <row r="2208" spans="2:3" x14ac:dyDescent="0.35">
      <c r="B2208" s="87">
        <v>42713</v>
      </c>
      <c r="C2208" s="22">
        <v>279.45</v>
      </c>
    </row>
    <row r="2209" spans="2:3" x14ac:dyDescent="0.35">
      <c r="B2209" s="87">
        <v>42716</v>
      </c>
      <c r="C2209" s="22">
        <v>276.25</v>
      </c>
    </row>
    <row r="2210" spans="2:3" x14ac:dyDescent="0.35">
      <c r="B2210" s="87">
        <v>42717</v>
      </c>
      <c r="C2210" s="22">
        <v>280.85000000000002</v>
      </c>
    </row>
    <row r="2211" spans="2:3" x14ac:dyDescent="0.35">
      <c r="B2211" s="87">
        <v>42718</v>
      </c>
      <c r="C2211" s="22">
        <v>275.39999999999998</v>
      </c>
    </row>
    <row r="2212" spans="2:3" x14ac:dyDescent="0.35">
      <c r="B2212" s="87">
        <v>42719</v>
      </c>
      <c r="C2212" s="22">
        <v>271.35000000000002</v>
      </c>
    </row>
    <row r="2213" spans="2:3" x14ac:dyDescent="0.35">
      <c r="B2213" s="87">
        <v>42720</v>
      </c>
      <c r="C2213" s="22">
        <v>271.14999999999998</v>
      </c>
    </row>
    <row r="2214" spans="2:3" x14ac:dyDescent="0.35">
      <c r="B2214" s="87">
        <v>42723</v>
      </c>
      <c r="C2214" s="22">
        <v>268.95</v>
      </c>
    </row>
    <row r="2215" spans="2:3" x14ac:dyDescent="0.35">
      <c r="B2215" s="87">
        <v>42724</v>
      </c>
      <c r="C2215" s="22">
        <v>274.64999999999998</v>
      </c>
    </row>
    <row r="2216" spans="2:3" x14ac:dyDescent="0.35">
      <c r="B2216" s="87">
        <v>42725</v>
      </c>
      <c r="C2216" s="22">
        <v>271.45</v>
      </c>
    </row>
    <row r="2217" spans="2:3" x14ac:dyDescent="0.35">
      <c r="B2217" s="87">
        <v>42726</v>
      </c>
      <c r="C2217" s="22">
        <v>265.5</v>
      </c>
    </row>
    <row r="2218" spans="2:3" x14ac:dyDescent="0.35">
      <c r="B2218" s="87">
        <v>42727</v>
      </c>
      <c r="C2218" s="22">
        <v>262.05</v>
      </c>
    </row>
    <row r="2219" spans="2:3" x14ac:dyDescent="0.35">
      <c r="B2219" s="87">
        <v>42730</v>
      </c>
      <c r="C2219" s="22">
        <v>259.95</v>
      </c>
    </row>
    <row r="2220" spans="2:3" x14ac:dyDescent="0.35">
      <c r="B2220" s="87">
        <v>42731</v>
      </c>
      <c r="C2220" s="22">
        <v>270.5</v>
      </c>
    </row>
    <row r="2221" spans="2:3" x14ac:dyDescent="0.35">
      <c r="B2221" s="87">
        <v>42732</v>
      </c>
      <c r="C2221" s="22">
        <v>274.10000000000002</v>
      </c>
    </row>
    <row r="2222" spans="2:3" x14ac:dyDescent="0.35">
      <c r="B2222" s="87">
        <v>42733</v>
      </c>
      <c r="C2222" s="22">
        <v>274.39999999999998</v>
      </c>
    </row>
    <row r="2223" spans="2:3" x14ac:dyDescent="0.35">
      <c r="B2223" s="87">
        <v>42734</v>
      </c>
      <c r="C2223" s="22">
        <v>278.14999999999998</v>
      </c>
    </row>
    <row r="2224" spans="2:3" x14ac:dyDescent="0.35">
      <c r="B2224" s="87">
        <v>42737</v>
      </c>
      <c r="C2224" s="22">
        <v>277.14999999999998</v>
      </c>
    </row>
    <row r="2225" spans="2:3" x14ac:dyDescent="0.35">
      <c r="B2225" s="87">
        <v>42738</v>
      </c>
      <c r="C2225" s="22">
        <v>275.5</v>
      </c>
    </row>
    <row r="2226" spans="2:3" x14ac:dyDescent="0.35">
      <c r="B2226" s="87">
        <v>42739</v>
      </c>
      <c r="C2226" s="22">
        <v>276.55</v>
      </c>
    </row>
    <row r="2227" spans="2:3" x14ac:dyDescent="0.35">
      <c r="B2227" s="87">
        <v>42740</v>
      </c>
      <c r="C2227" s="22">
        <v>278.85000000000002</v>
      </c>
    </row>
    <row r="2228" spans="2:3" x14ac:dyDescent="0.35">
      <c r="B2228" s="87">
        <v>42741</v>
      </c>
      <c r="C2228" s="22">
        <v>276.60000000000002</v>
      </c>
    </row>
    <row r="2229" spans="2:3" x14ac:dyDescent="0.35">
      <c r="B2229" s="87">
        <v>42744</v>
      </c>
      <c r="C2229" s="22">
        <v>273.60000000000002</v>
      </c>
    </row>
    <row r="2230" spans="2:3" x14ac:dyDescent="0.35">
      <c r="B2230" s="87">
        <v>42745</v>
      </c>
      <c r="C2230" s="22">
        <v>277.64999999999998</v>
      </c>
    </row>
    <row r="2231" spans="2:3" x14ac:dyDescent="0.35">
      <c r="B2231" s="87">
        <v>42746</v>
      </c>
      <c r="C2231" s="22">
        <v>278.5</v>
      </c>
    </row>
    <row r="2232" spans="2:3" x14ac:dyDescent="0.35">
      <c r="B2232" s="87">
        <v>42747</v>
      </c>
      <c r="C2232" s="22">
        <v>278.85000000000002</v>
      </c>
    </row>
    <row r="2233" spans="2:3" x14ac:dyDescent="0.35">
      <c r="B2233" s="87">
        <v>42748</v>
      </c>
      <c r="C2233" s="22">
        <v>281.64999999999998</v>
      </c>
    </row>
    <row r="2234" spans="2:3" x14ac:dyDescent="0.35">
      <c r="B2234" s="87">
        <v>42751</v>
      </c>
      <c r="C2234" s="22">
        <v>277.5</v>
      </c>
    </row>
    <row r="2235" spans="2:3" x14ac:dyDescent="0.35">
      <c r="B2235" s="87">
        <v>42752</v>
      </c>
      <c r="C2235" s="22">
        <v>277.89999999999998</v>
      </c>
    </row>
    <row r="2236" spans="2:3" x14ac:dyDescent="0.35">
      <c r="B2236" s="87">
        <v>42753</v>
      </c>
      <c r="C2236" s="22">
        <v>278.60000000000002</v>
      </c>
    </row>
    <row r="2237" spans="2:3" x14ac:dyDescent="0.35">
      <c r="B2237" s="87">
        <v>42754</v>
      </c>
      <c r="C2237" s="22">
        <v>276.89999999999998</v>
      </c>
    </row>
    <row r="2238" spans="2:3" x14ac:dyDescent="0.35">
      <c r="B2238" s="87">
        <v>42755</v>
      </c>
      <c r="C2238" s="22">
        <v>275.89999999999998</v>
      </c>
    </row>
    <row r="2239" spans="2:3" x14ac:dyDescent="0.35">
      <c r="B2239" s="87">
        <v>42758</v>
      </c>
      <c r="C2239" s="22">
        <v>276.85000000000002</v>
      </c>
    </row>
    <row r="2240" spans="2:3" x14ac:dyDescent="0.35">
      <c r="B2240" s="87">
        <v>42759</v>
      </c>
      <c r="C2240" s="22">
        <v>277.3</v>
      </c>
    </row>
    <row r="2241" spans="2:3" x14ac:dyDescent="0.35">
      <c r="B2241" s="87">
        <v>42760</v>
      </c>
      <c r="C2241" s="22">
        <v>281.25</v>
      </c>
    </row>
    <row r="2242" spans="2:3" x14ac:dyDescent="0.35">
      <c r="B2242" s="87">
        <v>42762</v>
      </c>
      <c r="C2242" s="22">
        <v>277.10000000000002</v>
      </c>
    </row>
    <row r="2243" spans="2:3" x14ac:dyDescent="0.35">
      <c r="B2243" s="87">
        <v>42765</v>
      </c>
      <c r="C2243" s="22">
        <v>280.2</v>
      </c>
    </row>
    <row r="2244" spans="2:3" x14ac:dyDescent="0.35">
      <c r="B2244" s="87">
        <v>42766</v>
      </c>
      <c r="C2244" s="22">
        <v>276</v>
      </c>
    </row>
    <row r="2245" spans="2:3" x14ac:dyDescent="0.35">
      <c r="B2245" s="87">
        <v>42767</v>
      </c>
      <c r="C2245" s="22">
        <v>277.35000000000002</v>
      </c>
    </row>
    <row r="2246" spans="2:3" x14ac:dyDescent="0.35">
      <c r="B2246" s="87">
        <v>42768</v>
      </c>
      <c r="C2246" s="22">
        <v>273.85000000000002</v>
      </c>
    </row>
    <row r="2247" spans="2:3" x14ac:dyDescent="0.35">
      <c r="B2247" s="87">
        <v>42769</v>
      </c>
      <c r="C2247" s="22">
        <v>268.2</v>
      </c>
    </row>
    <row r="2248" spans="2:3" x14ac:dyDescent="0.35">
      <c r="B2248" s="87">
        <v>42772</v>
      </c>
      <c r="C2248" s="22">
        <v>270.05</v>
      </c>
    </row>
    <row r="2249" spans="2:3" x14ac:dyDescent="0.35">
      <c r="B2249" s="87">
        <v>42773</v>
      </c>
      <c r="C2249" s="22">
        <v>266.89999999999998</v>
      </c>
    </row>
    <row r="2250" spans="2:3" x14ac:dyDescent="0.35">
      <c r="B2250" s="87">
        <v>42774</v>
      </c>
      <c r="C2250" s="22">
        <v>265.95</v>
      </c>
    </row>
    <row r="2251" spans="2:3" x14ac:dyDescent="0.35">
      <c r="B2251" s="87">
        <v>42775</v>
      </c>
      <c r="C2251" s="22">
        <v>265.75</v>
      </c>
    </row>
    <row r="2252" spans="2:3" x14ac:dyDescent="0.35">
      <c r="B2252" s="87">
        <v>42776</v>
      </c>
      <c r="C2252" s="22">
        <v>264.60000000000002</v>
      </c>
    </row>
    <row r="2253" spans="2:3" x14ac:dyDescent="0.35">
      <c r="B2253" s="87">
        <v>42779</v>
      </c>
      <c r="C2253" s="22">
        <v>269.2</v>
      </c>
    </row>
    <row r="2254" spans="2:3" x14ac:dyDescent="0.35">
      <c r="B2254" s="87">
        <v>42780</v>
      </c>
      <c r="C2254" s="22">
        <v>269.35000000000002</v>
      </c>
    </row>
    <row r="2255" spans="2:3" x14ac:dyDescent="0.35">
      <c r="B2255" s="87">
        <v>42781</v>
      </c>
      <c r="C2255" s="22">
        <v>265.10000000000002</v>
      </c>
    </row>
    <row r="2256" spans="2:3" x14ac:dyDescent="0.35">
      <c r="B2256" s="87">
        <v>42782</v>
      </c>
      <c r="C2256" s="22">
        <v>266</v>
      </c>
    </row>
    <row r="2257" spans="2:3" x14ac:dyDescent="0.35">
      <c r="B2257" s="87">
        <v>42783</v>
      </c>
      <c r="C2257" s="22">
        <v>265.85000000000002</v>
      </c>
    </row>
    <row r="2258" spans="2:3" x14ac:dyDescent="0.35">
      <c r="B2258" s="87">
        <v>42786</v>
      </c>
      <c r="C2258" s="22">
        <v>264.55</v>
      </c>
    </row>
    <row r="2259" spans="2:3" x14ac:dyDescent="0.35">
      <c r="B2259" s="87">
        <v>42787</v>
      </c>
      <c r="C2259" s="22">
        <v>273</v>
      </c>
    </row>
    <row r="2260" spans="2:3" x14ac:dyDescent="0.35">
      <c r="B2260" s="87">
        <v>42788</v>
      </c>
      <c r="C2260" s="22">
        <v>270.7</v>
      </c>
    </row>
    <row r="2261" spans="2:3" x14ac:dyDescent="0.35">
      <c r="B2261" s="87">
        <v>42789</v>
      </c>
      <c r="C2261" s="22">
        <v>269.55</v>
      </c>
    </row>
    <row r="2262" spans="2:3" x14ac:dyDescent="0.35">
      <c r="B2262" s="87">
        <v>42793</v>
      </c>
      <c r="C2262" s="22">
        <v>272.7</v>
      </c>
    </row>
    <row r="2263" spans="2:3" x14ac:dyDescent="0.35">
      <c r="B2263" s="87">
        <v>42794</v>
      </c>
      <c r="C2263" s="22">
        <v>276.89999999999998</v>
      </c>
    </row>
    <row r="2264" spans="2:3" x14ac:dyDescent="0.35">
      <c r="B2264" s="87">
        <v>42795</v>
      </c>
      <c r="C2264" s="22">
        <v>276.14999999999998</v>
      </c>
    </row>
    <row r="2265" spans="2:3" x14ac:dyDescent="0.35">
      <c r="B2265" s="87">
        <v>42796</v>
      </c>
      <c r="C2265" s="22">
        <v>276.55</v>
      </c>
    </row>
    <row r="2266" spans="2:3" x14ac:dyDescent="0.35">
      <c r="B2266" s="87">
        <v>42797</v>
      </c>
      <c r="C2266" s="22">
        <v>277.25</v>
      </c>
    </row>
    <row r="2267" spans="2:3" x14ac:dyDescent="0.35">
      <c r="B2267" s="87">
        <v>42800</v>
      </c>
      <c r="C2267" s="22">
        <v>277.85000000000002</v>
      </c>
    </row>
    <row r="2268" spans="2:3" x14ac:dyDescent="0.35">
      <c r="B2268" s="87">
        <v>42801</v>
      </c>
      <c r="C2268" s="22">
        <v>276.05</v>
      </c>
    </row>
    <row r="2269" spans="2:3" x14ac:dyDescent="0.35">
      <c r="B2269" s="87">
        <v>42802</v>
      </c>
      <c r="C2269" s="22">
        <v>274.95</v>
      </c>
    </row>
    <row r="2270" spans="2:3" x14ac:dyDescent="0.35">
      <c r="B2270" s="87">
        <v>42803</v>
      </c>
      <c r="C2270" s="22">
        <v>274.95</v>
      </c>
    </row>
    <row r="2271" spans="2:3" x14ac:dyDescent="0.35">
      <c r="B2271" s="87">
        <v>42804</v>
      </c>
      <c r="C2271" s="22">
        <v>273.39999999999998</v>
      </c>
    </row>
    <row r="2272" spans="2:3" x14ac:dyDescent="0.35">
      <c r="B2272" s="87">
        <v>42808</v>
      </c>
      <c r="C2272" s="22">
        <v>273.60000000000002</v>
      </c>
    </row>
    <row r="2273" spans="2:3" x14ac:dyDescent="0.35">
      <c r="B2273" s="87">
        <v>42809</v>
      </c>
      <c r="C2273" s="22">
        <v>273.85000000000002</v>
      </c>
    </row>
    <row r="2274" spans="2:3" x14ac:dyDescent="0.35">
      <c r="B2274" s="87">
        <v>42810</v>
      </c>
      <c r="C2274" s="22">
        <v>274.89999999999998</v>
      </c>
    </row>
    <row r="2275" spans="2:3" x14ac:dyDescent="0.35">
      <c r="B2275" s="87">
        <v>42811</v>
      </c>
      <c r="C2275" s="22">
        <v>278.10000000000002</v>
      </c>
    </row>
    <row r="2276" spans="2:3" x14ac:dyDescent="0.35">
      <c r="B2276" s="87">
        <v>42814</v>
      </c>
      <c r="C2276" s="22">
        <v>278.89999999999998</v>
      </c>
    </row>
    <row r="2277" spans="2:3" x14ac:dyDescent="0.35">
      <c r="B2277" s="87">
        <v>42815</v>
      </c>
      <c r="C2277" s="22">
        <v>282.14999999999998</v>
      </c>
    </row>
    <row r="2278" spans="2:3" x14ac:dyDescent="0.35">
      <c r="B2278" s="87">
        <v>42816</v>
      </c>
      <c r="C2278" s="22">
        <v>284.05</v>
      </c>
    </row>
    <row r="2279" spans="2:3" x14ac:dyDescent="0.35">
      <c r="B2279" s="87">
        <v>42817</v>
      </c>
      <c r="C2279" s="22">
        <v>281.35000000000002</v>
      </c>
    </row>
    <row r="2280" spans="2:3" x14ac:dyDescent="0.35">
      <c r="B2280" s="87">
        <v>42818</v>
      </c>
      <c r="C2280" s="22">
        <v>281.3</v>
      </c>
    </row>
    <row r="2281" spans="2:3" x14ac:dyDescent="0.35">
      <c r="B2281" s="87">
        <v>42821</v>
      </c>
      <c r="C2281" s="22">
        <v>274.5</v>
      </c>
    </row>
    <row r="2282" spans="2:3" x14ac:dyDescent="0.35">
      <c r="B2282" s="87">
        <v>42822</v>
      </c>
      <c r="C2282" s="22">
        <v>274.7</v>
      </c>
    </row>
    <row r="2283" spans="2:3" x14ac:dyDescent="0.35">
      <c r="B2283" s="87">
        <v>42823</v>
      </c>
      <c r="C2283" s="22">
        <v>275.7</v>
      </c>
    </row>
    <row r="2284" spans="2:3" x14ac:dyDescent="0.35">
      <c r="B2284" s="87">
        <v>42824</v>
      </c>
      <c r="C2284" s="22">
        <v>274.14999999999998</v>
      </c>
    </row>
    <row r="2285" spans="2:3" x14ac:dyDescent="0.35">
      <c r="B2285" s="87">
        <v>42825</v>
      </c>
      <c r="C2285" s="22">
        <v>277.35000000000002</v>
      </c>
    </row>
    <row r="2286" spans="2:3" x14ac:dyDescent="0.35">
      <c r="B2286" s="87">
        <v>42828</v>
      </c>
      <c r="C2286" s="22">
        <v>280.3</v>
      </c>
    </row>
    <row r="2287" spans="2:3" x14ac:dyDescent="0.35">
      <c r="B2287" s="87">
        <v>42830</v>
      </c>
      <c r="C2287" s="22">
        <v>283.89999999999998</v>
      </c>
    </row>
    <row r="2288" spans="2:3" x14ac:dyDescent="0.35">
      <c r="B2288" s="87">
        <v>42831</v>
      </c>
      <c r="C2288" s="22">
        <v>284.8</v>
      </c>
    </row>
    <row r="2289" spans="2:3" x14ac:dyDescent="0.35">
      <c r="B2289" s="87">
        <v>42832</v>
      </c>
      <c r="C2289" s="22">
        <v>282.39999999999998</v>
      </c>
    </row>
    <row r="2290" spans="2:3" x14ac:dyDescent="0.35">
      <c r="B2290" s="87">
        <v>42835</v>
      </c>
      <c r="C2290" s="22">
        <v>286.89999999999998</v>
      </c>
    </row>
    <row r="2291" spans="2:3" x14ac:dyDescent="0.35">
      <c r="B2291" s="87">
        <v>42836</v>
      </c>
      <c r="C2291" s="22">
        <v>289.45</v>
      </c>
    </row>
    <row r="2292" spans="2:3" x14ac:dyDescent="0.35">
      <c r="B2292" s="87">
        <v>42837</v>
      </c>
      <c r="C2292" s="22">
        <v>288.95</v>
      </c>
    </row>
    <row r="2293" spans="2:3" x14ac:dyDescent="0.35">
      <c r="B2293" s="87">
        <v>42838</v>
      </c>
      <c r="C2293" s="22">
        <v>287.75</v>
      </c>
    </row>
    <row r="2294" spans="2:3" x14ac:dyDescent="0.35">
      <c r="B2294" s="87">
        <v>42842</v>
      </c>
      <c r="C2294" s="22">
        <v>292.89999999999998</v>
      </c>
    </row>
    <row r="2295" spans="2:3" x14ac:dyDescent="0.35">
      <c r="B2295" s="87">
        <v>42843</v>
      </c>
      <c r="C2295" s="22">
        <v>289.64999999999998</v>
      </c>
    </row>
    <row r="2296" spans="2:3" x14ac:dyDescent="0.35">
      <c r="B2296" s="87">
        <v>42844</v>
      </c>
      <c r="C2296" s="22">
        <v>290.3</v>
      </c>
    </row>
    <row r="2297" spans="2:3" x14ac:dyDescent="0.35">
      <c r="B2297" s="87">
        <v>42845</v>
      </c>
      <c r="C2297" s="22">
        <v>290.7</v>
      </c>
    </row>
    <row r="2298" spans="2:3" x14ac:dyDescent="0.35">
      <c r="B2298" s="87">
        <v>42846</v>
      </c>
      <c r="C2298" s="22">
        <v>291.25</v>
      </c>
    </row>
    <row r="2299" spans="2:3" x14ac:dyDescent="0.35">
      <c r="B2299" s="87">
        <v>42849</v>
      </c>
      <c r="C2299" s="22">
        <v>293.35000000000002</v>
      </c>
    </row>
    <row r="2300" spans="2:3" x14ac:dyDescent="0.35">
      <c r="B2300" s="87">
        <v>42850</v>
      </c>
      <c r="C2300" s="22">
        <v>293.89999999999998</v>
      </c>
    </row>
    <row r="2301" spans="2:3" x14ac:dyDescent="0.35">
      <c r="B2301" s="87">
        <v>42851</v>
      </c>
      <c r="C2301" s="22">
        <v>294.05</v>
      </c>
    </row>
    <row r="2302" spans="2:3" x14ac:dyDescent="0.35">
      <c r="B2302" s="87">
        <v>42852</v>
      </c>
      <c r="C2302" s="22">
        <v>289.25</v>
      </c>
    </row>
    <row r="2303" spans="2:3" x14ac:dyDescent="0.35">
      <c r="B2303" s="87">
        <v>42853</v>
      </c>
      <c r="C2303" s="22">
        <v>286.75</v>
      </c>
    </row>
    <row r="2304" spans="2:3" x14ac:dyDescent="0.35">
      <c r="B2304" s="87">
        <v>42857</v>
      </c>
      <c r="C2304" s="22">
        <v>284.89999999999998</v>
      </c>
    </row>
    <row r="2305" spans="2:3" x14ac:dyDescent="0.35">
      <c r="B2305" s="87">
        <v>42858</v>
      </c>
      <c r="C2305" s="22">
        <v>275.75</v>
      </c>
    </row>
    <row r="2306" spans="2:3" x14ac:dyDescent="0.35">
      <c r="B2306" s="87">
        <v>42859</v>
      </c>
      <c r="C2306" s="22">
        <v>276.10000000000002</v>
      </c>
    </row>
    <row r="2307" spans="2:3" x14ac:dyDescent="0.35">
      <c r="B2307" s="87">
        <v>42860</v>
      </c>
      <c r="C2307" s="22">
        <v>272.60000000000002</v>
      </c>
    </row>
    <row r="2308" spans="2:3" x14ac:dyDescent="0.35">
      <c r="B2308" s="87">
        <v>42863</v>
      </c>
      <c r="C2308" s="22">
        <v>273.7</v>
      </c>
    </row>
    <row r="2309" spans="2:3" x14ac:dyDescent="0.35">
      <c r="B2309" s="87">
        <v>42864</v>
      </c>
      <c r="C2309" s="22">
        <v>273.45</v>
      </c>
    </row>
    <row r="2310" spans="2:3" x14ac:dyDescent="0.35">
      <c r="B2310" s="87">
        <v>42865</v>
      </c>
      <c r="C2310" s="22">
        <v>283.10000000000002</v>
      </c>
    </row>
    <row r="2311" spans="2:3" x14ac:dyDescent="0.35">
      <c r="B2311" s="87">
        <v>42866</v>
      </c>
      <c r="C2311" s="22">
        <v>278.25</v>
      </c>
    </row>
    <row r="2312" spans="2:3" x14ac:dyDescent="0.35">
      <c r="B2312" s="87">
        <v>42867</v>
      </c>
      <c r="C2312" s="22">
        <v>279.85000000000002</v>
      </c>
    </row>
    <row r="2313" spans="2:3" x14ac:dyDescent="0.35">
      <c r="B2313" s="87">
        <v>42870</v>
      </c>
      <c r="C2313" s="22">
        <v>275.45</v>
      </c>
    </row>
    <row r="2314" spans="2:3" x14ac:dyDescent="0.35">
      <c r="B2314" s="87">
        <v>42871</v>
      </c>
      <c r="C2314" s="22">
        <v>273.25</v>
      </c>
    </row>
    <row r="2315" spans="2:3" x14ac:dyDescent="0.35">
      <c r="B2315" s="87">
        <v>42872</v>
      </c>
      <c r="C2315" s="22">
        <v>276</v>
      </c>
    </row>
    <row r="2316" spans="2:3" x14ac:dyDescent="0.35">
      <c r="B2316" s="87">
        <v>42873</v>
      </c>
      <c r="C2316" s="22">
        <v>272.10000000000002</v>
      </c>
    </row>
    <row r="2317" spans="2:3" x14ac:dyDescent="0.35">
      <c r="B2317" s="87">
        <v>42874</v>
      </c>
      <c r="C2317" s="22">
        <v>275.25</v>
      </c>
    </row>
    <row r="2318" spans="2:3" x14ac:dyDescent="0.35">
      <c r="B2318" s="87">
        <v>42877</v>
      </c>
      <c r="C2318" s="22">
        <v>276.95</v>
      </c>
    </row>
    <row r="2319" spans="2:3" x14ac:dyDescent="0.35">
      <c r="B2319" s="87">
        <v>42878</v>
      </c>
      <c r="C2319" s="22">
        <v>273.7</v>
      </c>
    </row>
    <row r="2320" spans="2:3" x14ac:dyDescent="0.35">
      <c r="B2320" s="87">
        <v>42879</v>
      </c>
      <c r="C2320" s="22">
        <v>268.75</v>
      </c>
    </row>
    <row r="2321" spans="2:3" x14ac:dyDescent="0.35">
      <c r="B2321" s="87">
        <v>42880</v>
      </c>
      <c r="C2321" s="22">
        <v>269</v>
      </c>
    </row>
    <row r="2322" spans="2:3" x14ac:dyDescent="0.35">
      <c r="B2322" s="87">
        <v>42881</v>
      </c>
      <c r="C2322" s="22">
        <v>269.75</v>
      </c>
    </row>
    <row r="2323" spans="2:3" x14ac:dyDescent="0.35">
      <c r="B2323" s="87">
        <v>42884</v>
      </c>
      <c r="C2323" s="22">
        <v>278.60000000000002</v>
      </c>
    </row>
    <row r="2324" spans="2:3" x14ac:dyDescent="0.35">
      <c r="B2324" s="87">
        <v>42885</v>
      </c>
      <c r="C2324" s="22">
        <v>278.35000000000002</v>
      </c>
    </row>
    <row r="2325" spans="2:3" x14ac:dyDescent="0.35">
      <c r="B2325" s="87">
        <v>42886</v>
      </c>
      <c r="C2325" s="22">
        <v>279.95</v>
      </c>
    </row>
    <row r="2326" spans="2:3" x14ac:dyDescent="0.35">
      <c r="B2326" s="87">
        <v>42887</v>
      </c>
      <c r="C2326" s="22">
        <v>285.35000000000002</v>
      </c>
    </row>
    <row r="2327" spans="2:3" x14ac:dyDescent="0.35">
      <c r="B2327" s="87">
        <v>42888</v>
      </c>
      <c r="C2327" s="22">
        <v>284.60000000000002</v>
      </c>
    </row>
    <row r="2328" spans="2:3" x14ac:dyDescent="0.35">
      <c r="B2328" s="87">
        <v>42891</v>
      </c>
      <c r="C2328" s="22">
        <v>285.8</v>
      </c>
    </row>
    <row r="2329" spans="2:3" x14ac:dyDescent="0.35">
      <c r="B2329" s="87">
        <v>42892</v>
      </c>
      <c r="C2329" s="22">
        <v>282.75</v>
      </c>
    </row>
    <row r="2330" spans="2:3" x14ac:dyDescent="0.35">
      <c r="B2330" s="87">
        <v>42893</v>
      </c>
      <c r="C2330" s="22">
        <v>283.8</v>
      </c>
    </row>
    <row r="2331" spans="2:3" x14ac:dyDescent="0.35">
      <c r="B2331" s="87">
        <v>42894</v>
      </c>
      <c r="C2331" s="22">
        <v>282.10000000000002</v>
      </c>
    </row>
    <row r="2332" spans="2:3" x14ac:dyDescent="0.35">
      <c r="B2332" s="87">
        <v>42895</v>
      </c>
      <c r="C2332" s="22">
        <v>282.14999999999998</v>
      </c>
    </row>
    <row r="2333" spans="2:3" x14ac:dyDescent="0.35">
      <c r="B2333" s="87">
        <v>42898</v>
      </c>
      <c r="C2333" s="22">
        <v>285.39999999999998</v>
      </c>
    </row>
    <row r="2334" spans="2:3" x14ac:dyDescent="0.35">
      <c r="B2334" s="87">
        <v>42899</v>
      </c>
      <c r="C2334" s="22">
        <v>291.75</v>
      </c>
    </row>
    <row r="2335" spans="2:3" x14ac:dyDescent="0.35">
      <c r="B2335" s="87">
        <v>42900</v>
      </c>
      <c r="C2335" s="22">
        <v>289.8</v>
      </c>
    </row>
    <row r="2336" spans="2:3" x14ac:dyDescent="0.35">
      <c r="B2336" s="87">
        <v>42901</v>
      </c>
      <c r="C2336" s="22">
        <v>288.60000000000002</v>
      </c>
    </row>
    <row r="2337" spans="2:3" x14ac:dyDescent="0.35">
      <c r="B2337" s="87">
        <v>42902</v>
      </c>
      <c r="C2337" s="22">
        <v>288.89999999999998</v>
      </c>
    </row>
    <row r="2338" spans="2:3" x14ac:dyDescent="0.35">
      <c r="B2338" s="87">
        <v>42905</v>
      </c>
      <c r="C2338" s="22">
        <v>287.8</v>
      </c>
    </row>
    <row r="2339" spans="2:3" x14ac:dyDescent="0.35">
      <c r="B2339" s="87">
        <v>42906</v>
      </c>
      <c r="C2339" s="22">
        <v>287.05</v>
      </c>
    </row>
    <row r="2340" spans="2:3" x14ac:dyDescent="0.35">
      <c r="B2340" s="87">
        <v>42907</v>
      </c>
      <c r="C2340" s="22">
        <v>287.8</v>
      </c>
    </row>
    <row r="2341" spans="2:3" x14ac:dyDescent="0.35">
      <c r="B2341" s="87">
        <v>42908</v>
      </c>
      <c r="C2341" s="22">
        <v>289</v>
      </c>
    </row>
    <row r="2342" spans="2:3" x14ac:dyDescent="0.35">
      <c r="B2342" s="87">
        <v>42909</v>
      </c>
      <c r="C2342" s="22">
        <v>289.8</v>
      </c>
    </row>
    <row r="2343" spans="2:3" x14ac:dyDescent="0.35">
      <c r="B2343" s="87">
        <v>42913</v>
      </c>
      <c r="C2343" s="22">
        <v>290</v>
      </c>
    </row>
    <row r="2344" spans="2:3" x14ac:dyDescent="0.35">
      <c r="B2344" s="87">
        <v>42914</v>
      </c>
      <c r="C2344" s="22">
        <v>289.89999999999998</v>
      </c>
    </row>
    <row r="2345" spans="2:3" x14ac:dyDescent="0.35">
      <c r="B2345" s="87">
        <v>42915</v>
      </c>
      <c r="C2345" s="22">
        <v>289.85000000000002</v>
      </c>
    </row>
    <row r="2346" spans="2:3" x14ac:dyDescent="0.35">
      <c r="B2346" s="87">
        <v>42916</v>
      </c>
      <c r="C2346" s="22">
        <v>292.10000000000002</v>
      </c>
    </row>
    <row r="2347" spans="2:3" x14ac:dyDescent="0.35">
      <c r="B2347" s="87">
        <v>42919</v>
      </c>
      <c r="C2347" s="22">
        <v>295</v>
      </c>
    </row>
    <row r="2348" spans="2:3" x14ac:dyDescent="0.35">
      <c r="B2348" s="87">
        <v>42920</v>
      </c>
      <c r="C2348" s="22">
        <v>295.5</v>
      </c>
    </row>
    <row r="2349" spans="2:3" x14ac:dyDescent="0.35">
      <c r="B2349" s="87">
        <v>42921</v>
      </c>
      <c r="C2349" s="22">
        <v>297.85000000000002</v>
      </c>
    </row>
    <row r="2350" spans="2:3" x14ac:dyDescent="0.35">
      <c r="B2350" s="87">
        <v>42922</v>
      </c>
      <c r="C2350" s="22">
        <v>300.7</v>
      </c>
    </row>
    <row r="2351" spans="2:3" x14ac:dyDescent="0.35">
      <c r="B2351" s="87">
        <v>42923</v>
      </c>
      <c r="C2351" s="22">
        <v>301.85000000000002</v>
      </c>
    </row>
    <row r="2352" spans="2:3" x14ac:dyDescent="0.35">
      <c r="B2352" s="87">
        <v>42926</v>
      </c>
      <c r="C2352" s="22">
        <v>303.85000000000002</v>
      </c>
    </row>
    <row r="2353" spans="2:3" x14ac:dyDescent="0.35">
      <c r="B2353" s="87">
        <v>42927</v>
      </c>
      <c r="C2353" s="22">
        <v>305.10000000000002</v>
      </c>
    </row>
    <row r="2354" spans="2:3" x14ac:dyDescent="0.35">
      <c r="B2354" s="87">
        <v>42928</v>
      </c>
      <c r="C2354" s="22">
        <v>304.7</v>
      </c>
    </row>
    <row r="2355" spans="2:3" x14ac:dyDescent="0.35">
      <c r="B2355" s="87">
        <v>42929</v>
      </c>
      <c r="C2355" s="22">
        <v>303.5</v>
      </c>
    </row>
    <row r="2356" spans="2:3" x14ac:dyDescent="0.35">
      <c r="B2356" s="87">
        <v>42930</v>
      </c>
      <c r="C2356" s="22">
        <v>304.10000000000002</v>
      </c>
    </row>
    <row r="2357" spans="2:3" x14ac:dyDescent="0.35">
      <c r="B2357" s="87">
        <v>42933</v>
      </c>
      <c r="C2357" s="22">
        <v>302.14999999999998</v>
      </c>
    </row>
    <row r="2358" spans="2:3" x14ac:dyDescent="0.35">
      <c r="B2358" s="87">
        <v>42934</v>
      </c>
      <c r="C2358" s="22">
        <v>299.89999999999998</v>
      </c>
    </row>
    <row r="2359" spans="2:3" x14ac:dyDescent="0.35">
      <c r="B2359" s="87">
        <v>42935</v>
      </c>
      <c r="C2359" s="22">
        <v>306.14999999999998</v>
      </c>
    </row>
    <row r="2360" spans="2:3" x14ac:dyDescent="0.35">
      <c r="B2360" s="87">
        <v>42936</v>
      </c>
      <c r="C2360" s="22">
        <v>301.05</v>
      </c>
    </row>
    <row r="2361" spans="2:3" x14ac:dyDescent="0.35">
      <c r="B2361" s="87">
        <v>42937</v>
      </c>
      <c r="C2361" s="22">
        <v>302.60000000000002</v>
      </c>
    </row>
    <row r="2362" spans="2:3" x14ac:dyDescent="0.35">
      <c r="B2362" s="87">
        <v>42940</v>
      </c>
      <c r="C2362" s="22">
        <v>305.8</v>
      </c>
    </row>
    <row r="2363" spans="2:3" x14ac:dyDescent="0.35">
      <c r="B2363" s="87">
        <v>42941</v>
      </c>
      <c r="C2363" s="22">
        <v>306.89999999999998</v>
      </c>
    </row>
    <row r="2364" spans="2:3" x14ac:dyDescent="0.35">
      <c r="B2364" s="87">
        <v>42942</v>
      </c>
      <c r="C2364" s="22">
        <v>306.25</v>
      </c>
    </row>
    <row r="2365" spans="2:3" x14ac:dyDescent="0.35">
      <c r="B2365" s="87">
        <v>42943</v>
      </c>
      <c r="C2365" s="22">
        <v>311.89999999999998</v>
      </c>
    </row>
    <row r="2366" spans="2:3" x14ac:dyDescent="0.35">
      <c r="B2366" s="87">
        <v>42944</v>
      </c>
      <c r="C2366" s="22">
        <v>310.5</v>
      </c>
    </row>
    <row r="2367" spans="2:3" x14ac:dyDescent="0.35">
      <c r="B2367" s="87">
        <v>42947</v>
      </c>
      <c r="C2367" s="22">
        <v>310</v>
      </c>
    </row>
    <row r="2368" spans="2:3" x14ac:dyDescent="0.35">
      <c r="B2368" s="87">
        <v>42948</v>
      </c>
      <c r="C2368" s="22">
        <v>301.7</v>
      </c>
    </row>
    <row r="2369" spans="2:3" x14ac:dyDescent="0.35">
      <c r="B2369" s="87">
        <v>42949</v>
      </c>
      <c r="C2369" s="22">
        <v>300.7</v>
      </c>
    </row>
    <row r="2370" spans="2:3" x14ac:dyDescent="0.35">
      <c r="B2370" s="87">
        <v>42950</v>
      </c>
      <c r="C2370" s="22">
        <v>305.10000000000002</v>
      </c>
    </row>
    <row r="2371" spans="2:3" x14ac:dyDescent="0.35">
      <c r="B2371" s="87">
        <v>42951</v>
      </c>
      <c r="C2371" s="22">
        <v>307.3</v>
      </c>
    </row>
    <row r="2372" spans="2:3" x14ac:dyDescent="0.35">
      <c r="B2372" s="87">
        <v>42954</v>
      </c>
      <c r="C2372" s="22">
        <v>319.45</v>
      </c>
    </row>
    <row r="2373" spans="2:3" x14ac:dyDescent="0.35">
      <c r="B2373" s="87">
        <v>42955</v>
      </c>
      <c r="C2373" s="22">
        <v>314.95</v>
      </c>
    </row>
    <row r="2374" spans="2:3" x14ac:dyDescent="0.35">
      <c r="B2374" s="87">
        <v>42956</v>
      </c>
      <c r="C2374" s="22">
        <v>310.5</v>
      </c>
    </row>
    <row r="2375" spans="2:3" x14ac:dyDescent="0.35">
      <c r="B2375" s="87">
        <v>42957</v>
      </c>
      <c r="C2375" s="22">
        <v>306.55</v>
      </c>
    </row>
    <row r="2376" spans="2:3" x14ac:dyDescent="0.35">
      <c r="B2376" s="87">
        <v>42958</v>
      </c>
      <c r="C2376" s="22">
        <v>303.39999999999998</v>
      </c>
    </row>
    <row r="2377" spans="2:3" x14ac:dyDescent="0.35">
      <c r="B2377" s="87">
        <v>42961</v>
      </c>
      <c r="C2377" s="22">
        <v>307.10000000000002</v>
      </c>
    </row>
    <row r="2378" spans="2:3" x14ac:dyDescent="0.35">
      <c r="B2378" s="87">
        <v>42963</v>
      </c>
      <c r="C2378" s="22">
        <v>309.05</v>
      </c>
    </row>
    <row r="2379" spans="2:3" x14ac:dyDescent="0.35">
      <c r="B2379" s="87">
        <v>42964</v>
      </c>
      <c r="C2379" s="22">
        <v>307.95</v>
      </c>
    </row>
    <row r="2380" spans="2:3" x14ac:dyDescent="0.35">
      <c r="B2380" s="87">
        <v>42965</v>
      </c>
      <c r="C2380" s="22">
        <v>310.05</v>
      </c>
    </row>
    <row r="2381" spans="2:3" x14ac:dyDescent="0.35">
      <c r="B2381" s="87">
        <v>42968</v>
      </c>
      <c r="C2381" s="22">
        <v>304.25</v>
      </c>
    </row>
    <row r="2382" spans="2:3" x14ac:dyDescent="0.35">
      <c r="B2382" s="87">
        <v>42969</v>
      </c>
      <c r="C2382" s="22">
        <v>301.10000000000002</v>
      </c>
    </row>
    <row r="2383" spans="2:3" x14ac:dyDescent="0.35">
      <c r="B2383" s="87">
        <v>42970</v>
      </c>
      <c r="C2383" s="22">
        <v>298.85000000000002</v>
      </c>
    </row>
    <row r="2384" spans="2:3" x14ac:dyDescent="0.35">
      <c r="B2384" s="87">
        <v>42971</v>
      </c>
      <c r="C2384" s="22">
        <v>300.05</v>
      </c>
    </row>
    <row r="2385" spans="2:3" x14ac:dyDescent="0.35">
      <c r="B2385" s="87">
        <v>42975</v>
      </c>
      <c r="C2385" s="22">
        <v>312.7</v>
      </c>
    </row>
    <row r="2386" spans="2:3" x14ac:dyDescent="0.35">
      <c r="B2386" s="87">
        <v>42976</v>
      </c>
      <c r="C2386" s="22">
        <v>309.25</v>
      </c>
    </row>
    <row r="2387" spans="2:3" x14ac:dyDescent="0.35">
      <c r="B2387" s="87">
        <v>42977</v>
      </c>
      <c r="C2387" s="22">
        <v>314.35000000000002</v>
      </c>
    </row>
    <row r="2388" spans="2:3" x14ac:dyDescent="0.35">
      <c r="B2388" s="87">
        <v>42978</v>
      </c>
      <c r="C2388" s="22">
        <v>315.10000000000002</v>
      </c>
    </row>
    <row r="2389" spans="2:3" x14ac:dyDescent="0.35">
      <c r="B2389" s="87">
        <v>42979</v>
      </c>
      <c r="C2389" s="22">
        <v>313.45</v>
      </c>
    </row>
    <row r="2390" spans="2:3" x14ac:dyDescent="0.35">
      <c r="B2390" s="87">
        <v>42982</v>
      </c>
      <c r="C2390" s="22">
        <v>310.75</v>
      </c>
    </row>
    <row r="2391" spans="2:3" x14ac:dyDescent="0.35">
      <c r="B2391" s="87">
        <v>42983</v>
      </c>
      <c r="C2391" s="22">
        <v>313.7</v>
      </c>
    </row>
    <row r="2392" spans="2:3" x14ac:dyDescent="0.35">
      <c r="B2392" s="87">
        <v>42984</v>
      </c>
      <c r="C2392" s="22">
        <v>309.45</v>
      </c>
    </row>
    <row r="2393" spans="2:3" x14ac:dyDescent="0.35">
      <c r="B2393" s="87">
        <v>42985</v>
      </c>
      <c r="C2393" s="22">
        <v>309.8</v>
      </c>
    </row>
    <row r="2394" spans="2:3" x14ac:dyDescent="0.35">
      <c r="B2394" s="87">
        <v>42986</v>
      </c>
      <c r="C2394" s="22">
        <v>306.85000000000002</v>
      </c>
    </row>
    <row r="2395" spans="2:3" x14ac:dyDescent="0.35">
      <c r="B2395" s="87">
        <v>42989</v>
      </c>
      <c r="C2395" s="22">
        <v>309.45</v>
      </c>
    </row>
    <row r="2396" spans="2:3" x14ac:dyDescent="0.35">
      <c r="B2396" s="87">
        <v>42990</v>
      </c>
      <c r="C2396" s="22">
        <v>306.89999999999998</v>
      </c>
    </row>
    <row r="2397" spans="2:3" x14ac:dyDescent="0.35">
      <c r="B2397" s="87">
        <v>42991</v>
      </c>
      <c r="C2397" s="22">
        <v>308.3</v>
      </c>
    </row>
    <row r="2398" spans="2:3" x14ac:dyDescent="0.35">
      <c r="B2398" s="87">
        <v>42992</v>
      </c>
      <c r="C2398" s="22">
        <v>307.60000000000002</v>
      </c>
    </row>
    <row r="2399" spans="2:3" x14ac:dyDescent="0.35">
      <c r="B2399" s="87">
        <v>42993</v>
      </c>
      <c r="C2399" s="22">
        <v>310.25</v>
      </c>
    </row>
    <row r="2400" spans="2:3" x14ac:dyDescent="0.35">
      <c r="B2400" s="87">
        <v>42996</v>
      </c>
      <c r="C2400" s="22">
        <v>308.45</v>
      </c>
    </row>
    <row r="2401" spans="2:3" x14ac:dyDescent="0.35">
      <c r="B2401" s="87">
        <v>42997</v>
      </c>
      <c r="C2401" s="22">
        <v>314.55</v>
      </c>
    </row>
    <row r="2402" spans="2:3" x14ac:dyDescent="0.35">
      <c r="B2402" s="87">
        <v>42998</v>
      </c>
      <c r="C2402" s="22">
        <v>314.7</v>
      </c>
    </row>
    <row r="2403" spans="2:3" x14ac:dyDescent="0.35">
      <c r="B2403" s="87">
        <v>42999</v>
      </c>
      <c r="C2403" s="22">
        <v>310.25</v>
      </c>
    </row>
    <row r="2404" spans="2:3" x14ac:dyDescent="0.35">
      <c r="B2404" s="87">
        <v>43000</v>
      </c>
      <c r="C2404" s="22">
        <v>304.7</v>
      </c>
    </row>
    <row r="2405" spans="2:3" x14ac:dyDescent="0.35">
      <c r="B2405" s="87">
        <v>43003</v>
      </c>
      <c r="C2405" s="22">
        <v>312.25</v>
      </c>
    </row>
    <row r="2406" spans="2:3" x14ac:dyDescent="0.35">
      <c r="B2406" s="87">
        <v>43004</v>
      </c>
      <c r="C2406" s="22">
        <v>308.05</v>
      </c>
    </row>
    <row r="2407" spans="2:3" x14ac:dyDescent="0.35">
      <c r="B2407" s="87">
        <v>43005</v>
      </c>
      <c r="C2407" s="22">
        <v>305.8</v>
      </c>
    </row>
    <row r="2408" spans="2:3" x14ac:dyDescent="0.35">
      <c r="B2408" s="87">
        <v>43006</v>
      </c>
      <c r="C2408" s="22">
        <v>310.8</v>
      </c>
    </row>
    <row r="2409" spans="2:3" x14ac:dyDescent="0.35">
      <c r="B2409" s="87">
        <v>43007</v>
      </c>
      <c r="C2409" s="22">
        <v>305</v>
      </c>
    </row>
    <row r="2410" spans="2:3" x14ac:dyDescent="0.35">
      <c r="B2410" s="87">
        <v>43011</v>
      </c>
      <c r="C2410" s="22">
        <v>311.3</v>
      </c>
    </row>
    <row r="2411" spans="2:3" x14ac:dyDescent="0.35">
      <c r="B2411" s="87">
        <v>43012</v>
      </c>
      <c r="C2411" s="22">
        <v>315.25</v>
      </c>
    </row>
    <row r="2412" spans="2:3" x14ac:dyDescent="0.35">
      <c r="B2412" s="87">
        <v>43013</v>
      </c>
      <c r="C2412" s="22">
        <v>316.35000000000002</v>
      </c>
    </row>
    <row r="2413" spans="2:3" x14ac:dyDescent="0.35">
      <c r="B2413" s="87">
        <v>43014</v>
      </c>
      <c r="C2413" s="22">
        <v>316.05</v>
      </c>
    </row>
    <row r="2414" spans="2:3" x14ac:dyDescent="0.35">
      <c r="B2414" s="87">
        <v>43017</v>
      </c>
      <c r="C2414" s="22">
        <v>317.64999999999998</v>
      </c>
    </row>
    <row r="2415" spans="2:3" x14ac:dyDescent="0.35">
      <c r="B2415" s="87">
        <v>43018</v>
      </c>
      <c r="C2415" s="22">
        <v>317.3</v>
      </c>
    </row>
    <row r="2416" spans="2:3" x14ac:dyDescent="0.35">
      <c r="B2416" s="87">
        <v>43019</v>
      </c>
      <c r="C2416" s="22">
        <v>317.75</v>
      </c>
    </row>
    <row r="2417" spans="2:3" x14ac:dyDescent="0.35">
      <c r="B2417" s="87">
        <v>43020</v>
      </c>
      <c r="C2417" s="22">
        <v>325.7</v>
      </c>
    </row>
    <row r="2418" spans="2:3" x14ac:dyDescent="0.35">
      <c r="B2418" s="87">
        <v>43021</v>
      </c>
      <c r="C2418" s="22">
        <v>321.95</v>
      </c>
    </row>
    <row r="2419" spans="2:3" x14ac:dyDescent="0.35">
      <c r="B2419" s="87">
        <v>43024</v>
      </c>
      <c r="C2419" s="22">
        <v>321.95</v>
      </c>
    </row>
    <row r="2420" spans="2:3" x14ac:dyDescent="0.35">
      <c r="B2420" s="87">
        <v>43025</v>
      </c>
      <c r="C2420" s="22">
        <v>319.95</v>
      </c>
    </row>
    <row r="2421" spans="2:3" x14ac:dyDescent="0.35">
      <c r="B2421" s="87">
        <v>43026</v>
      </c>
      <c r="C2421" s="22">
        <v>319.05</v>
      </c>
    </row>
    <row r="2422" spans="2:3" x14ac:dyDescent="0.35">
      <c r="B2422" s="87">
        <v>43027</v>
      </c>
      <c r="C2422" s="22">
        <v>318.55</v>
      </c>
    </row>
    <row r="2423" spans="2:3" x14ac:dyDescent="0.35">
      <c r="B2423" s="87">
        <v>43031</v>
      </c>
      <c r="C2423" s="22">
        <v>316.8</v>
      </c>
    </row>
    <row r="2424" spans="2:3" x14ac:dyDescent="0.35">
      <c r="B2424" s="87">
        <v>43032</v>
      </c>
      <c r="C2424" s="22">
        <v>318.55</v>
      </c>
    </row>
    <row r="2425" spans="2:3" x14ac:dyDescent="0.35">
      <c r="B2425" s="87">
        <v>43033</v>
      </c>
      <c r="C2425" s="22">
        <v>323.10000000000002</v>
      </c>
    </row>
    <row r="2426" spans="2:3" x14ac:dyDescent="0.35">
      <c r="B2426" s="87">
        <v>43034</v>
      </c>
      <c r="C2426" s="22">
        <v>322.8</v>
      </c>
    </row>
    <row r="2427" spans="2:3" x14ac:dyDescent="0.35">
      <c r="B2427" s="87">
        <v>43035</v>
      </c>
      <c r="C2427" s="22">
        <v>322.95</v>
      </c>
    </row>
    <row r="2428" spans="2:3" x14ac:dyDescent="0.35">
      <c r="B2428" s="87">
        <v>43038</v>
      </c>
      <c r="C2428" s="22">
        <v>322.25</v>
      </c>
    </row>
    <row r="2429" spans="2:3" x14ac:dyDescent="0.35">
      <c r="B2429" s="87">
        <v>43039</v>
      </c>
      <c r="C2429" s="22">
        <v>332.85</v>
      </c>
    </row>
    <row r="2430" spans="2:3" x14ac:dyDescent="0.35">
      <c r="B2430" s="87">
        <v>43040</v>
      </c>
      <c r="C2430" s="22">
        <v>349.55</v>
      </c>
    </row>
    <row r="2431" spans="2:3" x14ac:dyDescent="0.35">
      <c r="B2431" s="87">
        <v>43041</v>
      </c>
      <c r="C2431" s="22">
        <v>342.65</v>
      </c>
    </row>
    <row r="2432" spans="2:3" x14ac:dyDescent="0.35">
      <c r="B2432" s="87">
        <v>43042</v>
      </c>
      <c r="C2432" s="22">
        <v>340.4</v>
      </c>
    </row>
    <row r="2433" spans="2:3" x14ac:dyDescent="0.35">
      <c r="B2433" s="87">
        <v>43045</v>
      </c>
      <c r="C2433" s="22">
        <v>342.55</v>
      </c>
    </row>
    <row r="2434" spans="2:3" x14ac:dyDescent="0.35">
      <c r="B2434" s="87">
        <v>43046</v>
      </c>
      <c r="C2434" s="22">
        <v>340.15</v>
      </c>
    </row>
    <row r="2435" spans="2:3" x14ac:dyDescent="0.35">
      <c r="B2435" s="87">
        <v>43047</v>
      </c>
      <c r="C2435" s="22">
        <v>338.25</v>
      </c>
    </row>
    <row r="2436" spans="2:3" x14ac:dyDescent="0.35">
      <c r="B2436" s="87">
        <v>43048</v>
      </c>
      <c r="C2436" s="22">
        <v>348.45</v>
      </c>
    </row>
    <row r="2437" spans="2:3" x14ac:dyDescent="0.35">
      <c r="B2437" s="87">
        <v>43049</v>
      </c>
      <c r="C2437" s="22">
        <v>342.1</v>
      </c>
    </row>
    <row r="2438" spans="2:3" x14ac:dyDescent="0.35">
      <c r="B2438" s="87">
        <v>43052</v>
      </c>
      <c r="C2438" s="22">
        <v>337.45</v>
      </c>
    </row>
    <row r="2439" spans="2:3" x14ac:dyDescent="0.35">
      <c r="B2439" s="87">
        <v>43053</v>
      </c>
      <c r="C2439" s="22">
        <v>337.95</v>
      </c>
    </row>
    <row r="2440" spans="2:3" x14ac:dyDescent="0.35">
      <c r="B2440" s="87">
        <v>43054</v>
      </c>
      <c r="C2440" s="22">
        <v>334.9</v>
      </c>
    </row>
    <row r="2441" spans="2:3" x14ac:dyDescent="0.35">
      <c r="B2441" s="87">
        <v>43055</v>
      </c>
      <c r="C2441" s="22">
        <v>339.1</v>
      </c>
    </row>
    <row r="2442" spans="2:3" x14ac:dyDescent="0.35">
      <c r="B2442" s="87">
        <v>43056</v>
      </c>
      <c r="C2442" s="22">
        <v>336.5</v>
      </c>
    </row>
    <row r="2443" spans="2:3" x14ac:dyDescent="0.35">
      <c r="B2443" s="87">
        <v>43059</v>
      </c>
      <c r="C2443" s="22">
        <v>337.55</v>
      </c>
    </row>
    <row r="2444" spans="2:3" x14ac:dyDescent="0.35">
      <c r="B2444" s="87">
        <v>43060</v>
      </c>
      <c r="C2444" s="22">
        <v>339.8</v>
      </c>
    </row>
    <row r="2445" spans="2:3" x14ac:dyDescent="0.35">
      <c r="B2445" s="87">
        <v>43061</v>
      </c>
      <c r="C2445" s="22">
        <v>339.35</v>
      </c>
    </row>
    <row r="2446" spans="2:3" x14ac:dyDescent="0.35">
      <c r="B2446" s="87">
        <v>43062</v>
      </c>
      <c r="C2446" s="22">
        <v>340.05</v>
      </c>
    </row>
    <row r="2447" spans="2:3" x14ac:dyDescent="0.35">
      <c r="B2447" s="87">
        <v>43063</v>
      </c>
      <c r="C2447" s="22">
        <v>344.5</v>
      </c>
    </row>
    <row r="2448" spans="2:3" x14ac:dyDescent="0.35">
      <c r="B2448" s="87">
        <v>43066</v>
      </c>
      <c r="C2448" s="22">
        <v>342.4</v>
      </c>
    </row>
    <row r="2449" spans="2:3" x14ac:dyDescent="0.35">
      <c r="B2449" s="87">
        <v>43067</v>
      </c>
      <c r="C2449" s="22">
        <v>344.9</v>
      </c>
    </row>
    <row r="2450" spans="2:3" x14ac:dyDescent="0.35">
      <c r="B2450" s="87">
        <v>43068</v>
      </c>
      <c r="C2450" s="22">
        <v>339.9</v>
      </c>
    </row>
    <row r="2451" spans="2:3" x14ac:dyDescent="0.35">
      <c r="B2451" s="87">
        <v>43069</v>
      </c>
      <c r="C2451" s="22">
        <v>344.3</v>
      </c>
    </row>
    <row r="2452" spans="2:3" x14ac:dyDescent="0.35">
      <c r="B2452" s="87">
        <v>43070</v>
      </c>
      <c r="C2452" s="22">
        <v>340.75</v>
      </c>
    </row>
    <row r="2453" spans="2:3" x14ac:dyDescent="0.35">
      <c r="B2453" s="87">
        <v>43073</v>
      </c>
      <c r="C2453" s="22">
        <v>341.45</v>
      </c>
    </row>
    <row r="2454" spans="2:3" x14ac:dyDescent="0.35">
      <c r="B2454" s="87">
        <v>43074</v>
      </c>
      <c r="C2454" s="22">
        <v>344.05</v>
      </c>
    </row>
    <row r="2455" spans="2:3" x14ac:dyDescent="0.35">
      <c r="B2455" s="87">
        <v>43075</v>
      </c>
      <c r="C2455" s="22">
        <v>342.55</v>
      </c>
    </row>
    <row r="2456" spans="2:3" x14ac:dyDescent="0.35">
      <c r="B2456" s="87">
        <v>43076</v>
      </c>
      <c r="C2456" s="22">
        <v>345.45</v>
      </c>
    </row>
    <row r="2457" spans="2:3" x14ac:dyDescent="0.35">
      <c r="B2457" s="87">
        <v>43077</v>
      </c>
      <c r="C2457" s="22">
        <v>351.15</v>
      </c>
    </row>
    <row r="2458" spans="2:3" x14ac:dyDescent="0.35">
      <c r="B2458" s="87">
        <v>43080</v>
      </c>
      <c r="C2458" s="22">
        <v>349.55</v>
      </c>
    </row>
    <row r="2459" spans="2:3" x14ac:dyDescent="0.35">
      <c r="B2459" s="87">
        <v>43081</v>
      </c>
      <c r="C2459" s="22">
        <v>348.15</v>
      </c>
    </row>
    <row r="2460" spans="2:3" x14ac:dyDescent="0.35">
      <c r="B2460" s="87">
        <v>43082</v>
      </c>
      <c r="C2460" s="22">
        <v>345.75</v>
      </c>
    </row>
    <row r="2461" spans="2:3" x14ac:dyDescent="0.35">
      <c r="B2461" s="87">
        <v>43083</v>
      </c>
      <c r="C2461" s="22">
        <v>344.2</v>
      </c>
    </row>
    <row r="2462" spans="2:3" x14ac:dyDescent="0.35">
      <c r="B2462" s="87">
        <v>43084</v>
      </c>
      <c r="C2462" s="22">
        <v>342.25</v>
      </c>
    </row>
    <row r="2463" spans="2:3" x14ac:dyDescent="0.35">
      <c r="B2463" s="87">
        <v>43087</v>
      </c>
      <c r="C2463" s="22">
        <v>347.65</v>
      </c>
    </row>
    <row r="2464" spans="2:3" x14ac:dyDescent="0.35">
      <c r="B2464" s="87">
        <v>43088</v>
      </c>
      <c r="C2464" s="22">
        <v>350.05</v>
      </c>
    </row>
    <row r="2465" spans="2:3" x14ac:dyDescent="0.35">
      <c r="B2465" s="87">
        <v>43089</v>
      </c>
      <c r="C2465" s="22">
        <v>350.8</v>
      </c>
    </row>
    <row r="2466" spans="2:3" x14ac:dyDescent="0.35">
      <c r="B2466" s="87">
        <v>43090</v>
      </c>
      <c r="C2466" s="22">
        <v>349.65</v>
      </c>
    </row>
    <row r="2467" spans="2:3" x14ac:dyDescent="0.35">
      <c r="B2467" s="87">
        <v>43091</v>
      </c>
      <c r="C2467" s="22">
        <v>353.55</v>
      </c>
    </row>
    <row r="2468" spans="2:3" x14ac:dyDescent="0.35">
      <c r="B2468" s="87">
        <v>43095</v>
      </c>
      <c r="C2468" s="22">
        <v>353.5</v>
      </c>
    </row>
    <row r="2469" spans="2:3" x14ac:dyDescent="0.35">
      <c r="B2469" s="87">
        <v>43096</v>
      </c>
      <c r="C2469" s="22">
        <v>352.95</v>
      </c>
    </row>
    <row r="2470" spans="2:3" x14ac:dyDescent="0.35">
      <c r="B2470" s="87">
        <v>43097</v>
      </c>
      <c r="C2470" s="22">
        <v>344.8</v>
      </c>
    </row>
    <row r="2471" spans="2:3" x14ac:dyDescent="0.35">
      <c r="B2471" s="87">
        <v>43098</v>
      </c>
      <c r="C2471" s="22">
        <v>349.7</v>
      </c>
    </row>
    <row r="2472" spans="2:3" x14ac:dyDescent="0.35">
      <c r="B2472" s="87">
        <v>43101</v>
      </c>
      <c r="C2472" s="22">
        <v>349</v>
      </c>
    </row>
    <row r="2473" spans="2:3" x14ac:dyDescent="0.35">
      <c r="B2473" s="87">
        <v>43102</v>
      </c>
      <c r="C2473" s="22">
        <v>349.05</v>
      </c>
    </row>
    <row r="2474" spans="2:3" x14ac:dyDescent="0.35">
      <c r="B2474" s="87">
        <v>43103</v>
      </c>
      <c r="C2474" s="22">
        <v>354.65</v>
      </c>
    </row>
    <row r="2475" spans="2:3" x14ac:dyDescent="0.35">
      <c r="B2475" s="87">
        <v>43104</v>
      </c>
      <c r="C2475" s="22">
        <v>355</v>
      </c>
    </row>
    <row r="2476" spans="2:3" x14ac:dyDescent="0.35">
      <c r="B2476" s="87">
        <v>43105</v>
      </c>
      <c r="C2476" s="22">
        <v>358.2</v>
      </c>
    </row>
    <row r="2477" spans="2:3" x14ac:dyDescent="0.35">
      <c r="B2477" s="87">
        <v>43108</v>
      </c>
      <c r="C2477" s="22">
        <v>361.35</v>
      </c>
    </row>
    <row r="2478" spans="2:3" x14ac:dyDescent="0.35">
      <c r="B2478" s="87">
        <v>43109</v>
      </c>
      <c r="C2478" s="22">
        <v>359.35</v>
      </c>
    </row>
    <row r="2479" spans="2:3" x14ac:dyDescent="0.35">
      <c r="B2479" s="87">
        <v>43110</v>
      </c>
      <c r="C2479" s="22">
        <v>357.8</v>
      </c>
    </row>
    <row r="2480" spans="2:3" x14ac:dyDescent="0.35">
      <c r="B2480" s="87">
        <v>43111</v>
      </c>
      <c r="C2480" s="22">
        <v>359.9</v>
      </c>
    </row>
    <row r="2481" spans="2:3" x14ac:dyDescent="0.35">
      <c r="B2481" s="87">
        <v>43112</v>
      </c>
      <c r="C2481" s="22">
        <v>358.15</v>
      </c>
    </row>
    <row r="2482" spans="2:3" x14ac:dyDescent="0.35">
      <c r="B2482" s="87">
        <v>43115</v>
      </c>
      <c r="C2482" s="22">
        <v>361.25</v>
      </c>
    </row>
    <row r="2483" spans="2:3" x14ac:dyDescent="0.35">
      <c r="B2483" s="87">
        <v>43116</v>
      </c>
      <c r="C2483" s="22">
        <v>358.4</v>
      </c>
    </row>
    <row r="2484" spans="2:3" x14ac:dyDescent="0.35">
      <c r="B2484" s="87">
        <v>43117</v>
      </c>
      <c r="C2484" s="22">
        <v>358.9</v>
      </c>
    </row>
    <row r="2485" spans="2:3" x14ac:dyDescent="0.35">
      <c r="B2485" s="87">
        <v>43118</v>
      </c>
      <c r="C2485" s="22">
        <v>364.65</v>
      </c>
    </row>
    <row r="2486" spans="2:3" x14ac:dyDescent="0.35">
      <c r="B2486" s="87">
        <v>43119</v>
      </c>
      <c r="C2486" s="22">
        <v>363.8</v>
      </c>
    </row>
    <row r="2487" spans="2:3" x14ac:dyDescent="0.35">
      <c r="B2487" s="87">
        <v>43122</v>
      </c>
      <c r="C2487" s="22">
        <v>363.1</v>
      </c>
    </row>
    <row r="2488" spans="2:3" x14ac:dyDescent="0.35">
      <c r="B2488" s="87">
        <v>43123</v>
      </c>
      <c r="C2488" s="22">
        <v>364</v>
      </c>
    </row>
    <row r="2489" spans="2:3" x14ac:dyDescent="0.35">
      <c r="B2489" s="87">
        <v>43124</v>
      </c>
      <c r="C2489" s="22">
        <v>359.2</v>
      </c>
    </row>
    <row r="2490" spans="2:3" x14ac:dyDescent="0.35">
      <c r="B2490" s="87">
        <v>43125</v>
      </c>
      <c r="C2490" s="22">
        <v>353.75</v>
      </c>
    </row>
    <row r="2491" spans="2:3" x14ac:dyDescent="0.35">
      <c r="B2491" s="87">
        <v>43129</v>
      </c>
      <c r="C2491" s="22">
        <v>359.7</v>
      </c>
    </row>
    <row r="2492" spans="2:3" x14ac:dyDescent="0.35">
      <c r="B2492" s="87">
        <v>43130</v>
      </c>
      <c r="C2492" s="22">
        <v>358.6</v>
      </c>
    </row>
    <row r="2493" spans="2:3" x14ac:dyDescent="0.35">
      <c r="B2493" s="87">
        <v>43131</v>
      </c>
      <c r="C2493" s="22">
        <v>355.6</v>
      </c>
    </row>
    <row r="2494" spans="2:3" x14ac:dyDescent="0.35">
      <c r="B2494" s="87">
        <v>43132</v>
      </c>
      <c r="C2494" s="22">
        <v>349.7</v>
      </c>
    </row>
    <row r="2495" spans="2:3" x14ac:dyDescent="0.35">
      <c r="B2495" s="87">
        <v>43133</v>
      </c>
      <c r="C2495" s="22">
        <v>344.45</v>
      </c>
    </row>
    <row r="2496" spans="2:3" x14ac:dyDescent="0.35">
      <c r="B2496" s="87">
        <v>43136</v>
      </c>
      <c r="C2496" s="22">
        <v>339.1</v>
      </c>
    </row>
    <row r="2497" spans="2:3" x14ac:dyDescent="0.35">
      <c r="B2497" s="87">
        <v>43137</v>
      </c>
      <c r="C2497" s="22">
        <v>339.25</v>
      </c>
    </row>
    <row r="2498" spans="2:3" x14ac:dyDescent="0.35">
      <c r="B2498" s="87">
        <v>43138</v>
      </c>
      <c r="C2498" s="22">
        <v>338.35</v>
      </c>
    </row>
    <row r="2499" spans="2:3" x14ac:dyDescent="0.35">
      <c r="B2499" s="87">
        <v>43139</v>
      </c>
      <c r="C2499" s="22">
        <v>340.3</v>
      </c>
    </row>
    <row r="2500" spans="2:3" x14ac:dyDescent="0.35">
      <c r="B2500" s="87">
        <v>43140</v>
      </c>
      <c r="C2500" s="22">
        <v>340.55</v>
      </c>
    </row>
    <row r="2501" spans="2:3" x14ac:dyDescent="0.35">
      <c r="B2501" s="87">
        <v>43143</v>
      </c>
      <c r="C2501" s="22">
        <v>344.75</v>
      </c>
    </row>
    <row r="2502" spans="2:3" x14ac:dyDescent="0.35">
      <c r="B2502" s="87">
        <v>43145</v>
      </c>
      <c r="C2502" s="22">
        <v>340.75</v>
      </c>
    </row>
    <row r="2503" spans="2:3" x14ac:dyDescent="0.35">
      <c r="B2503" s="87">
        <v>43146</v>
      </c>
      <c r="C2503" s="22">
        <v>339.6</v>
      </c>
    </row>
    <row r="2504" spans="2:3" x14ac:dyDescent="0.35">
      <c r="B2504" s="87">
        <v>43147</v>
      </c>
      <c r="C2504" s="22">
        <v>342.75</v>
      </c>
    </row>
    <row r="2505" spans="2:3" x14ac:dyDescent="0.35">
      <c r="B2505" s="87">
        <v>43150</v>
      </c>
      <c r="C2505" s="22">
        <v>339.35</v>
      </c>
    </row>
    <row r="2506" spans="2:3" x14ac:dyDescent="0.35">
      <c r="B2506" s="87">
        <v>43151</v>
      </c>
      <c r="C2506" s="22">
        <v>340.7</v>
      </c>
    </row>
    <row r="2507" spans="2:3" x14ac:dyDescent="0.35">
      <c r="B2507" s="87">
        <v>43152</v>
      </c>
      <c r="C2507" s="22">
        <v>334.5</v>
      </c>
    </row>
    <row r="2508" spans="2:3" x14ac:dyDescent="0.35">
      <c r="B2508" s="87">
        <v>43153</v>
      </c>
      <c r="C2508" s="22">
        <v>327.10000000000002</v>
      </c>
    </row>
    <row r="2509" spans="2:3" x14ac:dyDescent="0.35">
      <c r="B2509" s="87">
        <v>43154</v>
      </c>
      <c r="C2509" s="22">
        <v>330.6</v>
      </c>
    </row>
    <row r="2510" spans="2:3" x14ac:dyDescent="0.35">
      <c r="B2510" s="87">
        <v>43157</v>
      </c>
      <c r="C2510" s="22">
        <v>331.75</v>
      </c>
    </row>
    <row r="2511" spans="2:3" x14ac:dyDescent="0.35">
      <c r="B2511" s="87">
        <v>43158</v>
      </c>
      <c r="C2511" s="22">
        <v>328.1</v>
      </c>
    </row>
    <row r="2512" spans="2:3" x14ac:dyDescent="0.35">
      <c r="B2512" s="87">
        <v>43159</v>
      </c>
      <c r="C2512" s="22">
        <v>325.05</v>
      </c>
    </row>
    <row r="2513" spans="2:3" x14ac:dyDescent="0.35">
      <c r="B2513" s="87">
        <v>43160</v>
      </c>
      <c r="C2513" s="22">
        <v>325.2</v>
      </c>
    </row>
    <row r="2514" spans="2:3" x14ac:dyDescent="0.35">
      <c r="B2514" s="87">
        <v>43164</v>
      </c>
      <c r="C2514" s="22">
        <v>325</v>
      </c>
    </row>
    <row r="2515" spans="2:3" x14ac:dyDescent="0.35">
      <c r="B2515" s="87">
        <v>43165</v>
      </c>
      <c r="C2515" s="22">
        <v>322.7</v>
      </c>
    </row>
    <row r="2516" spans="2:3" x14ac:dyDescent="0.35">
      <c r="B2516" s="87">
        <v>43166</v>
      </c>
      <c r="C2516" s="22">
        <v>323.39999999999998</v>
      </c>
    </row>
    <row r="2517" spans="2:3" x14ac:dyDescent="0.35">
      <c r="B2517" s="87">
        <v>43167</v>
      </c>
      <c r="C2517" s="22">
        <v>325.05</v>
      </c>
    </row>
    <row r="2518" spans="2:3" x14ac:dyDescent="0.35">
      <c r="B2518" s="87">
        <v>43168</v>
      </c>
      <c r="C2518" s="22">
        <v>327.25</v>
      </c>
    </row>
    <row r="2519" spans="2:3" x14ac:dyDescent="0.35">
      <c r="B2519" s="87">
        <v>43171</v>
      </c>
      <c r="C2519" s="22">
        <v>327.75</v>
      </c>
    </row>
    <row r="2520" spans="2:3" x14ac:dyDescent="0.35">
      <c r="B2520" s="87">
        <v>43172</v>
      </c>
      <c r="C2520" s="22">
        <v>325.14999999999998</v>
      </c>
    </row>
    <row r="2521" spans="2:3" x14ac:dyDescent="0.35">
      <c r="B2521" s="87">
        <v>43173</v>
      </c>
      <c r="C2521" s="22">
        <v>325</v>
      </c>
    </row>
    <row r="2522" spans="2:3" x14ac:dyDescent="0.35">
      <c r="B2522" s="87">
        <v>43174</v>
      </c>
      <c r="C2522" s="22">
        <v>325.05</v>
      </c>
    </row>
    <row r="2523" spans="2:3" x14ac:dyDescent="0.35">
      <c r="B2523" s="87">
        <v>43175</v>
      </c>
      <c r="C2523" s="22">
        <v>321.25</v>
      </c>
    </row>
    <row r="2524" spans="2:3" x14ac:dyDescent="0.35">
      <c r="B2524" s="87">
        <v>43178</v>
      </c>
      <c r="C2524" s="22">
        <v>319.7</v>
      </c>
    </row>
    <row r="2525" spans="2:3" x14ac:dyDescent="0.35">
      <c r="B2525" s="87">
        <v>43179</v>
      </c>
      <c r="C2525" s="22">
        <v>319.35000000000002</v>
      </c>
    </row>
    <row r="2526" spans="2:3" x14ac:dyDescent="0.35">
      <c r="B2526" s="87">
        <v>43180</v>
      </c>
      <c r="C2526" s="22">
        <v>322.45</v>
      </c>
    </row>
    <row r="2527" spans="2:3" x14ac:dyDescent="0.35">
      <c r="B2527" s="87">
        <v>43181</v>
      </c>
      <c r="C2527" s="22">
        <v>316.95</v>
      </c>
    </row>
    <row r="2528" spans="2:3" x14ac:dyDescent="0.35">
      <c r="B2528" s="87">
        <v>43182</v>
      </c>
      <c r="C2528" s="22">
        <v>318.2</v>
      </c>
    </row>
    <row r="2529" spans="2:3" x14ac:dyDescent="0.35">
      <c r="B2529" s="87">
        <v>43185</v>
      </c>
      <c r="C2529" s="22">
        <v>315.55</v>
      </c>
    </row>
    <row r="2530" spans="2:3" x14ac:dyDescent="0.35">
      <c r="B2530" s="87">
        <v>43186</v>
      </c>
      <c r="C2530" s="22">
        <v>324.85000000000002</v>
      </c>
    </row>
    <row r="2531" spans="2:3" x14ac:dyDescent="0.35">
      <c r="B2531" s="87">
        <v>43187</v>
      </c>
      <c r="C2531" s="22">
        <v>328.4</v>
      </c>
    </row>
    <row r="2532" spans="2:3" x14ac:dyDescent="0.35">
      <c r="B2532" s="87">
        <v>43192</v>
      </c>
      <c r="C2532" s="22">
        <v>335.9</v>
      </c>
    </row>
    <row r="2533" spans="2:3" x14ac:dyDescent="0.35">
      <c r="B2533" s="87">
        <v>43193</v>
      </c>
      <c r="C2533" s="22">
        <v>337.7</v>
      </c>
    </row>
    <row r="2534" spans="2:3" x14ac:dyDescent="0.35">
      <c r="B2534" s="87">
        <v>43194</v>
      </c>
      <c r="C2534" s="22">
        <v>335.5</v>
      </c>
    </row>
    <row r="2535" spans="2:3" x14ac:dyDescent="0.35">
      <c r="B2535" s="87">
        <v>43195</v>
      </c>
      <c r="C2535" s="22">
        <v>336.9</v>
      </c>
    </row>
    <row r="2536" spans="2:3" x14ac:dyDescent="0.35">
      <c r="B2536" s="87">
        <v>43196</v>
      </c>
      <c r="C2536" s="22">
        <v>342.85</v>
      </c>
    </row>
    <row r="2537" spans="2:3" x14ac:dyDescent="0.35">
      <c r="B2537" s="87">
        <v>43199</v>
      </c>
      <c r="C2537" s="22">
        <v>342.2</v>
      </c>
    </row>
    <row r="2538" spans="2:3" x14ac:dyDescent="0.35">
      <c r="B2538" s="87">
        <v>43200</v>
      </c>
      <c r="C2538" s="22">
        <v>337.05</v>
      </c>
    </row>
    <row r="2539" spans="2:3" x14ac:dyDescent="0.35">
      <c r="B2539" s="87">
        <v>43201</v>
      </c>
      <c r="C2539" s="22">
        <v>344.4</v>
      </c>
    </row>
    <row r="2540" spans="2:3" x14ac:dyDescent="0.35">
      <c r="B2540" s="87">
        <v>43202</v>
      </c>
      <c r="C2540" s="22">
        <v>345</v>
      </c>
    </row>
    <row r="2541" spans="2:3" x14ac:dyDescent="0.35">
      <c r="B2541" s="87">
        <v>43203</v>
      </c>
      <c r="C2541" s="22">
        <v>340.45</v>
      </c>
    </row>
    <row r="2542" spans="2:3" x14ac:dyDescent="0.35">
      <c r="B2542" s="87">
        <v>43206</v>
      </c>
      <c r="C2542" s="22">
        <v>343.5</v>
      </c>
    </row>
    <row r="2543" spans="2:3" x14ac:dyDescent="0.35">
      <c r="B2543" s="87">
        <v>43207</v>
      </c>
      <c r="C2543" s="22">
        <v>343.75</v>
      </c>
    </row>
    <row r="2544" spans="2:3" x14ac:dyDescent="0.35">
      <c r="B2544" s="87">
        <v>43208</v>
      </c>
      <c r="C2544" s="22">
        <v>355.85</v>
      </c>
    </row>
    <row r="2545" spans="2:3" x14ac:dyDescent="0.35">
      <c r="B2545" s="87">
        <v>43209</v>
      </c>
      <c r="C2545" s="22">
        <v>358.35</v>
      </c>
    </row>
    <row r="2546" spans="2:3" x14ac:dyDescent="0.35">
      <c r="B2546" s="87">
        <v>43210</v>
      </c>
      <c r="C2546" s="22">
        <v>355.15</v>
      </c>
    </row>
    <row r="2547" spans="2:3" x14ac:dyDescent="0.35">
      <c r="B2547" s="87">
        <v>43213</v>
      </c>
      <c r="C2547" s="22">
        <v>357.6</v>
      </c>
    </row>
    <row r="2548" spans="2:3" x14ac:dyDescent="0.35">
      <c r="B2548" s="87">
        <v>43214</v>
      </c>
      <c r="C2548" s="22">
        <v>356.9</v>
      </c>
    </row>
    <row r="2549" spans="2:3" x14ac:dyDescent="0.35">
      <c r="B2549" s="87">
        <v>43215</v>
      </c>
      <c r="C2549" s="22">
        <v>358.9</v>
      </c>
    </row>
    <row r="2550" spans="2:3" x14ac:dyDescent="0.35">
      <c r="B2550" s="87">
        <v>43216</v>
      </c>
      <c r="C2550" s="22">
        <v>357.1</v>
      </c>
    </row>
    <row r="2551" spans="2:3" x14ac:dyDescent="0.35">
      <c r="B2551" s="87">
        <v>43217</v>
      </c>
      <c r="C2551" s="22">
        <v>366.45</v>
      </c>
    </row>
    <row r="2552" spans="2:3" x14ac:dyDescent="0.35">
      <c r="B2552" s="87">
        <v>43220</v>
      </c>
      <c r="C2552" s="22">
        <v>369.4</v>
      </c>
    </row>
    <row r="2553" spans="2:3" x14ac:dyDescent="0.35">
      <c r="B2553" s="87">
        <v>43222</v>
      </c>
      <c r="C2553" s="22">
        <v>371.8</v>
      </c>
    </row>
    <row r="2554" spans="2:3" x14ac:dyDescent="0.35">
      <c r="B2554" s="87">
        <v>43223</v>
      </c>
      <c r="C2554" s="22">
        <v>369.9</v>
      </c>
    </row>
    <row r="2555" spans="2:3" x14ac:dyDescent="0.35">
      <c r="B2555" s="87">
        <v>43224</v>
      </c>
      <c r="C2555" s="22">
        <v>370.35</v>
      </c>
    </row>
    <row r="2556" spans="2:3" x14ac:dyDescent="0.35">
      <c r="B2556" s="87">
        <v>43227</v>
      </c>
      <c r="C2556" s="22">
        <v>369.35</v>
      </c>
    </row>
    <row r="2557" spans="2:3" x14ac:dyDescent="0.35">
      <c r="B2557" s="87">
        <v>43228</v>
      </c>
      <c r="C2557" s="22">
        <v>369.7</v>
      </c>
    </row>
    <row r="2558" spans="2:3" x14ac:dyDescent="0.35">
      <c r="B2558" s="87">
        <v>43229</v>
      </c>
      <c r="C2558" s="22">
        <v>368.55</v>
      </c>
    </row>
    <row r="2559" spans="2:3" x14ac:dyDescent="0.35">
      <c r="B2559" s="87">
        <v>43230</v>
      </c>
      <c r="C2559" s="22">
        <v>367.85</v>
      </c>
    </row>
    <row r="2560" spans="2:3" x14ac:dyDescent="0.35">
      <c r="B2560" s="87">
        <v>43231</v>
      </c>
      <c r="C2560" s="22">
        <v>366.45</v>
      </c>
    </row>
    <row r="2561" spans="2:3" x14ac:dyDescent="0.35">
      <c r="B2561" s="87">
        <v>43234</v>
      </c>
      <c r="C2561" s="22">
        <v>370.5</v>
      </c>
    </row>
    <row r="2562" spans="2:3" x14ac:dyDescent="0.35">
      <c r="B2562" s="87">
        <v>43235</v>
      </c>
      <c r="C2562" s="22">
        <v>370.65</v>
      </c>
    </row>
    <row r="2563" spans="2:3" x14ac:dyDescent="0.35">
      <c r="B2563" s="87">
        <v>43236</v>
      </c>
      <c r="C2563" s="22">
        <v>373.85</v>
      </c>
    </row>
    <row r="2564" spans="2:3" x14ac:dyDescent="0.35">
      <c r="B2564" s="87">
        <v>43237</v>
      </c>
      <c r="C2564" s="22">
        <v>371.35</v>
      </c>
    </row>
    <row r="2565" spans="2:3" x14ac:dyDescent="0.35">
      <c r="B2565" s="87">
        <v>43238</v>
      </c>
      <c r="C2565" s="22">
        <v>374.55</v>
      </c>
    </row>
    <row r="2566" spans="2:3" x14ac:dyDescent="0.35">
      <c r="B2566" s="87">
        <v>43241</v>
      </c>
      <c r="C2566" s="22">
        <v>373.15</v>
      </c>
    </row>
    <row r="2567" spans="2:3" x14ac:dyDescent="0.35">
      <c r="B2567" s="87">
        <v>43242</v>
      </c>
      <c r="C2567" s="22">
        <v>374.7</v>
      </c>
    </row>
    <row r="2568" spans="2:3" x14ac:dyDescent="0.35">
      <c r="B2568" s="87">
        <v>43243</v>
      </c>
      <c r="C2568" s="22">
        <v>368.2</v>
      </c>
    </row>
    <row r="2569" spans="2:3" x14ac:dyDescent="0.35">
      <c r="B2569" s="87">
        <v>43244</v>
      </c>
      <c r="C2569" s="22">
        <v>369.5</v>
      </c>
    </row>
    <row r="2570" spans="2:3" x14ac:dyDescent="0.35">
      <c r="B2570" s="87">
        <v>43245</v>
      </c>
      <c r="C2570" s="22">
        <v>378.3</v>
      </c>
    </row>
    <row r="2571" spans="2:3" x14ac:dyDescent="0.35">
      <c r="B2571" s="87">
        <v>43248</v>
      </c>
      <c r="C2571" s="22">
        <v>377.8</v>
      </c>
    </row>
    <row r="2572" spans="2:3" x14ac:dyDescent="0.35">
      <c r="B2572" s="87">
        <v>43249</v>
      </c>
      <c r="C2572" s="22">
        <v>385.55</v>
      </c>
    </row>
    <row r="2573" spans="2:3" x14ac:dyDescent="0.35">
      <c r="B2573" s="87">
        <v>43250</v>
      </c>
      <c r="C2573" s="22">
        <v>381.9</v>
      </c>
    </row>
    <row r="2574" spans="2:3" x14ac:dyDescent="0.35">
      <c r="B2574" s="87">
        <v>43251</v>
      </c>
      <c r="C2574" s="22">
        <v>383.3</v>
      </c>
    </row>
    <row r="2575" spans="2:3" x14ac:dyDescent="0.35">
      <c r="B2575" s="87">
        <v>43252</v>
      </c>
      <c r="C2575" s="22">
        <v>386.75</v>
      </c>
    </row>
    <row r="2576" spans="2:3" x14ac:dyDescent="0.35">
      <c r="B2576" s="87">
        <v>43255</v>
      </c>
      <c r="C2576" s="22">
        <v>384.95</v>
      </c>
    </row>
    <row r="2577" spans="2:3" x14ac:dyDescent="0.35">
      <c r="B2577" s="87">
        <v>43256</v>
      </c>
      <c r="C2577" s="22">
        <v>380.9</v>
      </c>
    </row>
    <row r="2578" spans="2:3" x14ac:dyDescent="0.35">
      <c r="B2578" s="87">
        <v>43257</v>
      </c>
      <c r="C2578" s="22">
        <v>378.6</v>
      </c>
    </row>
    <row r="2579" spans="2:3" x14ac:dyDescent="0.35">
      <c r="B2579" s="87">
        <v>43258</v>
      </c>
      <c r="C2579" s="22">
        <v>383.95</v>
      </c>
    </row>
    <row r="2580" spans="2:3" x14ac:dyDescent="0.35">
      <c r="B2580" s="87">
        <v>43259</v>
      </c>
      <c r="C2580" s="22">
        <v>382.35</v>
      </c>
    </row>
    <row r="2581" spans="2:3" x14ac:dyDescent="0.35">
      <c r="B2581" s="87">
        <v>43262</v>
      </c>
      <c r="C2581" s="22">
        <v>386.2</v>
      </c>
    </row>
    <row r="2582" spans="2:3" x14ac:dyDescent="0.35">
      <c r="B2582" s="87">
        <v>43263</v>
      </c>
      <c r="C2582" s="22">
        <v>387</v>
      </c>
    </row>
    <row r="2583" spans="2:3" x14ac:dyDescent="0.35">
      <c r="B2583" s="87">
        <v>43264</v>
      </c>
      <c r="C2583" s="22">
        <v>388.15</v>
      </c>
    </row>
    <row r="2584" spans="2:3" x14ac:dyDescent="0.35">
      <c r="B2584" s="87">
        <v>43265</v>
      </c>
      <c r="C2584" s="22">
        <v>386.9</v>
      </c>
    </row>
    <row r="2585" spans="2:3" x14ac:dyDescent="0.35">
      <c r="B2585" s="87">
        <v>43266</v>
      </c>
      <c r="C2585" s="22">
        <v>383.85</v>
      </c>
    </row>
    <row r="2586" spans="2:3" x14ac:dyDescent="0.35">
      <c r="B2586" s="87">
        <v>43269</v>
      </c>
      <c r="C2586" s="22">
        <v>386.4</v>
      </c>
    </row>
    <row r="2587" spans="2:3" x14ac:dyDescent="0.35">
      <c r="B2587" s="87">
        <v>43270</v>
      </c>
      <c r="C2587" s="22">
        <v>379.85</v>
      </c>
    </row>
    <row r="2588" spans="2:3" x14ac:dyDescent="0.35">
      <c r="B2588" s="87">
        <v>43271</v>
      </c>
      <c r="C2588" s="22">
        <v>379.8</v>
      </c>
    </row>
    <row r="2589" spans="2:3" x14ac:dyDescent="0.35">
      <c r="B2589" s="87">
        <v>43272</v>
      </c>
      <c r="C2589" s="22">
        <v>385.6</v>
      </c>
    </row>
    <row r="2590" spans="2:3" x14ac:dyDescent="0.35">
      <c r="B2590" s="87">
        <v>43273</v>
      </c>
      <c r="C2590" s="22">
        <v>380.14</v>
      </c>
    </row>
    <row r="2591" spans="2:3" x14ac:dyDescent="0.35">
      <c r="B2591" s="87">
        <v>43276</v>
      </c>
      <c r="C2591" s="22">
        <v>379.45</v>
      </c>
    </row>
    <row r="2592" spans="2:3" x14ac:dyDescent="0.35">
      <c r="B2592" s="87">
        <v>43277</v>
      </c>
      <c r="C2592" s="22">
        <v>381.48</v>
      </c>
    </row>
    <row r="2593" spans="2:3" x14ac:dyDescent="0.35">
      <c r="B2593" s="87">
        <v>43278</v>
      </c>
      <c r="C2593" s="22">
        <v>388.39</v>
      </c>
    </row>
    <row r="2594" spans="2:3" x14ac:dyDescent="0.35">
      <c r="B2594" s="87">
        <v>43279</v>
      </c>
      <c r="C2594" s="22">
        <v>382.42</v>
      </c>
    </row>
    <row r="2595" spans="2:3" x14ac:dyDescent="0.35">
      <c r="B2595" s="87">
        <v>43280</v>
      </c>
      <c r="C2595" s="22">
        <v>386.36</v>
      </c>
    </row>
    <row r="2596" spans="2:3" x14ac:dyDescent="0.35">
      <c r="B2596" s="87">
        <v>43283</v>
      </c>
      <c r="C2596" s="22">
        <v>378.71</v>
      </c>
    </row>
    <row r="2597" spans="2:3" x14ac:dyDescent="0.35">
      <c r="B2597" s="87">
        <v>43284</v>
      </c>
      <c r="C2597" s="22">
        <v>379.75</v>
      </c>
    </row>
    <row r="2598" spans="2:3" x14ac:dyDescent="0.35">
      <c r="B2598" s="87">
        <v>43285</v>
      </c>
      <c r="C2598" s="22">
        <v>379.75</v>
      </c>
    </row>
    <row r="2599" spans="2:3" x14ac:dyDescent="0.35">
      <c r="B2599" s="87">
        <v>43286</v>
      </c>
      <c r="C2599" s="22">
        <v>376.8</v>
      </c>
    </row>
    <row r="2600" spans="2:3" x14ac:dyDescent="0.35">
      <c r="B2600" s="87">
        <v>43287</v>
      </c>
      <c r="C2600" s="22">
        <v>370</v>
      </c>
    </row>
    <row r="2601" spans="2:3" x14ac:dyDescent="0.35">
      <c r="B2601" s="87">
        <v>43290</v>
      </c>
      <c r="C2601" s="22">
        <v>375.15</v>
      </c>
    </row>
    <row r="2602" spans="2:3" x14ac:dyDescent="0.35">
      <c r="B2602" s="87">
        <v>43291</v>
      </c>
      <c r="C2602" s="22">
        <v>376.25</v>
      </c>
    </row>
    <row r="2603" spans="2:3" x14ac:dyDescent="0.35">
      <c r="B2603" s="87">
        <v>43292</v>
      </c>
      <c r="C2603" s="22">
        <v>378.7</v>
      </c>
    </row>
    <row r="2604" spans="2:3" x14ac:dyDescent="0.35">
      <c r="B2604" s="87">
        <v>43293</v>
      </c>
      <c r="C2604" s="22">
        <v>378.1</v>
      </c>
    </row>
    <row r="2605" spans="2:3" x14ac:dyDescent="0.35">
      <c r="B2605" s="87">
        <v>43294</v>
      </c>
      <c r="C2605" s="22">
        <v>376.1</v>
      </c>
    </row>
    <row r="2606" spans="2:3" x14ac:dyDescent="0.35">
      <c r="B2606" s="87">
        <v>43297</v>
      </c>
      <c r="C2606" s="22">
        <v>367.3</v>
      </c>
    </row>
    <row r="2607" spans="2:3" x14ac:dyDescent="0.35">
      <c r="B2607" s="87">
        <v>43298</v>
      </c>
      <c r="C2607" s="22">
        <v>377.85</v>
      </c>
    </row>
    <row r="2608" spans="2:3" x14ac:dyDescent="0.35">
      <c r="B2608" s="87">
        <v>43299</v>
      </c>
      <c r="C2608" s="22">
        <v>374.25</v>
      </c>
    </row>
    <row r="2609" spans="2:3" x14ac:dyDescent="0.35">
      <c r="B2609" s="87">
        <v>43300</v>
      </c>
      <c r="C2609" s="22">
        <v>375.3</v>
      </c>
    </row>
    <row r="2610" spans="2:3" x14ac:dyDescent="0.35">
      <c r="B2610" s="87">
        <v>43301</v>
      </c>
      <c r="C2610" s="22">
        <v>373</v>
      </c>
    </row>
    <row r="2611" spans="2:3" x14ac:dyDescent="0.35">
      <c r="B2611" s="87">
        <v>43304</v>
      </c>
      <c r="C2611" s="22">
        <v>373.9</v>
      </c>
    </row>
    <row r="2612" spans="2:3" x14ac:dyDescent="0.35">
      <c r="B2612" s="87">
        <v>43305</v>
      </c>
      <c r="C2612" s="22">
        <v>373.7</v>
      </c>
    </row>
    <row r="2613" spans="2:3" x14ac:dyDescent="0.35">
      <c r="B2613" s="87">
        <v>43306</v>
      </c>
      <c r="C2613" s="22">
        <v>371.6</v>
      </c>
    </row>
    <row r="2614" spans="2:3" x14ac:dyDescent="0.35">
      <c r="B2614" s="87">
        <v>43307</v>
      </c>
      <c r="C2614" s="22">
        <v>373.3</v>
      </c>
    </row>
    <row r="2615" spans="2:3" x14ac:dyDescent="0.35">
      <c r="B2615" s="87">
        <v>43308</v>
      </c>
      <c r="C2615" s="22">
        <v>386</v>
      </c>
    </row>
    <row r="2616" spans="2:3" x14ac:dyDescent="0.35">
      <c r="B2616" s="87">
        <v>43311</v>
      </c>
      <c r="C2616" s="22">
        <v>393.45</v>
      </c>
    </row>
    <row r="2617" spans="2:3" x14ac:dyDescent="0.35">
      <c r="B2617" s="87">
        <v>43312</v>
      </c>
      <c r="C2617" s="22">
        <v>421.55</v>
      </c>
    </row>
    <row r="2618" spans="2:3" x14ac:dyDescent="0.35">
      <c r="B2618" s="87">
        <v>43313</v>
      </c>
      <c r="C2618" s="22">
        <v>432.25</v>
      </c>
    </row>
    <row r="2619" spans="2:3" x14ac:dyDescent="0.35">
      <c r="B2619" s="87">
        <v>43314</v>
      </c>
      <c r="C2619" s="22">
        <v>428.9</v>
      </c>
    </row>
    <row r="2620" spans="2:3" x14ac:dyDescent="0.35">
      <c r="B2620" s="87">
        <v>43315</v>
      </c>
      <c r="C2620" s="22">
        <v>436.9</v>
      </c>
    </row>
    <row r="2621" spans="2:3" x14ac:dyDescent="0.35">
      <c r="B2621" s="87">
        <v>43318</v>
      </c>
      <c r="C2621" s="22">
        <v>436</v>
      </c>
    </row>
    <row r="2622" spans="2:3" x14ac:dyDescent="0.35">
      <c r="B2622" s="87">
        <v>43319</v>
      </c>
      <c r="C2622" s="22">
        <v>443.2</v>
      </c>
    </row>
    <row r="2623" spans="2:3" x14ac:dyDescent="0.35">
      <c r="B2623" s="87">
        <v>43320</v>
      </c>
      <c r="C2623" s="22">
        <v>445.15</v>
      </c>
    </row>
    <row r="2624" spans="2:3" x14ac:dyDescent="0.35">
      <c r="B2624" s="87">
        <v>43321</v>
      </c>
      <c r="C2624" s="22">
        <v>445.9</v>
      </c>
    </row>
    <row r="2625" spans="2:3" x14ac:dyDescent="0.35">
      <c r="B2625" s="87">
        <v>43322</v>
      </c>
      <c r="C2625" s="22">
        <v>442.6</v>
      </c>
    </row>
    <row r="2626" spans="2:3" x14ac:dyDescent="0.35">
      <c r="B2626" s="87">
        <v>43325</v>
      </c>
      <c r="C2626" s="22">
        <v>441.2</v>
      </c>
    </row>
    <row r="2627" spans="2:3" x14ac:dyDescent="0.35">
      <c r="B2627" s="87">
        <v>43326</v>
      </c>
      <c r="C2627" s="22">
        <v>453</v>
      </c>
    </row>
    <row r="2628" spans="2:3" x14ac:dyDescent="0.35">
      <c r="B2628" s="87">
        <v>43328</v>
      </c>
      <c r="C2628" s="22">
        <v>444.9</v>
      </c>
    </row>
    <row r="2629" spans="2:3" x14ac:dyDescent="0.35">
      <c r="B2629" s="87">
        <v>43329</v>
      </c>
      <c r="C2629" s="22">
        <v>456.2</v>
      </c>
    </row>
    <row r="2630" spans="2:3" x14ac:dyDescent="0.35">
      <c r="B2630" s="87">
        <v>43332</v>
      </c>
      <c r="C2630" s="22">
        <v>453.3</v>
      </c>
    </row>
    <row r="2631" spans="2:3" x14ac:dyDescent="0.35">
      <c r="B2631" s="87">
        <v>43333</v>
      </c>
      <c r="C2631" s="22">
        <v>458.8</v>
      </c>
    </row>
    <row r="2632" spans="2:3" x14ac:dyDescent="0.35">
      <c r="B2632" s="87">
        <v>43335</v>
      </c>
      <c r="C2632" s="22">
        <v>483.95</v>
      </c>
    </row>
    <row r="2633" spans="2:3" x14ac:dyDescent="0.35">
      <c r="B2633" s="87">
        <v>43336</v>
      </c>
      <c r="C2633" s="22">
        <v>475.1</v>
      </c>
    </row>
    <row r="2634" spans="2:3" x14ac:dyDescent="0.35">
      <c r="B2634" s="87">
        <v>43339</v>
      </c>
      <c r="C2634" s="22">
        <v>481.95</v>
      </c>
    </row>
    <row r="2635" spans="2:3" x14ac:dyDescent="0.35">
      <c r="B2635" s="87">
        <v>43340</v>
      </c>
      <c r="C2635" s="22">
        <v>485.75</v>
      </c>
    </row>
    <row r="2636" spans="2:3" x14ac:dyDescent="0.35">
      <c r="B2636" s="87">
        <v>43341</v>
      </c>
      <c r="C2636" s="22">
        <v>477.8</v>
      </c>
    </row>
    <row r="2637" spans="2:3" x14ac:dyDescent="0.35">
      <c r="B2637" s="87">
        <v>43342</v>
      </c>
      <c r="C2637" s="22">
        <v>479.9</v>
      </c>
    </row>
    <row r="2638" spans="2:3" x14ac:dyDescent="0.35">
      <c r="B2638" s="87">
        <v>43343</v>
      </c>
      <c r="C2638" s="22">
        <v>478.75</v>
      </c>
    </row>
    <row r="2639" spans="2:3" x14ac:dyDescent="0.35">
      <c r="B2639" s="87">
        <v>43346</v>
      </c>
      <c r="C2639" s="22">
        <v>466.35</v>
      </c>
    </row>
    <row r="2640" spans="2:3" x14ac:dyDescent="0.35">
      <c r="B2640" s="87">
        <v>43347</v>
      </c>
      <c r="C2640" s="22">
        <v>448.6</v>
      </c>
    </row>
    <row r="2641" spans="2:3" x14ac:dyDescent="0.35">
      <c r="B2641" s="87">
        <v>43348</v>
      </c>
      <c r="C2641" s="22">
        <v>456.9</v>
      </c>
    </row>
    <row r="2642" spans="2:3" x14ac:dyDescent="0.35">
      <c r="B2642" s="87">
        <v>43349</v>
      </c>
      <c r="C2642" s="22">
        <v>454.1</v>
      </c>
    </row>
    <row r="2643" spans="2:3" x14ac:dyDescent="0.35">
      <c r="B2643" s="87">
        <v>43350</v>
      </c>
      <c r="C2643" s="22">
        <v>468.3</v>
      </c>
    </row>
    <row r="2644" spans="2:3" x14ac:dyDescent="0.35">
      <c r="B2644" s="87">
        <v>43353</v>
      </c>
      <c r="C2644" s="22">
        <v>449.9</v>
      </c>
    </row>
    <row r="2645" spans="2:3" x14ac:dyDescent="0.35">
      <c r="B2645" s="87">
        <v>43354</v>
      </c>
      <c r="C2645" s="22">
        <v>443.75</v>
      </c>
    </row>
    <row r="2646" spans="2:3" x14ac:dyDescent="0.35">
      <c r="B2646" s="87">
        <v>43355</v>
      </c>
      <c r="C2646" s="22">
        <v>454.2</v>
      </c>
    </row>
    <row r="2647" spans="2:3" x14ac:dyDescent="0.35">
      <c r="B2647" s="87">
        <v>43357</v>
      </c>
      <c r="C2647" s="22">
        <v>468.25</v>
      </c>
    </row>
    <row r="2648" spans="2:3" x14ac:dyDescent="0.35">
      <c r="B2648" s="87">
        <v>43360</v>
      </c>
      <c r="C2648" s="22">
        <v>461.85</v>
      </c>
    </row>
    <row r="2649" spans="2:3" x14ac:dyDescent="0.35">
      <c r="B2649" s="87">
        <v>43361</v>
      </c>
      <c r="C2649" s="22">
        <v>470.4</v>
      </c>
    </row>
    <row r="2650" spans="2:3" x14ac:dyDescent="0.35">
      <c r="B2650" s="87">
        <v>43362</v>
      </c>
      <c r="C2650" s="22">
        <v>466.85</v>
      </c>
    </row>
    <row r="2651" spans="2:3" x14ac:dyDescent="0.35">
      <c r="B2651" s="87">
        <v>43364</v>
      </c>
      <c r="C2651" s="22">
        <v>455.7</v>
      </c>
    </row>
    <row r="2652" spans="2:3" x14ac:dyDescent="0.35">
      <c r="B2652" s="87">
        <v>43367</v>
      </c>
      <c r="C2652" s="22">
        <v>432.4</v>
      </c>
    </row>
    <row r="2653" spans="2:3" x14ac:dyDescent="0.35">
      <c r="B2653" s="87">
        <v>43368</v>
      </c>
      <c r="C2653" s="22">
        <v>437.5</v>
      </c>
    </row>
    <row r="2654" spans="2:3" x14ac:dyDescent="0.35">
      <c r="B2654" s="87">
        <v>43369</v>
      </c>
      <c r="C2654" s="22">
        <v>436.45</v>
      </c>
    </row>
    <row r="2655" spans="2:3" x14ac:dyDescent="0.35">
      <c r="B2655" s="87">
        <v>43370</v>
      </c>
      <c r="C2655" s="22">
        <v>437.3</v>
      </c>
    </row>
    <row r="2656" spans="2:3" x14ac:dyDescent="0.35">
      <c r="B2656" s="87">
        <v>43371</v>
      </c>
      <c r="C2656" s="22">
        <v>426.9</v>
      </c>
    </row>
    <row r="2657" spans="2:3" x14ac:dyDescent="0.35">
      <c r="B2657" s="87">
        <v>43374</v>
      </c>
      <c r="C2657" s="22">
        <v>439.25</v>
      </c>
    </row>
    <row r="2658" spans="2:3" x14ac:dyDescent="0.35">
      <c r="B2658" s="87">
        <v>43376</v>
      </c>
      <c r="C2658" s="22">
        <v>425.3</v>
      </c>
    </row>
    <row r="2659" spans="2:3" x14ac:dyDescent="0.35">
      <c r="B2659" s="87">
        <v>43377</v>
      </c>
      <c r="C2659" s="22">
        <v>415.45</v>
      </c>
    </row>
    <row r="2660" spans="2:3" x14ac:dyDescent="0.35">
      <c r="B2660" s="87">
        <v>43378</v>
      </c>
      <c r="C2660" s="22">
        <v>420.05</v>
      </c>
    </row>
    <row r="2661" spans="2:3" x14ac:dyDescent="0.35">
      <c r="B2661" s="87">
        <v>43381</v>
      </c>
      <c r="C2661" s="22">
        <v>409.7</v>
      </c>
    </row>
    <row r="2662" spans="2:3" x14ac:dyDescent="0.35">
      <c r="B2662" s="87">
        <v>43382</v>
      </c>
      <c r="C2662" s="22">
        <v>392.4</v>
      </c>
    </row>
    <row r="2663" spans="2:3" x14ac:dyDescent="0.35">
      <c r="B2663" s="87">
        <v>43383</v>
      </c>
      <c r="C2663" s="22">
        <v>405.25</v>
      </c>
    </row>
    <row r="2664" spans="2:3" x14ac:dyDescent="0.35">
      <c r="B2664" s="87">
        <v>43384</v>
      </c>
      <c r="C2664" s="22">
        <v>393.35</v>
      </c>
    </row>
    <row r="2665" spans="2:3" x14ac:dyDescent="0.35">
      <c r="B2665" s="87">
        <v>43385</v>
      </c>
      <c r="C2665" s="22">
        <v>407.85</v>
      </c>
    </row>
    <row r="2666" spans="2:3" x14ac:dyDescent="0.35">
      <c r="B2666" s="87">
        <v>43388</v>
      </c>
      <c r="C2666" s="22">
        <v>396.35</v>
      </c>
    </row>
    <row r="2667" spans="2:3" x14ac:dyDescent="0.35">
      <c r="B2667" s="87">
        <v>43389</v>
      </c>
      <c r="C2667" s="22">
        <v>406.65</v>
      </c>
    </row>
    <row r="2668" spans="2:3" x14ac:dyDescent="0.35">
      <c r="B2668" s="87">
        <v>43390</v>
      </c>
      <c r="C2668" s="22">
        <v>403.05</v>
      </c>
    </row>
    <row r="2669" spans="2:3" x14ac:dyDescent="0.35">
      <c r="B2669" s="87">
        <v>43392</v>
      </c>
      <c r="C2669" s="22">
        <v>404.45</v>
      </c>
    </row>
    <row r="2670" spans="2:3" x14ac:dyDescent="0.35">
      <c r="B2670" s="87">
        <v>43395</v>
      </c>
      <c r="C2670" s="22">
        <v>404.7</v>
      </c>
    </row>
    <row r="2671" spans="2:3" x14ac:dyDescent="0.35">
      <c r="B2671" s="87">
        <v>43396</v>
      </c>
      <c r="C2671" s="22">
        <v>400.6</v>
      </c>
    </row>
    <row r="2672" spans="2:3" x14ac:dyDescent="0.35">
      <c r="B2672" s="87">
        <v>43397</v>
      </c>
      <c r="C2672" s="22">
        <v>405.15</v>
      </c>
    </row>
    <row r="2673" spans="2:3" x14ac:dyDescent="0.35">
      <c r="B2673" s="87">
        <v>43398</v>
      </c>
      <c r="C2673" s="22">
        <v>398.55</v>
      </c>
    </row>
    <row r="2674" spans="2:3" x14ac:dyDescent="0.35">
      <c r="B2674" s="87">
        <v>43399</v>
      </c>
      <c r="C2674" s="22">
        <v>398.25</v>
      </c>
    </row>
    <row r="2675" spans="2:3" x14ac:dyDescent="0.35">
      <c r="B2675" s="87">
        <v>43402</v>
      </c>
      <c r="C2675" s="22">
        <v>409.4</v>
      </c>
    </row>
    <row r="2676" spans="2:3" x14ac:dyDescent="0.35">
      <c r="B2676" s="87">
        <v>43403</v>
      </c>
      <c r="C2676" s="22">
        <v>396.35</v>
      </c>
    </row>
    <row r="2677" spans="2:3" x14ac:dyDescent="0.35">
      <c r="B2677" s="87">
        <v>43404</v>
      </c>
      <c r="C2677" s="22">
        <v>384.75</v>
      </c>
    </row>
    <row r="2678" spans="2:3" x14ac:dyDescent="0.35">
      <c r="B2678" s="87">
        <v>43405</v>
      </c>
      <c r="C2678" s="22">
        <v>370.65</v>
      </c>
    </row>
    <row r="2679" spans="2:3" x14ac:dyDescent="0.35">
      <c r="B2679" s="87">
        <v>43406</v>
      </c>
      <c r="C2679" s="22">
        <v>369.45</v>
      </c>
    </row>
    <row r="2680" spans="2:3" x14ac:dyDescent="0.35">
      <c r="B2680" s="87">
        <v>43409</v>
      </c>
      <c r="C2680" s="22">
        <v>366.85</v>
      </c>
    </row>
    <row r="2681" spans="2:3" x14ac:dyDescent="0.35">
      <c r="B2681" s="87">
        <v>43410</v>
      </c>
      <c r="C2681" s="22">
        <v>365.95</v>
      </c>
    </row>
    <row r="2682" spans="2:3" x14ac:dyDescent="0.35">
      <c r="B2682" s="87">
        <v>43411</v>
      </c>
      <c r="C2682" s="22">
        <v>369.3</v>
      </c>
    </row>
    <row r="2683" spans="2:3" x14ac:dyDescent="0.35">
      <c r="B2683" s="87">
        <v>43413</v>
      </c>
      <c r="C2683" s="22">
        <v>377.2</v>
      </c>
    </row>
    <row r="2684" spans="2:3" x14ac:dyDescent="0.35">
      <c r="B2684" s="87">
        <v>43416</v>
      </c>
      <c r="C2684" s="22">
        <v>376.3</v>
      </c>
    </row>
    <row r="2685" spans="2:3" x14ac:dyDescent="0.35">
      <c r="B2685" s="87">
        <v>43417</v>
      </c>
      <c r="C2685" s="22">
        <v>369.55</v>
      </c>
    </row>
    <row r="2686" spans="2:3" x14ac:dyDescent="0.35">
      <c r="B2686" s="87">
        <v>43418</v>
      </c>
      <c r="C2686" s="22">
        <v>378.85</v>
      </c>
    </row>
    <row r="2687" spans="2:3" x14ac:dyDescent="0.35">
      <c r="B2687" s="87">
        <v>43419</v>
      </c>
      <c r="C2687" s="22">
        <v>388.85</v>
      </c>
    </row>
    <row r="2688" spans="2:3" x14ac:dyDescent="0.35">
      <c r="B2688" s="87">
        <v>43420</v>
      </c>
      <c r="C2688" s="22">
        <v>395.65</v>
      </c>
    </row>
    <row r="2689" spans="2:3" x14ac:dyDescent="0.35">
      <c r="B2689" s="87">
        <v>43423</v>
      </c>
      <c r="C2689" s="22">
        <v>408.5</v>
      </c>
    </row>
    <row r="2690" spans="2:3" x14ac:dyDescent="0.35">
      <c r="B2690" s="87">
        <v>43424</v>
      </c>
      <c r="C2690" s="22">
        <v>394.1</v>
      </c>
    </row>
    <row r="2691" spans="2:3" x14ac:dyDescent="0.35">
      <c r="B2691" s="87">
        <v>43425</v>
      </c>
      <c r="C2691" s="22">
        <v>400.5</v>
      </c>
    </row>
    <row r="2692" spans="2:3" x14ac:dyDescent="0.35">
      <c r="B2692" s="87">
        <v>43426</v>
      </c>
      <c r="C2692" s="22">
        <v>400.8</v>
      </c>
    </row>
    <row r="2693" spans="2:3" x14ac:dyDescent="0.35">
      <c r="B2693" s="87">
        <v>43430</v>
      </c>
      <c r="C2693" s="22">
        <v>419.05</v>
      </c>
    </row>
    <row r="2694" spans="2:3" x14ac:dyDescent="0.35">
      <c r="B2694" s="87">
        <v>43431</v>
      </c>
      <c r="C2694" s="22">
        <v>420.85</v>
      </c>
    </row>
    <row r="2695" spans="2:3" x14ac:dyDescent="0.35">
      <c r="B2695" s="87">
        <v>43432</v>
      </c>
      <c r="C2695" s="22">
        <v>414.8</v>
      </c>
    </row>
    <row r="2696" spans="2:3" x14ac:dyDescent="0.35">
      <c r="B2696" s="87">
        <v>43433</v>
      </c>
      <c r="C2696" s="22">
        <v>414.95</v>
      </c>
    </row>
    <row r="2697" spans="2:3" x14ac:dyDescent="0.35">
      <c r="B2697" s="87">
        <v>43434</v>
      </c>
      <c r="C2697" s="22">
        <v>409.1</v>
      </c>
    </row>
    <row r="2698" spans="2:3" x14ac:dyDescent="0.35">
      <c r="B2698" s="87">
        <v>43437</v>
      </c>
      <c r="C2698" s="22">
        <v>412.95</v>
      </c>
    </row>
    <row r="2699" spans="2:3" x14ac:dyDescent="0.35">
      <c r="B2699" s="87">
        <v>43438</v>
      </c>
      <c r="C2699" s="22">
        <v>409</v>
      </c>
    </row>
    <row r="2700" spans="2:3" x14ac:dyDescent="0.35">
      <c r="B2700" s="87">
        <v>43439</v>
      </c>
      <c r="C2700" s="22">
        <v>409.55</v>
      </c>
    </row>
    <row r="2701" spans="2:3" x14ac:dyDescent="0.35">
      <c r="B2701" s="87">
        <v>43440</v>
      </c>
      <c r="C2701" s="22">
        <v>400.6</v>
      </c>
    </row>
    <row r="2702" spans="2:3" x14ac:dyDescent="0.35">
      <c r="B2702" s="87">
        <v>43441</v>
      </c>
      <c r="C2702" s="22">
        <v>411.45</v>
      </c>
    </row>
    <row r="2703" spans="2:3" x14ac:dyDescent="0.35">
      <c r="B2703" s="87">
        <v>43444</v>
      </c>
      <c r="C2703" s="22">
        <v>405.6</v>
      </c>
    </row>
    <row r="2704" spans="2:3" x14ac:dyDescent="0.35">
      <c r="B2704" s="87">
        <v>43445</v>
      </c>
      <c r="C2704" s="22">
        <v>412.45</v>
      </c>
    </row>
    <row r="2705" spans="2:3" x14ac:dyDescent="0.35">
      <c r="B2705" s="87">
        <v>43446</v>
      </c>
      <c r="C2705" s="22">
        <v>430.55</v>
      </c>
    </row>
    <row r="2706" spans="2:3" x14ac:dyDescent="0.35">
      <c r="B2706" s="87">
        <v>43447</v>
      </c>
      <c r="C2706" s="22">
        <v>434.7</v>
      </c>
    </row>
    <row r="2707" spans="2:3" x14ac:dyDescent="0.35">
      <c r="B2707" s="87">
        <v>43448</v>
      </c>
      <c r="C2707" s="22">
        <v>444.05</v>
      </c>
    </row>
    <row r="2708" spans="2:3" x14ac:dyDescent="0.35">
      <c r="B2708" s="87">
        <v>43451</v>
      </c>
      <c r="C2708" s="22">
        <v>442.4</v>
      </c>
    </row>
    <row r="2709" spans="2:3" x14ac:dyDescent="0.35">
      <c r="B2709" s="87">
        <v>43452</v>
      </c>
      <c r="C2709" s="22">
        <v>442.9</v>
      </c>
    </row>
    <row r="2710" spans="2:3" x14ac:dyDescent="0.35">
      <c r="B2710" s="87">
        <v>43453</v>
      </c>
      <c r="C2710" s="22">
        <v>456.8</v>
      </c>
    </row>
    <row r="2711" spans="2:3" x14ac:dyDescent="0.35">
      <c r="B2711" s="87">
        <v>43454</v>
      </c>
      <c r="C2711" s="22">
        <v>444.05</v>
      </c>
    </row>
    <row r="2712" spans="2:3" x14ac:dyDescent="0.35">
      <c r="B2712" s="87">
        <v>43455</v>
      </c>
      <c r="C2712" s="22">
        <v>437.75</v>
      </c>
    </row>
    <row r="2713" spans="2:3" x14ac:dyDescent="0.35">
      <c r="B2713" s="87">
        <v>43458</v>
      </c>
      <c r="C2713" s="22">
        <v>425.85</v>
      </c>
    </row>
    <row r="2714" spans="2:3" x14ac:dyDescent="0.35">
      <c r="B2714" s="87">
        <v>43460</v>
      </c>
      <c r="C2714" s="22">
        <v>422.6</v>
      </c>
    </row>
    <row r="2715" spans="2:3" x14ac:dyDescent="0.35">
      <c r="B2715" s="87">
        <v>43461</v>
      </c>
      <c r="C2715" s="22">
        <v>429.95</v>
      </c>
    </row>
    <row r="2716" spans="2:3" x14ac:dyDescent="0.35">
      <c r="B2716" s="87">
        <v>43462</v>
      </c>
      <c r="C2716" s="22">
        <v>433.25</v>
      </c>
    </row>
    <row r="2717" spans="2:3" x14ac:dyDescent="0.35">
      <c r="B2717" s="87">
        <v>43465</v>
      </c>
      <c r="C2717" s="22">
        <v>430.65</v>
      </c>
    </row>
    <row r="2718" spans="2:3" x14ac:dyDescent="0.35">
      <c r="B2718" s="87">
        <v>43466</v>
      </c>
      <c r="C2718" s="22">
        <v>421.85</v>
      </c>
    </row>
    <row r="2719" spans="2:3" x14ac:dyDescent="0.35">
      <c r="B2719" s="87">
        <v>43467</v>
      </c>
      <c r="C2719" s="22">
        <v>416.4</v>
      </c>
    </row>
    <row r="2720" spans="2:3" x14ac:dyDescent="0.35">
      <c r="B2720" s="87">
        <v>43468</v>
      </c>
      <c r="C2720" s="22">
        <v>422</v>
      </c>
    </row>
    <row r="2721" spans="2:3" x14ac:dyDescent="0.35">
      <c r="B2721" s="87">
        <v>43469</v>
      </c>
      <c r="C2721" s="22">
        <v>419.25</v>
      </c>
    </row>
    <row r="2722" spans="2:3" x14ac:dyDescent="0.35">
      <c r="B2722" s="87">
        <v>43472</v>
      </c>
      <c r="C2722" s="22">
        <v>420.45</v>
      </c>
    </row>
    <row r="2723" spans="2:3" x14ac:dyDescent="0.35">
      <c r="B2723" s="87">
        <v>43473</v>
      </c>
      <c r="C2723" s="22">
        <v>416.4</v>
      </c>
    </row>
    <row r="2724" spans="2:3" x14ac:dyDescent="0.35">
      <c r="B2724" s="87">
        <v>43474</v>
      </c>
      <c r="C2724" s="22">
        <v>421.5</v>
      </c>
    </row>
    <row r="2725" spans="2:3" x14ac:dyDescent="0.35">
      <c r="B2725" s="87">
        <v>43475</v>
      </c>
      <c r="C2725" s="22">
        <v>421.15</v>
      </c>
    </row>
    <row r="2726" spans="2:3" x14ac:dyDescent="0.35">
      <c r="B2726" s="87">
        <v>43476</v>
      </c>
      <c r="C2726" s="22">
        <v>421.65</v>
      </c>
    </row>
    <row r="2727" spans="2:3" x14ac:dyDescent="0.35">
      <c r="B2727" s="87">
        <v>43479</v>
      </c>
      <c r="C2727" s="22">
        <v>433.5</v>
      </c>
    </row>
    <row r="2728" spans="2:3" x14ac:dyDescent="0.35">
      <c r="B2728" s="87">
        <v>43480</v>
      </c>
      <c r="C2728" s="22">
        <v>426.1</v>
      </c>
    </row>
    <row r="2729" spans="2:3" x14ac:dyDescent="0.35">
      <c r="B2729" s="87">
        <v>43481</v>
      </c>
      <c r="C2729" s="22">
        <v>423.85</v>
      </c>
    </row>
    <row r="2730" spans="2:3" x14ac:dyDescent="0.35">
      <c r="B2730" s="87">
        <v>43482</v>
      </c>
      <c r="C2730" s="22">
        <v>420.3</v>
      </c>
    </row>
    <row r="2731" spans="2:3" x14ac:dyDescent="0.35">
      <c r="B2731" s="87">
        <v>43483</v>
      </c>
      <c r="C2731" s="22">
        <v>424.1</v>
      </c>
    </row>
    <row r="2732" spans="2:3" x14ac:dyDescent="0.35">
      <c r="B2732" s="87">
        <v>43486</v>
      </c>
      <c r="C2732" s="22">
        <v>428.15</v>
      </c>
    </row>
    <row r="2733" spans="2:3" x14ac:dyDescent="0.35">
      <c r="B2733" s="87">
        <v>43487</v>
      </c>
      <c r="C2733" s="22">
        <v>433.35</v>
      </c>
    </row>
    <row r="2734" spans="2:3" x14ac:dyDescent="0.35">
      <c r="B2734" s="87">
        <v>43488</v>
      </c>
      <c r="C2734" s="22">
        <v>430.65</v>
      </c>
    </row>
    <row r="2735" spans="2:3" x14ac:dyDescent="0.35">
      <c r="B2735" s="87">
        <v>43489</v>
      </c>
      <c r="C2735" s="22">
        <v>430.4</v>
      </c>
    </row>
    <row r="2736" spans="2:3" x14ac:dyDescent="0.35">
      <c r="B2736" s="87">
        <v>43490</v>
      </c>
      <c r="C2736" s="22">
        <v>430</v>
      </c>
    </row>
    <row r="2737" spans="2:3" x14ac:dyDescent="0.35">
      <c r="B2737" s="87">
        <v>43493</v>
      </c>
      <c r="C2737" s="22">
        <v>427.4</v>
      </c>
    </row>
    <row r="2738" spans="2:3" x14ac:dyDescent="0.35">
      <c r="B2738" s="87">
        <v>43494</v>
      </c>
      <c r="C2738" s="22">
        <v>423.15</v>
      </c>
    </row>
    <row r="2739" spans="2:3" x14ac:dyDescent="0.35">
      <c r="B2739" s="87">
        <v>43495</v>
      </c>
      <c r="C2739" s="22">
        <v>431.15</v>
      </c>
    </row>
    <row r="2740" spans="2:3" x14ac:dyDescent="0.35">
      <c r="B2740" s="87">
        <v>43496</v>
      </c>
      <c r="C2740" s="22">
        <v>443.65</v>
      </c>
    </row>
    <row r="2741" spans="2:3" x14ac:dyDescent="0.35">
      <c r="B2741" s="87">
        <v>43497</v>
      </c>
      <c r="C2741" s="22">
        <v>451.85</v>
      </c>
    </row>
    <row r="2742" spans="2:3" x14ac:dyDescent="0.35">
      <c r="B2742" s="87">
        <v>43500</v>
      </c>
      <c r="C2742" s="22">
        <v>447.45</v>
      </c>
    </row>
    <row r="2743" spans="2:3" x14ac:dyDescent="0.35">
      <c r="B2743" s="87">
        <v>43501</v>
      </c>
      <c r="C2743" s="22">
        <v>449.05</v>
      </c>
    </row>
    <row r="2744" spans="2:3" x14ac:dyDescent="0.35">
      <c r="B2744" s="87">
        <v>43502</v>
      </c>
      <c r="C2744" s="22">
        <v>453.7</v>
      </c>
    </row>
    <row r="2745" spans="2:3" x14ac:dyDescent="0.35">
      <c r="B2745" s="87">
        <v>43503</v>
      </c>
      <c r="C2745" s="22">
        <v>459.8</v>
      </c>
    </row>
    <row r="2746" spans="2:3" x14ac:dyDescent="0.35">
      <c r="B2746" s="87">
        <v>43504</v>
      </c>
      <c r="C2746" s="22">
        <v>451.95</v>
      </c>
    </row>
    <row r="2747" spans="2:3" x14ac:dyDescent="0.35">
      <c r="B2747" s="87">
        <v>43507</v>
      </c>
      <c r="C2747" s="22">
        <v>448.95</v>
      </c>
    </row>
    <row r="2748" spans="2:3" x14ac:dyDescent="0.35">
      <c r="B2748" s="87">
        <v>43508</v>
      </c>
      <c r="C2748" s="22">
        <v>446.25</v>
      </c>
    </row>
    <row r="2749" spans="2:3" x14ac:dyDescent="0.35">
      <c r="B2749" s="87">
        <v>43509</v>
      </c>
      <c r="C2749" s="22">
        <v>439.5</v>
      </c>
    </row>
    <row r="2750" spans="2:3" x14ac:dyDescent="0.35">
      <c r="B2750" s="87">
        <v>43510</v>
      </c>
      <c r="C2750" s="22">
        <v>440.2</v>
      </c>
    </row>
    <row r="2751" spans="2:3" x14ac:dyDescent="0.35">
      <c r="B2751" s="87">
        <v>43511</v>
      </c>
      <c r="C2751" s="22">
        <v>434.3</v>
      </c>
    </row>
    <row r="2752" spans="2:3" x14ac:dyDescent="0.35">
      <c r="B2752" s="87">
        <v>43514</v>
      </c>
      <c r="C2752" s="22">
        <v>422.35</v>
      </c>
    </row>
    <row r="2753" spans="2:3" x14ac:dyDescent="0.35">
      <c r="B2753" s="87">
        <v>43515</v>
      </c>
      <c r="C2753" s="22">
        <v>420.8</v>
      </c>
    </row>
    <row r="2754" spans="2:3" x14ac:dyDescent="0.35">
      <c r="B2754" s="87">
        <v>43516</v>
      </c>
      <c r="C2754" s="22">
        <v>424.7</v>
      </c>
    </row>
    <row r="2755" spans="2:3" x14ac:dyDescent="0.35">
      <c r="B2755" s="87">
        <v>43517</v>
      </c>
      <c r="C2755" s="22">
        <v>426.55</v>
      </c>
    </row>
    <row r="2756" spans="2:3" x14ac:dyDescent="0.35">
      <c r="B2756" s="87">
        <v>43518</v>
      </c>
      <c r="C2756" s="22">
        <v>435.4</v>
      </c>
    </row>
    <row r="2757" spans="2:3" x14ac:dyDescent="0.35">
      <c r="B2757" s="87">
        <v>43521</v>
      </c>
      <c r="C2757" s="22">
        <v>431.9</v>
      </c>
    </row>
    <row r="2758" spans="2:3" x14ac:dyDescent="0.35">
      <c r="B2758" s="87">
        <v>43522</v>
      </c>
      <c r="C2758" s="22">
        <v>428.85</v>
      </c>
    </row>
    <row r="2759" spans="2:3" x14ac:dyDescent="0.35">
      <c r="B2759" s="87">
        <v>43523</v>
      </c>
      <c r="C2759" s="22">
        <v>434.6</v>
      </c>
    </row>
    <row r="2760" spans="2:3" x14ac:dyDescent="0.35">
      <c r="B2760" s="87">
        <v>43524</v>
      </c>
      <c r="C2760" s="22">
        <v>438.05</v>
      </c>
    </row>
    <row r="2761" spans="2:3" x14ac:dyDescent="0.35">
      <c r="B2761" s="87">
        <v>43525</v>
      </c>
      <c r="C2761" s="22">
        <v>445.3</v>
      </c>
    </row>
    <row r="2762" spans="2:3" x14ac:dyDescent="0.35">
      <c r="B2762" s="87">
        <v>43529</v>
      </c>
      <c r="C2762" s="22">
        <v>442.8</v>
      </c>
    </row>
    <row r="2763" spans="2:3" x14ac:dyDescent="0.35">
      <c r="B2763" s="87">
        <v>43530</v>
      </c>
      <c r="C2763" s="22">
        <v>436.75</v>
      </c>
    </row>
    <row r="2764" spans="2:3" x14ac:dyDescent="0.35">
      <c r="B2764" s="87">
        <v>43531</v>
      </c>
      <c r="C2764" s="22">
        <v>433.1</v>
      </c>
    </row>
    <row r="2765" spans="2:3" x14ac:dyDescent="0.35">
      <c r="B2765" s="87">
        <v>43532</v>
      </c>
      <c r="C2765" s="22">
        <v>432.2</v>
      </c>
    </row>
    <row r="2766" spans="2:3" x14ac:dyDescent="0.35">
      <c r="B2766" s="87">
        <v>43535</v>
      </c>
      <c r="C2766" s="22">
        <v>442.3</v>
      </c>
    </row>
    <row r="2767" spans="2:3" x14ac:dyDescent="0.35">
      <c r="B2767" s="87">
        <v>43536</v>
      </c>
      <c r="C2767" s="22">
        <v>447.3</v>
      </c>
    </row>
    <row r="2768" spans="2:3" x14ac:dyDescent="0.35">
      <c r="B2768" s="87">
        <v>43537</v>
      </c>
      <c r="C2768" s="22">
        <v>440.3</v>
      </c>
    </row>
    <row r="2769" spans="2:3" x14ac:dyDescent="0.35">
      <c r="B2769" s="87">
        <v>43538</v>
      </c>
      <c r="C2769" s="22">
        <v>438.9</v>
      </c>
    </row>
    <row r="2770" spans="2:3" x14ac:dyDescent="0.35">
      <c r="B2770" s="87">
        <v>43539</v>
      </c>
      <c r="C2770" s="22">
        <v>425.45</v>
      </c>
    </row>
    <row r="2771" spans="2:3" x14ac:dyDescent="0.35">
      <c r="B2771" s="87">
        <v>43542</v>
      </c>
      <c r="C2771" s="22">
        <v>428.4</v>
      </c>
    </row>
    <row r="2772" spans="2:3" x14ac:dyDescent="0.35">
      <c r="B2772" s="87">
        <v>43543</v>
      </c>
      <c r="C2772" s="22">
        <v>427.05</v>
      </c>
    </row>
    <row r="2773" spans="2:3" x14ac:dyDescent="0.35">
      <c r="B2773" s="87">
        <v>43544</v>
      </c>
      <c r="C2773" s="22">
        <v>426.05</v>
      </c>
    </row>
    <row r="2774" spans="2:3" x14ac:dyDescent="0.35">
      <c r="B2774" s="87">
        <v>43546</v>
      </c>
      <c r="C2774" s="22">
        <v>425.05</v>
      </c>
    </row>
    <row r="2775" spans="2:3" x14ac:dyDescent="0.35">
      <c r="B2775" s="87">
        <v>43549</v>
      </c>
      <c r="C2775" s="22">
        <v>419.95</v>
      </c>
    </row>
    <row r="2776" spans="2:3" x14ac:dyDescent="0.35">
      <c r="B2776" s="87">
        <v>43550</v>
      </c>
      <c r="C2776" s="22">
        <v>425.1</v>
      </c>
    </row>
    <row r="2777" spans="2:3" x14ac:dyDescent="0.35">
      <c r="B2777" s="87">
        <v>43551</v>
      </c>
      <c r="C2777" s="22">
        <v>411.25</v>
      </c>
    </row>
    <row r="2778" spans="2:3" x14ac:dyDescent="0.35">
      <c r="B2778" s="87">
        <v>43552</v>
      </c>
      <c r="C2778" s="22">
        <v>410.95</v>
      </c>
    </row>
    <row r="2779" spans="2:3" x14ac:dyDescent="0.35">
      <c r="B2779" s="87">
        <v>43553</v>
      </c>
      <c r="C2779" s="22">
        <v>408.8</v>
      </c>
    </row>
    <row r="2780" spans="2:3" x14ac:dyDescent="0.35">
      <c r="B2780" s="87">
        <v>43556</v>
      </c>
      <c r="C2780" s="22">
        <v>400.95</v>
      </c>
    </row>
    <row r="2781" spans="2:3" x14ac:dyDescent="0.35">
      <c r="B2781" s="87">
        <v>43557</v>
      </c>
      <c r="C2781" s="22">
        <v>402</v>
      </c>
    </row>
    <row r="2782" spans="2:3" x14ac:dyDescent="0.35">
      <c r="B2782" s="87">
        <v>43558</v>
      </c>
      <c r="C2782" s="22">
        <v>403.45</v>
      </c>
    </row>
    <row r="2783" spans="2:3" x14ac:dyDescent="0.35">
      <c r="B2783" s="87">
        <v>43559</v>
      </c>
      <c r="C2783" s="22">
        <v>405.05</v>
      </c>
    </row>
    <row r="2784" spans="2:3" x14ac:dyDescent="0.35">
      <c r="B2784" s="87">
        <v>43560</v>
      </c>
      <c r="C2784" s="22">
        <v>400.35</v>
      </c>
    </row>
    <row r="2785" spans="2:3" x14ac:dyDescent="0.35">
      <c r="B2785" s="87">
        <v>43563</v>
      </c>
      <c r="C2785" s="22">
        <v>401.1</v>
      </c>
    </row>
    <row r="2786" spans="2:3" x14ac:dyDescent="0.35">
      <c r="B2786" s="87">
        <v>43564</v>
      </c>
      <c r="C2786" s="22">
        <v>403.65</v>
      </c>
    </row>
    <row r="2787" spans="2:3" x14ac:dyDescent="0.35">
      <c r="B2787" s="87">
        <v>43565</v>
      </c>
      <c r="C2787" s="22">
        <v>403.3</v>
      </c>
    </row>
    <row r="2788" spans="2:3" x14ac:dyDescent="0.35">
      <c r="B2788" s="87">
        <v>43566</v>
      </c>
      <c r="C2788" s="22">
        <v>403.7</v>
      </c>
    </row>
    <row r="2789" spans="2:3" x14ac:dyDescent="0.35">
      <c r="B2789" s="87">
        <v>43567</v>
      </c>
      <c r="C2789" s="22">
        <v>407.3</v>
      </c>
    </row>
    <row r="2790" spans="2:3" x14ac:dyDescent="0.35">
      <c r="B2790" s="87">
        <v>43570</v>
      </c>
      <c r="C2790" s="22">
        <v>405.75</v>
      </c>
    </row>
    <row r="2791" spans="2:3" x14ac:dyDescent="0.35">
      <c r="B2791" s="87">
        <v>43571</v>
      </c>
      <c r="C2791" s="22">
        <v>409</v>
      </c>
    </row>
    <row r="2792" spans="2:3" x14ac:dyDescent="0.35">
      <c r="B2792" s="87">
        <v>43573</v>
      </c>
      <c r="C2792" s="22">
        <v>404.95</v>
      </c>
    </row>
    <row r="2793" spans="2:3" x14ac:dyDescent="0.35">
      <c r="B2793" s="87">
        <v>43577</v>
      </c>
      <c r="C2793" s="22">
        <v>403.55</v>
      </c>
    </row>
    <row r="2794" spans="2:3" x14ac:dyDescent="0.35">
      <c r="B2794" s="87">
        <v>43578</v>
      </c>
      <c r="C2794" s="22">
        <v>403.05</v>
      </c>
    </row>
    <row r="2795" spans="2:3" x14ac:dyDescent="0.35">
      <c r="B2795" s="87">
        <v>43579</v>
      </c>
      <c r="C2795" s="22">
        <v>398.65</v>
      </c>
    </row>
    <row r="2796" spans="2:3" x14ac:dyDescent="0.35">
      <c r="B2796" s="87">
        <v>43580</v>
      </c>
      <c r="C2796" s="22">
        <v>395.1</v>
      </c>
    </row>
    <row r="2797" spans="2:3" x14ac:dyDescent="0.35">
      <c r="B2797" s="87">
        <v>43581</v>
      </c>
      <c r="C2797" s="22">
        <v>397.95</v>
      </c>
    </row>
    <row r="2798" spans="2:3" x14ac:dyDescent="0.35">
      <c r="B2798" s="87">
        <v>43585</v>
      </c>
      <c r="C2798" s="22">
        <v>398.1</v>
      </c>
    </row>
    <row r="2799" spans="2:3" x14ac:dyDescent="0.35">
      <c r="B2799" s="87">
        <v>43587</v>
      </c>
      <c r="C2799" s="22">
        <v>382.15</v>
      </c>
    </row>
    <row r="2800" spans="2:3" x14ac:dyDescent="0.35">
      <c r="B2800" s="87">
        <v>43588</v>
      </c>
      <c r="C2800" s="22">
        <v>380.2</v>
      </c>
    </row>
    <row r="2801" spans="2:3" x14ac:dyDescent="0.35">
      <c r="B2801" s="87">
        <v>43591</v>
      </c>
      <c r="C2801" s="22">
        <v>377.75</v>
      </c>
    </row>
    <row r="2802" spans="2:3" x14ac:dyDescent="0.35">
      <c r="B2802" s="87">
        <v>43592</v>
      </c>
      <c r="C2802" s="22">
        <v>375.5</v>
      </c>
    </row>
    <row r="2803" spans="2:3" x14ac:dyDescent="0.35">
      <c r="B2803" s="87">
        <v>43593</v>
      </c>
      <c r="C2803" s="22">
        <v>367.25</v>
      </c>
    </row>
    <row r="2804" spans="2:3" x14ac:dyDescent="0.35">
      <c r="B2804" s="87">
        <v>43594</v>
      </c>
      <c r="C2804" s="22">
        <v>367.3</v>
      </c>
    </row>
    <row r="2805" spans="2:3" x14ac:dyDescent="0.35">
      <c r="B2805" s="87">
        <v>43595</v>
      </c>
      <c r="C2805" s="22">
        <v>369.8</v>
      </c>
    </row>
    <row r="2806" spans="2:3" x14ac:dyDescent="0.35">
      <c r="B2806" s="87">
        <v>43598</v>
      </c>
      <c r="C2806" s="22">
        <v>363.15</v>
      </c>
    </row>
    <row r="2807" spans="2:3" x14ac:dyDescent="0.35">
      <c r="B2807" s="87">
        <v>43599</v>
      </c>
      <c r="C2807" s="22">
        <v>368.6</v>
      </c>
    </row>
    <row r="2808" spans="2:3" x14ac:dyDescent="0.35">
      <c r="B2808" s="87">
        <v>43600</v>
      </c>
      <c r="C2808" s="22">
        <v>363.55</v>
      </c>
    </row>
    <row r="2809" spans="2:3" x14ac:dyDescent="0.35">
      <c r="B2809" s="87">
        <v>43601</v>
      </c>
      <c r="C2809" s="22">
        <v>361.05</v>
      </c>
    </row>
    <row r="2810" spans="2:3" x14ac:dyDescent="0.35">
      <c r="B2810" s="87">
        <v>43602</v>
      </c>
      <c r="C2810" s="22">
        <v>370.05</v>
      </c>
    </row>
    <row r="2811" spans="2:3" x14ac:dyDescent="0.35">
      <c r="B2811" s="87">
        <v>43605</v>
      </c>
      <c r="C2811" s="22">
        <v>382.4</v>
      </c>
    </row>
    <row r="2812" spans="2:3" x14ac:dyDescent="0.35">
      <c r="B2812" s="87">
        <v>43606</v>
      </c>
      <c r="C2812" s="22">
        <v>382.95</v>
      </c>
    </row>
    <row r="2813" spans="2:3" x14ac:dyDescent="0.35">
      <c r="B2813" s="87">
        <v>43607</v>
      </c>
      <c r="C2813" s="22">
        <v>385.65</v>
      </c>
    </row>
    <row r="2814" spans="2:3" x14ac:dyDescent="0.35">
      <c r="B2814" s="87">
        <v>43608</v>
      </c>
      <c r="C2814" s="22">
        <v>385.45</v>
      </c>
    </row>
    <row r="2815" spans="2:3" x14ac:dyDescent="0.35">
      <c r="B2815" s="87">
        <v>43609</v>
      </c>
      <c r="C2815" s="22">
        <v>399.05</v>
      </c>
    </row>
    <row r="2816" spans="2:3" x14ac:dyDescent="0.35">
      <c r="B2816" s="87">
        <v>43612</v>
      </c>
      <c r="C2816" s="22">
        <v>400.1</v>
      </c>
    </row>
    <row r="2817" spans="2:3" x14ac:dyDescent="0.35">
      <c r="B2817" s="87">
        <v>43613</v>
      </c>
      <c r="C2817" s="22">
        <v>398.1</v>
      </c>
    </row>
    <row r="2818" spans="2:3" x14ac:dyDescent="0.35">
      <c r="B2818" s="87">
        <v>43614</v>
      </c>
      <c r="C2818" s="22">
        <v>399</v>
      </c>
    </row>
    <row r="2819" spans="2:3" x14ac:dyDescent="0.35">
      <c r="B2819" s="87">
        <v>43615</v>
      </c>
      <c r="C2819" s="22">
        <v>396.35</v>
      </c>
    </row>
    <row r="2820" spans="2:3" x14ac:dyDescent="0.35">
      <c r="B2820" s="87">
        <v>43616</v>
      </c>
      <c r="C2820" s="22">
        <v>395.95</v>
      </c>
    </row>
    <row r="2821" spans="2:3" x14ac:dyDescent="0.35">
      <c r="B2821" s="87">
        <v>43619</v>
      </c>
      <c r="C2821" s="22">
        <v>408.8</v>
      </c>
    </row>
    <row r="2822" spans="2:3" x14ac:dyDescent="0.35">
      <c r="B2822" s="87">
        <v>43620</v>
      </c>
      <c r="C2822" s="22">
        <v>405.55</v>
      </c>
    </row>
    <row r="2823" spans="2:3" x14ac:dyDescent="0.35">
      <c r="B2823" s="87">
        <v>43622</v>
      </c>
      <c r="C2823" s="22">
        <v>402.95</v>
      </c>
    </row>
    <row r="2824" spans="2:3" x14ac:dyDescent="0.35">
      <c r="B2824" s="87">
        <v>43623</v>
      </c>
      <c r="C2824" s="22">
        <v>404.15</v>
      </c>
    </row>
    <row r="2825" spans="2:3" x14ac:dyDescent="0.35">
      <c r="B2825" s="87">
        <v>43626</v>
      </c>
      <c r="C2825" s="22">
        <v>409.3</v>
      </c>
    </row>
    <row r="2826" spans="2:3" x14ac:dyDescent="0.35">
      <c r="B2826" s="87">
        <v>43627</v>
      </c>
      <c r="C2826" s="22">
        <v>409.75</v>
      </c>
    </row>
    <row r="2827" spans="2:3" x14ac:dyDescent="0.35">
      <c r="B2827" s="87">
        <v>43628</v>
      </c>
      <c r="C2827" s="22">
        <v>409</v>
      </c>
    </row>
    <row r="2828" spans="2:3" x14ac:dyDescent="0.35">
      <c r="B2828" s="87">
        <v>43629</v>
      </c>
      <c r="C2828" s="22">
        <v>409.05</v>
      </c>
    </row>
    <row r="2829" spans="2:3" x14ac:dyDescent="0.35">
      <c r="B2829" s="87">
        <v>43630</v>
      </c>
      <c r="C2829" s="22">
        <v>400.55</v>
      </c>
    </row>
    <row r="2830" spans="2:3" x14ac:dyDescent="0.35">
      <c r="B2830" s="87">
        <v>43633</v>
      </c>
      <c r="C2830" s="22">
        <v>400.85</v>
      </c>
    </row>
    <row r="2831" spans="2:3" x14ac:dyDescent="0.35">
      <c r="B2831" s="87">
        <v>43634</v>
      </c>
      <c r="C2831" s="22">
        <v>387.7</v>
      </c>
    </row>
    <row r="2832" spans="2:3" x14ac:dyDescent="0.35">
      <c r="B2832" s="87">
        <v>43635</v>
      </c>
      <c r="C2832" s="22">
        <v>381.95</v>
      </c>
    </row>
    <row r="2833" spans="2:3" x14ac:dyDescent="0.35">
      <c r="B2833" s="87">
        <v>43636</v>
      </c>
      <c r="C2833" s="22">
        <v>387.8</v>
      </c>
    </row>
    <row r="2834" spans="2:3" x14ac:dyDescent="0.35">
      <c r="B2834" s="87">
        <v>43637</v>
      </c>
      <c r="C2834" s="22">
        <v>392.6</v>
      </c>
    </row>
    <row r="2835" spans="2:3" x14ac:dyDescent="0.35">
      <c r="B2835" s="87">
        <v>43640</v>
      </c>
      <c r="C2835" s="22">
        <v>392.35</v>
      </c>
    </row>
    <row r="2836" spans="2:3" x14ac:dyDescent="0.35">
      <c r="B2836" s="87">
        <v>43641</v>
      </c>
      <c r="C2836" s="22">
        <v>394.3</v>
      </c>
    </row>
    <row r="2837" spans="2:3" x14ac:dyDescent="0.35">
      <c r="B2837" s="87">
        <v>43642</v>
      </c>
      <c r="C2837" s="22">
        <v>394.25</v>
      </c>
    </row>
    <row r="2838" spans="2:3" x14ac:dyDescent="0.35">
      <c r="B2838" s="87">
        <v>43643</v>
      </c>
      <c r="C2838" s="22">
        <v>401.1</v>
      </c>
    </row>
    <row r="2839" spans="2:3" x14ac:dyDescent="0.35">
      <c r="B2839" s="87">
        <v>43644</v>
      </c>
      <c r="C2839" s="22">
        <v>400.5</v>
      </c>
    </row>
    <row r="2840" spans="2:3" x14ac:dyDescent="0.35">
      <c r="B2840" s="87">
        <v>43647</v>
      </c>
      <c r="C2840" s="22">
        <v>401.75</v>
      </c>
    </row>
    <row r="2841" spans="2:3" x14ac:dyDescent="0.35">
      <c r="B2841" s="87">
        <v>43648</v>
      </c>
      <c r="C2841" s="22">
        <v>402.65</v>
      </c>
    </row>
    <row r="2842" spans="2:3" x14ac:dyDescent="0.35">
      <c r="B2842" s="87">
        <v>43649</v>
      </c>
      <c r="C2842" s="22">
        <v>407.65</v>
      </c>
    </row>
    <row r="2843" spans="2:3" x14ac:dyDescent="0.35">
      <c r="B2843" s="87">
        <v>43650</v>
      </c>
      <c r="C2843" s="22">
        <v>402.95</v>
      </c>
    </row>
    <row r="2844" spans="2:3" x14ac:dyDescent="0.35">
      <c r="B2844" s="87">
        <v>43651</v>
      </c>
      <c r="C2844" s="22">
        <v>407.3</v>
      </c>
    </row>
    <row r="2845" spans="2:3" x14ac:dyDescent="0.35">
      <c r="B2845" s="87">
        <v>43654</v>
      </c>
      <c r="C2845" s="22">
        <v>401.35</v>
      </c>
    </row>
    <row r="2846" spans="2:3" x14ac:dyDescent="0.35">
      <c r="B2846" s="87">
        <v>43655</v>
      </c>
      <c r="C2846" s="22">
        <v>406.25</v>
      </c>
    </row>
    <row r="2847" spans="2:3" x14ac:dyDescent="0.35">
      <c r="B2847" s="87">
        <v>43656</v>
      </c>
      <c r="C2847" s="22">
        <v>409.75</v>
      </c>
    </row>
    <row r="2848" spans="2:3" x14ac:dyDescent="0.35">
      <c r="B2848" s="87">
        <v>43657</v>
      </c>
      <c r="C2848" s="22">
        <v>409.25</v>
      </c>
    </row>
    <row r="2849" spans="2:3" x14ac:dyDescent="0.35">
      <c r="B2849" s="87">
        <v>43658</v>
      </c>
      <c r="C2849" s="22">
        <v>407.7</v>
      </c>
    </row>
    <row r="2850" spans="2:3" x14ac:dyDescent="0.35">
      <c r="B2850" s="87">
        <v>43661</v>
      </c>
      <c r="C2850" s="22">
        <v>410.7</v>
      </c>
    </row>
    <row r="2851" spans="2:3" x14ac:dyDescent="0.35">
      <c r="B2851" s="87">
        <v>43662</v>
      </c>
      <c r="C2851" s="22">
        <v>425</v>
      </c>
    </row>
    <row r="2852" spans="2:3" x14ac:dyDescent="0.35">
      <c r="B2852" s="87">
        <v>43663</v>
      </c>
      <c r="C2852" s="22">
        <v>431.15</v>
      </c>
    </row>
    <row r="2853" spans="2:3" x14ac:dyDescent="0.35">
      <c r="B2853" s="87">
        <v>43664</v>
      </c>
      <c r="C2853" s="22">
        <v>428.9</v>
      </c>
    </row>
    <row r="2854" spans="2:3" x14ac:dyDescent="0.35">
      <c r="B2854" s="87">
        <v>43665</v>
      </c>
      <c r="C2854" s="22">
        <v>420.2</v>
      </c>
    </row>
    <row r="2855" spans="2:3" x14ac:dyDescent="0.35">
      <c r="B2855" s="87">
        <v>43668</v>
      </c>
      <c r="C2855" s="22">
        <v>421.4</v>
      </c>
    </row>
    <row r="2856" spans="2:3" x14ac:dyDescent="0.35">
      <c r="B2856" s="87">
        <v>43669</v>
      </c>
      <c r="C2856" s="22">
        <v>423.75</v>
      </c>
    </row>
    <row r="2857" spans="2:3" x14ac:dyDescent="0.35">
      <c r="B2857" s="87">
        <v>43670</v>
      </c>
      <c r="C2857" s="22">
        <v>420.95</v>
      </c>
    </row>
    <row r="2858" spans="2:3" x14ac:dyDescent="0.35">
      <c r="B2858" s="87">
        <v>43671</v>
      </c>
      <c r="C2858" s="22">
        <v>422.85</v>
      </c>
    </row>
    <row r="2859" spans="2:3" x14ac:dyDescent="0.35">
      <c r="B2859" s="87">
        <v>43672</v>
      </c>
      <c r="C2859" s="22">
        <v>428.15</v>
      </c>
    </row>
    <row r="2860" spans="2:3" x14ac:dyDescent="0.35">
      <c r="B2860" s="87">
        <v>43675</v>
      </c>
      <c r="C2860" s="22">
        <v>427.9</v>
      </c>
    </row>
    <row r="2861" spans="2:3" x14ac:dyDescent="0.35">
      <c r="B2861" s="87">
        <v>43676</v>
      </c>
      <c r="C2861" s="22">
        <v>422.95</v>
      </c>
    </row>
    <row r="2862" spans="2:3" x14ac:dyDescent="0.35">
      <c r="B2862" s="87">
        <v>43677</v>
      </c>
      <c r="C2862" s="22">
        <v>426.45</v>
      </c>
    </row>
    <row r="2863" spans="2:3" x14ac:dyDescent="0.35">
      <c r="B2863" s="87">
        <v>43678</v>
      </c>
      <c r="C2863" s="22">
        <v>425.4</v>
      </c>
    </row>
    <row r="2864" spans="2:3" x14ac:dyDescent="0.35">
      <c r="B2864" s="87">
        <v>43679</v>
      </c>
      <c r="C2864" s="22">
        <v>426.5</v>
      </c>
    </row>
    <row r="2865" spans="2:3" x14ac:dyDescent="0.35">
      <c r="B2865" s="87">
        <v>43682</v>
      </c>
      <c r="C2865" s="22">
        <v>429.6</v>
      </c>
    </row>
    <row r="2866" spans="2:3" x14ac:dyDescent="0.35">
      <c r="B2866" s="87">
        <v>43683</v>
      </c>
      <c r="C2866" s="22">
        <v>433.5</v>
      </c>
    </row>
    <row r="2867" spans="2:3" x14ac:dyDescent="0.35">
      <c r="B2867" s="87">
        <v>43684</v>
      </c>
      <c r="C2867" s="22">
        <v>430.65</v>
      </c>
    </row>
    <row r="2868" spans="2:3" x14ac:dyDescent="0.35">
      <c r="B2868" s="87">
        <v>43685</v>
      </c>
      <c r="C2868" s="22">
        <v>435.4</v>
      </c>
    </row>
    <row r="2869" spans="2:3" x14ac:dyDescent="0.35">
      <c r="B2869" s="87">
        <v>43686</v>
      </c>
      <c r="C2869" s="22">
        <v>439.05</v>
      </c>
    </row>
    <row r="2870" spans="2:3" x14ac:dyDescent="0.35">
      <c r="B2870" s="87">
        <v>43690</v>
      </c>
      <c r="C2870" s="22">
        <v>429.25</v>
      </c>
    </row>
    <row r="2871" spans="2:3" x14ac:dyDescent="0.35">
      <c r="B2871" s="87">
        <v>43691</v>
      </c>
      <c r="C2871" s="22">
        <v>431.75</v>
      </c>
    </row>
    <row r="2872" spans="2:3" x14ac:dyDescent="0.35">
      <c r="B2872" s="87">
        <v>43693</v>
      </c>
      <c r="C2872" s="22">
        <v>428.05</v>
      </c>
    </row>
    <row r="2873" spans="2:3" x14ac:dyDescent="0.35">
      <c r="B2873" s="87">
        <v>43696</v>
      </c>
      <c r="C2873" s="22">
        <v>432.1</v>
      </c>
    </row>
    <row r="2874" spans="2:3" x14ac:dyDescent="0.35">
      <c r="B2874" s="87">
        <v>43697</v>
      </c>
      <c r="C2874" s="22">
        <v>431.75</v>
      </c>
    </row>
    <row r="2875" spans="2:3" x14ac:dyDescent="0.35">
      <c r="B2875" s="87">
        <v>43698</v>
      </c>
      <c r="C2875" s="22">
        <v>427.05</v>
      </c>
    </row>
    <row r="2876" spans="2:3" x14ac:dyDescent="0.35">
      <c r="B2876" s="87">
        <v>43699</v>
      </c>
      <c r="C2876" s="22">
        <v>427.5</v>
      </c>
    </row>
    <row r="2877" spans="2:3" x14ac:dyDescent="0.35">
      <c r="B2877" s="87">
        <v>43700</v>
      </c>
      <c r="C2877" s="22">
        <v>424.4</v>
      </c>
    </row>
    <row r="2878" spans="2:3" x14ac:dyDescent="0.35">
      <c r="B2878" s="87">
        <v>43703</v>
      </c>
      <c r="C2878" s="22">
        <v>435.85</v>
      </c>
    </row>
    <row r="2879" spans="2:3" x14ac:dyDescent="0.35">
      <c r="B2879" s="87">
        <v>43704</v>
      </c>
      <c r="C2879" s="22">
        <v>440.15</v>
      </c>
    </row>
    <row r="2880" spans="2:3" x14ac:dyDescent="0.35">
      <c r="B2880" s="87">
        <v>43705</v>
      </c>
      <c r="C2880" s="22">
        <v>434.8</v>
      </c>
    </row>
    <row r="2881" spans="2:3" x14ac:dyDescent="0.35">
      <c r="B2881" s="87">
        <v>43706</v>
      </c>
      <c r="C2881" s="22">
        <v>442.85</v>
      </c>
    </row>
    <row r="2882" spans="2:3" x14ac:dyDescent="0.35">
      <c r="B2882" s="87">
        <v>43707</v>
      </c>
      <c r="C2882" s="22">
        <v>448.8</v>
      </c>
    </row>
    <row r="2883" spans="2:3" x14ac:dyDescent="0.35">
      <c r="B2883" s="87">
        <v>43711</v>
      </c>
      <c r="C2883" s="22">
        <v>443.05</v>
      </c>
    </row>
    <row r="2884" spans="2:3" x14ac:dyDescent="0.35">
      <c r="B2884" s="87">
        <v>43712</v>
      </c>
      <c r="C2884" s="22">
        <v>442.2</v>
      </c>
    </row>
    <row r="2885" spans="2:3" x14ac:dyDescent="0.35">
      <c r="B2885" s="87">
        <v>43713</v>
      </c>
      <c r="C2885" s="22">
        <v>438.95</v>
      </c>
    </row>
    <row r="2886" spans="2:3" x14ac:dyDescent="0.35">
      <c r="B2886" s="87">
        <v>43714</v>
      </c>
      <c r="C2886" s="22">
        <v>441.3</v>
      </c>
    </row>
    <row r="2887" spans="2:3" x14ac:dyDescent="0.35">
      <c r="B2887" s="87">
        <v>43717</v>
      </c>
      <c r="C2887" s="22">
        <v>444.25</v>
      </c>
    </row>
    <row r="2888" spans="2:3" x14ac:dyDescent="0.35">
      <c r="B2888" s="87">
        <v>43719</v>
      </c>
      <c r="C2888" s="22">
        <v>449.1</v>
      </c>
    </row>
    <row r="2889" spans="2:3" x14ac:dyDescent="0.35">
      <c r="B2889" s="87">
        <v>43720</v>
      </c>
      <c r="C2889" s="22">
        <v>450.2</v>
      </c>
    </row>
    <row r="2890" spans="2:3" x14ac:dyDescent="0.35">
      <c r="B2890" s="87">
        <v>43721</v>
      </c>
      <c r="C2890" s="22">
        <v>452.2</v>
      </c>
    </row>
    <row r="2891" spans="2:3" x14ac:dyDescent="0.35">
      <c r="B2891" s="87">
        <v>43724</v>
      </c>
      <c r="C2891" s="22">
        <v>454.75</v>
      </c>
    </row>
    <row r="2892" spans="2:3" x14ac:dyDescent="0.35">
      <c r="B2892" s="87">
        <v>43725</v>
      </c>
      <c r="C2892" s="22">
        <v>451.7</v>
      </c>
    </row>
    <row r="2893" spans="2:3" x14ac:dyDescent="0.35">
      <c r="B2893" s="87">
        <v>43726</v>
      </c>
      <c r="C2893" s="22">
        <v>460</v>
      </c>
    </row>
    <row r="2894" spans="2:3" x14ac:dyDescent="0.35">
      <c r="B2894" s="87">
        <v>43727</v>
      </c>
      <c r="C2894" s="22">
        <v>458.55</v>
      </c>
    </row>
    <row r="2895" spans="2:3" x14ac:dyDescent="0.35">
      <c r="B2895" s="87">
        <v>43728</v>
      </c>
      <c r="C2895" s="22">
        <v>445.7</v>
      </c>
    </row>
    <row r="2896" spans="2:3" x14ac:dyDescent="0.35">
      <c r="B2896" s="87">
        <v>43731</v>
      </c>
      <c r="C2896" s="22">
        <v>440.8</v>
      </c>
    </row>
    <row r="2897" spans="2:3" x14ac:dyDescent="0.35">
      <c r="B2897" s="87">
        <v>43732</v>
      </c>
      <c r="C2897" s="22">
        <v>451.9</v>
      </c>
    </row>
    <row r="2898" spans="2:3" x14ac:dyDescent="0.35">
      <c r="B2898" s="87">
        <v>43733</v>
      </c>
      <c r="C2898" s="22">
        <v>445.55</v>
      </c>
    </row>
    <row r="2899" spans="2:3" x14ac:dyDescent="0.35">
      <c r="B2899" s="87">
        <v>43734</v>
      </c>
      <c r="C2899" s="22">
        <v>447.2</v>
      </c>
    </row>
    <row r="2900" spans="2:3" x14ac:dyDescent="0.35">
      <c r="B2900" s="87">
        <v>43735</v>
      </c>
      <c r="C2900" s="22">
        <v>447.1</v>
      </c>
    </row>
    <row r="2901" spans="2:3" x14ac:dyDescent="0.35">
      <c r="B2901" s="87">
        <v>43738</v>
      </c>
      <c r="C2901" s="22">
        <v>447.25</v>
      </c>
    </row>
    <row r="2902" spans="2:3" x14ac:dyDescent="0.35">
      <c r="B2902" s="87">
        <v>43739</v>
      </c>
      <c r="C2902" s="22">
        <v>439.65</v>
      </c>
    </row>
    <row r="2903" spans="2:3" x14ac:dyDescent="0.35">
      <c r="B2903" s="87">
        <v>43741</v>
      </c>
      <c r="C2903" s="22">
        <v>433.65</v>
      </c>
    </row>
    <row r="2904" spans="2:3" x14ac:dyDescent="0.35">
      <c r="B2904" s="87">
        <v>43742</v>
      </c>
      <c r="C2904" s="22">
        <v>425.7</v>
      </c>
    </row>
    <row r="2905" spans="2:3" x14ac:dyDescent="0.35">
      <c r="B2905" s="87">
        <v>43745</v>
      </c>
      <c r="C2905" s="22">
        <v>432.55</v>
      </c>
    </row>
    <row r="2906" spans="2:3" x14ac:dyDescent="0.35">
      <c r="B2906" s="87">
        <v>43747</v>
      </c>
      <c r="C2906" s="22">
        <v>443.8</v>
      </c>
    </row>
    <row r="2907" spans="2:3" x14ac:dyDescent="0.35">
      <c r="B2907" s="87">
        <v>43748</v>
      </c>
      <c r="C2907" s="22">
        <v>439.4</v>
      </c>
    </row>
    <row r="2908" spans="2:3" x14ac:dyDescent="0.35">
      <c r="B2908" s="87">
        <v>43749</v>
      </c>
      <c r="C2908" s="22">
        <v>445.6</v>
      </c>
    </row>
    <row r="2909" spans="2:3" x14ac:dyDescent="0.35">
      <c r="B2909" s="87">
        <v>43752</v>
      </c>
      <c r="C2909" s="22">
        <v>455</v>
      </c>
    </row>
    <row r="2910" spans="2:3" x14ac:dyDescent="0.35">
      <c r="B2910" s="87">
        <v>43753</v>
      </c>
      <c r="C2910" s="22">
        <v>450</v>
      </c>
    </row>
    <row r="2911" spans="2:3" x14ac:dyDescent="0.35">
      <c r="B2911" s="87">
        <v>43754</v>
      </c>
      <c r="C2911" s="22">
        <v>456.1</v>
      </c>
    </row>
    <row r="2912" spans="2:3" x14ac:dyDescent="0.35">
      <c r="B2912" s="87">
        <v>43755</v>
      </c>
      <c r="C2912" s="22">
        <v>462.4</v>
      </c>
    </row>
    <row r="2913" spans="2:3" x14ac:dyDescent="0.35">
      <c r="B2913" s="87">
        <v>43756</v>
      </c>
      <c r="C2913" s="22">
        <v>466.5</v>
      </c>
    </row>
    <row r="2914" spans="2:3" x14ac:dyDescent="0.35">
      <c r="B2914" s="87">
        <v>43760</v>
      </c>
      <c r="C2914" s="22">
        <v>472.6</v>
      </c>
    </row>
    <row r="2915" spans="2:3" x14ac:dyDescent="0.35">
      <c r="B2915" s="87">
        <v>43761</v>
      </c>
      <c r="C2915" s="22">
        <v>471.75</v>
      </c>
    </row>
    <row r="2916" spans="2:3" x14ac:dyDescent="0.35">
      <c r="B2916" s="87">
        <v>43762</v>
      </c>
      <c r="C2916" s="22">
        <v>469.8</v>
      </c>
    </row>
    <row r="2917" spans="2:3" x14ac:dyDescent="0.35">
      <c r="B2917" s="87">
        <v>43763</v>
      </c>
      <c r="C2917" s="22">
        <v>465.55</v>
      </c>
    </row>
    <row r="2918" spans="2:3" x14ac:dyDescent="0.35">
      <c r="B2918" s="87">
        <v>43765</v>
      </c>
      <c r="C2918" s="22">
        <v>469.3</v>
      </c>
    </row>
    <row r="2919" spans="2:3" x14ac:dyDescent="0.35">
      <c r="B2919" s="87">
        <v>43767</v>
      </c>
      <c r="C2919" s="22">
        <v>465.85</v>
      </c>
    </row>
    <row r="2920" spans="2:3" x14ac:dyDescent="0.35">
      <c r="B2920" s="87">
        <v>43768</v>
      </c>
      <c r="C2920" s="22">
        <v>460.35</v>
      </c>
    </row>
    <row r="2921" spans="2:3" x14ac:dyDescent="0.35">
      <c r="B2921" s="87">
        <v>43769</v>
      </c>
      <c r="C2921" s="22">
        <v>461.95</v>
      </c>
    </row>
    <row r="2922" spans="2:3" x14ac:dyDescent="0.35">
      <c r="B2922" s="87">
        <v>43770</v>
      </c>
      <c r="C2922" s="22">
        <v>463.85</v>
      </c>
    </row>
    <row r="2923" spans="2:3" x14ac:dyDescent="0.35">
      <c r="B2923" s="87">
        <v>43773</v>
      </c>
      <c r="C2923" s="22">
        <v>460.4</v>
      </c>
    </row>
    <row r="2924" spans="2:3" x14ac:dyDescent="0.35">
      <c r="B2924" s="87">
        <v>43774</v>
      </c>
      <c r="C2924" s="22">
        <v>481.35</v>
      </c>
    </row>
    <row r="2925" spans="2:3" x14ac:dyDescent="0.35">
      <c r="B2925" s="87">
        <v>43775</v>
      </c>
      <c r="C2925" s="22">
        <v>476.55</v>
      </c>
    </row>
    <row r="2926" spans="2:3" x14ac:dyDescent="0.35">
      <c r="B2926" s="87">
        <v>43776</v>
      </c>
      <c r="C2926" s="22">
        <v>477.7</v>
      </c>
    </row>
    <row r="2927" spans="2:3" x14ac:dyDescent="0.35">
      <c r="B2927" s="87">
        <v>43777</v>
      </c>
      <c r="C2927" s="22">
        <v>473.65</v>
      </c>
    </row>
    <row r="2928" spans="2:3" x14ac:dyDescent="0.35">
      <c r="B2928" s="87">
        <v>43780</v>
      </c>
      <c r="C2928" s="22">
        <v>477.45</v>
      </c>
    </row>
    <row r="2929" spans="2:3" x14ac:dyDescent="0.35">
      <c r="B2929" s="87">
        <v>43782</v>
      </c>
      <c r="C2929" s="22">
        <v>463.9</v>
      </c>
    </row>
    <row r="2930" spans="2:3" x14ac:dyDescent="0.35">
      <c r="B2930" s="87">
        <v>43783</v>
      </c>
      <c r="C2930" s="22">
        <v>462.55</v>
      </c>
    </row>
    <row r="2931" spans="2:3" x14ac:dyDescent="0.35">
      <c r="B2931" s="87">
        <v>43784</v>
      </c>
      <c r="C2931" s="22">
        <v>461.7</v>
      </c>
    </row>
    <row r="2932" spans="2:3" x14ac:dyDescent="0.35">
      <c r="B2932" s="87">
        <v>43787</v>
      </c>
      <c r="C2932" s="22">
        <v>455.1</v>
      </c>
    </row>
    <row r="2933" spans="2:3" x14ac:dyDescent="0.35">
      <c r="B2933" s="87">
        <v>43788</v>
      </c>
      <c r="C2933" s="22">
        <v>453.7</v>
      </c>
    </row>
    <row r="2934" spans="2:3" x14ac:dyDescent="0.35">
      <c r="B2934" s="87">
        <v>43789</v>
      </c>
      <c r="C2934" s="22">
        <v>468.8</v>
      </c>
    </row>
    <row r="2935" spans="2:3" x14ac:dyDescent="0.35">
      <c r="B2935" s="87">
        <v>43790</v>
      </c>
      <c r="C2935" s="22">
        <v>464.25</v>
      </c>
    </row>
    <row r="2936" spans="2:3" x14ac:dyDescent="0.35">
      <c r="B2936" s="87">
        <v>43791</v>
      </c>
      <c r="C2936" s="22">
        <v>463.8</v>
      </c>
    </row>
    <row r="2937" spans="2:3" x14ac:dyDescent="0.35">
      <c r="B2937" s="87">
        <v>43794</v>
      </c>
      <c r="C2937" s="22">
        <v>469.6</v>
      </c>
    </row>
    <row r="2938" spans="2:3" x14ac:dyDescent="0.35">
      <c r="B2938" s="87">
        <v>43795</v>
      </c>
      <c r="C2938" s="22">
        <v>462.75</v>
      </c>
    </row>
    <row r="2939" spans="2:3" x14ac:dyDescent="0.35">
      <c r="B2939" s="87">
        <v>43796</v>
      </c>
      <c r="C2939" s="22">
        <v>469.3</v>
      </c>
    </row>
    <row r="2940" spans="2:3" x14ac:dyDescent="0.35">
      <c r="B2940" s="87">
        <v>43797</v>
      </c>
      <c r="C2940" s="22">
        <v>466.25</v>
      </c>
    </row>
    <row r="2941" spans="2:3" x14ac:dyDescent="0.35">
      <c r="B2941" s="87">
        <v>43798</v>
      </c>
      <c r="C2941" s="22">
        <v>459.1</v>
      </c>
    </row>
    <row r="2942" spans="2:3" x14ac:dyDescent="0.35">
      <c r="B2942" s="87">
        <v>43801</v>
      </c>
      <c r="C2942" s="22">
        <v>453.75</v>
      </c>
    </row>
    <row r="2943" spans="2:3" x14ac:dyDescent="0.35">
      <c r="B2943" s="87">
        <v>43802</v>
      </c>
      <c r="C2943" s="22">
        <v>451.05</v>
      </c>
    </row>
    <row r="2944" spans="2:3" x14ac:dyDescent="0.35">
      <c r="B2944" s="87">
        <v>43803</v>
      </c>
      <c r="C2944" s="22">
        <v>457.8</v>
      </c>
    </row>
    <row r="2945" spans="2:3" x14ac:dyDescent="0.35">
      <c r="B2945" s="87">
        <v>43804</v>
      </c>
      <c r="C2945" s="22">
        <v>466.1</v>
      </c>
    </row>
    <row r="2946" spans="2:3" x14ac:dyDescent="0.35">
      <c r="B2946" s="87">
        <v>43805</v>
      </c>
      <c r="C2946" s="22">
        <v>463.8</v>
      </c>
    </row>
    <row r="2947" spans="2:3" x14ac:dyDescent="0.35">
      <c r="B2947" s="87">
        <v>43808</v>
      </c>
      <c r="C2947" s="22">
        <v>465.35</v>
      </c>
    </row>
    <row r="2948" spans="2:3" x14ac:dyDescent="0.35">
      <c r="B2948" s="87">
        <v>43809</v>
      </c>
      <c r="C2948" s="22">
        <v>456.9</v>
      </c>
    </row>
    <row r="2949" spans="2:3" x14ac:dyDescent="0.35">
      <c r="B2949" s="87">
        <v>43810</v>
      </c>
      <c r="C2949" s="22">
        <v>451.4</v>
      </c>
    </row>
    <row r="2950" spans="2:3" x14ac:dyDescent="0.35">
      <c r="B2950" s="87">
        <v>43811</v>
      </c>
      <c r="C2950" s="22">
        <v>457.7</v>
      </c>
    </row>
    <row r="2951" spans="2:3" x14ac:dyDescent="0.35">
      <c r="B2951" s="87">
        <v>43812</v>
      </c>
      <c r="C2951" s="22">
        <v>460</v>
      </c>
    </row>
    <row r="2952" spans="2:3" x14ac:dyDescent="0.35">
      <c r="B2952" s="87">
        <v>43815</v>
      </c>
      <c r="C2952" s="22">
        <v>459.5</v>
      </c>
    </row>
    <row r="2953" spans="2:3" x14ac:dyDescent="0.35">
      <c r="B2953" s="87">
        <v>43816</v>
      </c>
      <c r="C2953" s="22">
        <v>460.6</v>
      </c>
    </row>
    <row r="2954" spans="2:3" x14ac:dyDescent="0.35">
      <c r="B2954" s="87">
        <v>43817</v>
      </c>
      <c r="C2954" s="22">
        <v>462.8</v>
      </c>
    </row>
    <row r="2955" spans="2:3" x14ac:dyDescent="0.35">
      <c r="B2955" s="87">
        <v>43818</v>
      </c>
      <c r="C2955" s="22">
        <v>460</v>
      </c>
    </row>
    <row r="2956" spans="2:3" x14ac:dyDescent="0.35">
      <c r="B2956" s="87">
        <v>43819</v>
      </c>
      <c r="C2956" s="22">
        <v>459.8</v>
      </c>
    </row>
    <row r="2957" spans="2:3" x14ac:dyDescent="0.35">
      <c r="B2957" s="87">
        <v>43822</v>
      </c>
      <c r="C2957" s="22">
        <v>461</v>
      </c>
    </row>
    <row r="2958" spans="2:3" x14ac:dyDescent="0.35">
      <c r="B2958" s="87">
        <v>43823</v>
      </c>
      <c r="C2958" s="22">
        <v>457.7</v>
      </c>
    </row>
    <row r="2959" spans="2:3" x14ac:dyDescent="0.35">
      <c r="B2959" s="87">
        <v>43825</v>
      </c>
      <c r="C2959" s="22">
        <v>457.6</v>
      </c>
    </row>
    <row r="2960" spans="2:3" x14ac:dyDescent="0.35">
      <c r="B2960" s="87">
        <v>43826</v>
      </c>
      <c r="C2960" s="22">
        <v>459.8</v>
      </c>
    </row>
    <row r="2961" spans="2:3" x14ac:dyDescent="0.35">
      <c r="B2961" s="87">
        <v>43829</v>
      </c>
      <c r="C2961" s="22">
        <v>462.6</v>
      </c>
    </row>
    <row r="2962" spans="2:3" x14ac:dyDescent="0.35">
      <c r="B2962" s="87">
        <v>43830</v>
      </c>
      <c r="C2962" s="22">
        <v>458.4</v>
      </c>
    </row>
    <row r="2963" spans="2:3" x14ac:dyDescent="0.35">
      <c r="B2963" s="87">
        <v>43831</v>
      </c>
      <c r="C2963" s="22">
        <v>459.8</v>
      </c>
    </row>
    <row r="2964" spans="2:3" x14ac:dyDescent="0.35">
      <c r="B2964" s="87">
        <v>43832</v>
      </c>
      <c r="C2964" s="22">
        <v>459.95</v>
      </c>
    </row>
    <row r="2965" spans="2:3" x14ac:dyDescent="0.35">
      <c r="B2965" s="87">
        <v>43833</v>
      </c>
      <c r="C2965" s="22">
        <v>455.6</v>
      </c>
    </row>
    <row r="2966" spans="2:3" x14ac:dyDescent="0.35">
      <c r="B2966" s="87">
        <v>43836</v>
      </c>
      <c r="C2966" s="22">
        <v>448</v>
      </c>
    </row>
    <row r="2967" spans="2:3" x14ac:dyDescent="0.35">
      <c r="B2967" s="87">
        <v>43837</v>
      </c>
      <c r="C2967" s="22">
        <v>453.5</v>
      </c>
    </row>
    <row r="2968" spans="2:3" x14ac:dyDescent="0.35">
      <c r="B2968" s="87">
        <v>43838</v>
      </c>
      <c r="C2968" s="22">
        <v>456.65</v>
      </c>
    </row>
    <row r="2969" spans="2:3" x14ac:dyDescent="0.35">
      <c r="B2969" s="87">
        <v>43839</v>
      </c>
      <c r="C2969" s="22">
        <v>460.7</v>
      </c>
    </row>
    <row r="2970" spans="2:3" x14ac:dyDescent="0.35">
      <c r="B2970" s="87">
        <v>43840</v>
      </c>
      <c r="C2970" s="22">
        <v>466.85</v>
      </c>
    </row>
    <row r="2971" spans="2:3" x14ac:dyDescent="0.35">
      <c r="B2971" s="87">
        <v>43843</v>
      </c>
      <c r="C2971" s="22">
        <v>478.7</v>
      </c>
    </row>
    <row r="2972" spans="2:3" x14ac:dyDescent="0.35">
      <c r="B2972" s="87">
        <v>43844</v>
      </c>
      <c r="C2972" s="22">
        <v>482.65</v>
      </c>
    </row>
    <row r="2973" spans="2:3" x14ac:dyDescent="0.35">
      <c r="B2973" s="87">
        <v>43845</v>
      </c>
      <c r="C2973" s="22">
        <v>490.55</v>
      </c>
    </row>
    <row r="2974" spans="2:3" x14ac:dyDescent="0.35">
      <c r="B2974" s="87">
        <v>43846</v>
      </c>
      <c r="C2974" s="22">
        <v>487.6</v>
      </c>
    </row>
    <row r="2975" spans="2:3" x14ac:dyDescent="0.35">
      <c r="B2975" s="87">
        <v>43847</v>
      </c>
      <c r="C2975" s="22">
        <v>489.65</v>
      </c>
    </row>
    <row r="2976" spans="2:3" x14ac:dyDescent="0.35">
      <c r="B2976" s="87">
        <v>43850</v>
      </c>
      <c r="C2976" s="22">
        <v>486.05</v>
      </c>
    </row>
    <row r="2977" spans="2:3" x14ac:dyDescent="0.35">
      <c r="B2977" s="87">
        <v>43851</v>
      </c>
      <c r="C2977" s="22">
        <v>487</v>
      </c>
    </row>
    <row r="2978" spans="2:3" x14ac:dyDescent="0.35">
      <c r="B2978" s="87">
        <v>43852</v>
      </c>
      <c r="C2978" s="22">
        <v>486.8</v>
      </c>
    </row>
    <row r="2979" spans="2:3" x14ac:dyDescent="0.35">
      <c r="B2979" s="87">
        <v>43853</v>
      </c>
      <c r="C2979" s="22">
        <v>489.8</v>
      </c>
    </row>
    <row r="2980" spans="2:3" x14ac:dyDescent="0.35">
      <c r="B2980" s="87">
        <v>43854</v>
      </c>
      <c r="C2980" s="22">
        <v>500.5</v>
      </c>
    </row>
    <row r="2981" spans="2:3" x14ac:dyDescent="0.35">
      <c r="B2981" s="87">
        <v>43857</v>
      </c>
      <c r="C2981" s="22">
        <v>493.2</v>
      </c>
    </row>
    <row r="2982" spans="2:3" x14ac:dyDescent="0.35">
      <c r="B2982" s="87">
        <v>43858</v>
      </c>
      <c r="C2982" s="22">
        <v>488.4</v>
      </c>
    </row>
    <row r="2983" spans="2:3" x14ac:dyDescent="0.35">
      <c r="B2983" s="87">
        <v>43859</v>
      </c>
      <c r="C2983" s="22">
        <v>491.6</v>
      </c>
    </row>
    <row r="2984" spans="2:3" x14ac:dyDescent="0.35">
      <c r="B2984" s="87">
        <v>43860</v>
      </c>
      <c r="C2984" s="22">
        <v>478.75</v>
      </c>
    </row>
    <row r="2985" spans="2:3" x14ac:dyDescent="0.35">
      <c r="B2985" s="87">
        <v>43861</v>
      </c>
      <c r="C2985" s="22">
        <v>495.75</v>
      </c>
    </row>
    <row r="2986" spans="2:3" x14ac:dyDescent="0.35">
      <c r="B2986" s="87">
        <v>43862</v>
      </c>
      <c r="C2986" s="22">
        <v>486.4</v>
      </c>
    </row>
    <row r="2987" spans="2:3" x14ac:dyDescent="0.35">
      <c r="B2987" s="87">
        <v>43864</v>
      </c>
      <c r="C2987" s="22">
        <v>497</v>
      </c>
    </row>
    <row r="2988" spans="2:3" x14ac:dyDescent="0.35">
      <c r="B2988" s="87">
        <v>43865</v>
      </c>
      <c r="C2988" s="22">
        <v>503.35</v>
      </c>
    </row>
    <row r="2989" spans="2:3" x14ac:dyDescent="0.35">
      <c r="B2989" s="87">
        <v>43866</v>
      </c>
      <c r="C2989" s="22">
        <v>511.15</v>
      </c>
    </row>
    <row r="2990" spans="2:3" x14ac:dyDescent="0.35">
      <c r="B2990" s="87">
        <v>43867</v>
      </c>
      <c r="C2990" s="22">
        <v>509.65</v>
      </c>
    </row>
    <row r="2991" spans="2:3" x14ac:dyDescent="0.35">
      <c r="B2991" s="87">
        <v>43868</v>
      </c>
      <c r="C2991" s="22">
        <v>513.65</v>
      </c>
    </row>
    <row r="2992" spans="2:3" x14ac:dyDescent="0.35">
      <c r="B2992" s="87">
        <v>43871</v>
      </c>
      <c r="C2992" s="22">
        <v>512.85</v>
      </c>
    </row>
    <row r="2993" spans="2:3" x14ac:dyDescent="0.35">
      <c r="B2993" s="87">
        <v>43872</v>
      </c>
      <c r="C2993" s="22">
        <v>508.9</v>
      </c>
    </row>
    <row r="2994" spans="2:3" x14ac:dyDescent="0.35">
      <c r="B2994" s="87">
        <v>43873</v>
      </c>
      <c r="C2994" s="22">
        <v>519.9</v>
      </c>
    </row>
    <row r="2995" spans="2:3" x14ac:dyDescent="0.35">
      <c r="B2995" s="87">
        <v>43874</v>
      </c>
      <c r="C2995" s="22">
        <v>512.70000000000005</v>
      </c>
    </row>
    <row r="2996" spans="2:3" x14ac:dyDescent="0.35">
      <c r="B2996" s="87">
        <v>43875</v>
      </c>
      <c r="C2996" s="22">
        <v>506.1</v>
      </c>
    </row>
    <row r="2997" spans="2:3" x14ac:dyDescent="0.35">
      <c r="B2997" s="87">
        <v>43878</v>
      </c>
      <c r="C2997" s="22">
        <v>500.95</v>
      </c>
    </row>
    <row r="2998" spans="2:3" x14ac:dyDescent="0.35">
      <c r="B2998" s="87">
        <v>43879</v>
      </c>
      <c r="C2998" s="22">
        <v>504.55</v>
      </c>
    </row>
    <row r="2999" spans="2:3" x14ac:dyDescent="0.35">
      <c r="B2999" s="87">
        <v>43880</v>
      </c>
      <c r="C2999" s="22">
        <v>508.05</v>
      </c>
    </row>
    <row r="3000" spans="2:3" x14ac:dyDescent="0.35">
      <c r="B3000" s="87">
        <v>43881</v>
      </c>
      <c r="C3000" s="22">
        <v>506.15</v>
      </c>
    </row>
    <row r="3001" spans="2:3" x14ac:dyDescent="0.35">
      <c r="B3001" s="87">
        <v>43885</v>
      </c>
      <c r="C3001" s="22">
        <v>501</v>
      </c>
    </row>
    <row r="3002" spans="2:3" x14ac:dyDescent="0.35">
      <c r="B3002" s="87">
        <v>43886</v>
      </c>
      <c r="C3002" s="22">
        <v>500.25</v>
      </c>
    </row>
    <row r="3003" spans="2:3" x14ac:dyDescent="0.35">
      <c r="B3003" s="87">
        <v>43887</v>
      </c>
      <c r="C3003" s="22">
        <v>501.95</v>
      </c>
    </row>
    <row r="3004" spans="2:3" x14ac:dyDescent="0.35">
      <c r="B3004" s="87">
        <v>43888</v>
      </c>
      <c r="C3004" s="22">
        <v>506.35</v>
      </c>
    </row>
    <row r="3005" spans="2:3" x14ac:dyDescent="0.35">
      <c r="B3005" s="87">
        <v>43889</v>
      </c>
      <c r="C3005" s="22">
        <v>496.1</v>
      </c>
    </row>
    <row r="3006" spans="2:3" x14ac:dyDescent="0.35">
      <c r="B3006" s="87">
        <v>43892</v>
      </c>
      <c r="C3006" s="22">
        <v>499.25</v>
      </c>
    </row>
    <row r="3007" spans="2:3" x14ac:dyDescent="0.35">
      <c r="B3007" s="87">
        <v>43893</v>
      </c>
      <c r="C3007" s="22">
        <v>506.6</v>
      </c>
    </row>
    <row r="3008" spans="2:3" x14ac:dyDescent="0.35">
      <c r="B3008" s="87">
        <v>43894</v>
      </c>
      <c r="C3008" s="22">
        <v>514.4</v>
      </c>
    </row>
    <row r="3009" spans="2:3" x14ac:dyDescent="0.35">
      <c r="B3009" s="87">
        <v>43895</v>
      </c>
      <c r="C3009" s="22">
        <v>517.95000000000005</v>
      </c>
    </row>
    <row r="3010" spans="2:3" x14ac:dyDescent="0.35">
      <c r="B3010" s="87">
        <v>43896</v>
      </c>
      <c r="C3010" s="22">
        <v>500.55</v>
      </c>
    </row>
    <row r="3011" spans="2:3" x14ac:dyDescent="0.35">
      <c r="B3011" s="87">
        <v>43899</v>
      </c>
      <c r="C3011" s="22">
        <v>483.15</v>
      </c>
    </row>
    <row r="3012" spans="2:3" x14ac:dyDescent="0.35">
      <c r="B3012" s="87">
        <v>43901</v>
      </c>
      <c r="C3012" s="22">
        <v>488</v>
      </c>
    </row>
    <row r="3013" spans="2:3" x14ac:dyDescent="0.35">
      <c r="B3013" s="87">
        <v>43902</v>
      </c>
      <c r="C3013" s="22">
        <v>455.25</v>
      </c>
    </row>
    <row r="3014" spans="2:3" x14ac:dyDescent="0.35">
      <c r="B3014" s="87">
        <v>43903</v>
      </c>
      <c r="C3014" s="22">
        <v>450.6</v>
      </c>
    </row>
    <row r="3015" spans="2:3" x14ac:dyDescent="0.35">
      <c r="B3015" s="87">
        <v>43906</v>
      </c>
      <c r="C3015" s="22">
        <v>431.5</v>
      </c>
    </row>
    <row r="3016" spans="2:3" x14ac:dyDescent="0.35">
      <c r="B3016" s="87">
        <v>43907</v>
      </c>
      <c r="C3016" s="22">
        <v>430.4</v>
      </c>
    </row>
    <row r="3017" spans="2:3" x14ac:dyDescent="0.35">
      <c r="B3017" s="87">
        <v>43908</v>
      </c>
      <c r="C3017" s="22">
        <v>414.55</v>
      </c>
    </row>
    <row r="3018" spans="2:3" x14ac:dyDescent="0.35">
      <c r="B3018" s="87">
        <v>43909</v>
      </c>
      <c r="C3018" s="22">
        <v>418.85</v>
      </c>
    </row>
    <row r="3019" spans="2:3" x14ac:dyDescent="0.35">
      <c r="B3019" s="87">
        <v>43910</v>
      </c>
      <c r="C3019" s="22">
        <v>444.35</v>
      </c>
    </row>
    <row r="3020" spans="2:3" x14ac:dyDescent="0.35">
      <c r="B3020" s="87">
        <v>43913</v>
      </c>
      <c r="C3020" s="22">
        <v>396.05</v>
      </c>
    </row>
    <row r="3021" spans="2:3" x14ac:dyDescent="0.35">
      <c r="B3021" s="87">
        <v>43914</v>
      </c>
      <c r="C3021" s="22">
        <v>401.2</v>
      </c>
    </row>
    <row r="3022" spans="2:3" x14ac:dyDescent="0.35">
      <c r="B3022" s="87">
        <v>43915</v>
      </c>
      <c r="C3022" s="22">
        <v>405.2</v>
      </c>
    </row>
    <row r="3023" spans="2:3" x14ac:dyDescent="0.35">
      <c r="B3023" s="87">
        <v>43916</v>
      </c>
      <c r="C3023" s="22">
        <v>425.95</v>
      </c>
    </row>
    <row r="3024" spans="2:3" x14ac:dyDescent="0.35">
      <c r="B3024" s="87">
        <v>43917</v>
      </c>
      <c r="C3024" s="22">
        <v>423</v>
      </c>
    </row>
    <row r="3025" spans="2:3" x14ac:dyDescent="0.35">
      <c r="B3025" s="87">
        <v>43920</v>
      </c>
      <c r="C3025" s="22">
        <v>427.55</v>
      </c>
    </row>
    <row r="3026" spans="2:3" x14ac:dyDescent="0.35">
      <c r="B3026" s="87">
        <v>43921</v>
      </c>
      <c r="C3026" s="22">
        <v>450.05</v>
      </c>
    </row>
    <row r="3027" spans="2:3" x14ac:dyDescent="0.35">
      <c r="B3027" s="87">
        <v>43922</v>
      </c>
      <c r="C3027" s="22">
        <v>434.85</v>
      </c>
    </row>
    <row r="3028" spans="2:3" x14ac:dyDescent="0.35">
      <c r="B3028" s="87">
        <v>43924</v>
      </c>
      <c r="C3028" s="22">
        <v>427.8</v>
      </c>
    </row>
    <row r="3029" spans="2:3" x14ac:dyDescent="0.35">
      <c r="B3029" s="87">
        <v>43928</v>
      </c>
      <c r="C3029" s="22">
        <v>477.55</v>
      </c>
    </row>
    <row r="3030" spans="2:3" x14ac:dyDescent="0.35">
      <c r="B3030" s="87">
        <v>43929</v>
      </c>
      <c r="C3030" s="22">
        <v>488.3</v>
      </c>
    </row>
    <row r="3031" spans="2:3" x14ac:dyDescent="0.35">
      <c r="B3031" s="87">
        <v>43930</v>
      </c>
      <c r="C3031" s="22">
        <v>485.35</v>
      </c>
    </row>
    <row r="3032" spans="2:3" x14ac:dyDescent="0.35">
      <c r="B3032" s="87">
        <v>43934</v>
      </c>
      <c r="C3032" s="22">
        <v>479.8</v>
      </c>
    </row>
    <row r="3033" spans="2:3" x14ac:dyDescent="0.35">
      <c r="B3033" s="87">
        <v>43936</v>
      </c>
      <c r="C3033" s="22">
        <v>502.85</v>
      </c>
    </row>
    <row r="3034" spans="2:3" x14ac:dyDescent="0.35">
      <c r="B3034" s="87">
        <v>43937</v>
      </c>
      <c r="C3034" s="22">
        <v>503.5</v>
      </c>
    </row>
    <row r="3035" spans="2:3" x14ac:dyDescent="0.35">
      <c r="B3035" s="87">
        <v>43938</v>
      </c>
      <c r="C3035" s="22">
        <v>490.1</v>
      </c>
    </row>
    <row r="3036" spans="2:3" x14ac:dyDescent="0.35">
      <c r="B3036" s="87">
        <v>43941</v>
      </c>
      <c r="C3036" s="22">
        <v>492.85</v>
      </c>
    </row>
    <row r="3037" spans="2:3" x14ac:dyDescent="0.35">
      <c r="B3037" s="87">
        <v>43942</v>
      </c>
      <c r="C3037" s="22">
        <v>498.2</v>
      </c>
    </row>
    <row r="3038" spans="2:3" x14ac:dyDescent="0.35">
      <c r="B3038" s="87">
        <v>43943</v>
      </c>
      <c r="C3038" s="22">
        <v>502.7</v>
      </c>
    </row>
    <row r="3039" spans="2:3" x14ac:dyDescent="0.35">
      <c r="B3039" s="87">
        <v>43944</v>
      </c>
      <c r="C3039" s="22">
        <v>499</v>
      </c>
    </row>
    <row r="3040" spans="2:3" x14ac:dyDescent="0.35">
      <c r="B3040" s="87">
        <v>43945</v>
      </c>
      <c r="C3040" s="22">
        <v>499.05</v>
      </c>
    </row>
    <row r="3041" spans="2:3" x14ac:dyDescent="0.35">
      <c r="B3041" s="87">
        <v>43948</v>
      </c>
      <c r="C3041" s="22">
        <v>491.75</v>
      </c>
    </row>
    <row r="3042" spans="2:3" x14ac:dyDescent="0.35">
      <c r="B3042" s="87">
        <v>43949</v>
      </c>
      <c r="C3042" s="22">
        <v>487.55</v>
      </c>
    </row>
    <row r="3043" spans="2:3" x14ac:dyDescent="0.35">
      <c r="B3043" s="87">
        <v>43950</v>
      </c>
      <c r="C3043" s="22">
        <v>478.25</v>
      </c>
    </row>
    <row r="3044" spans="2:3" x14ac:dyDescent="0.35">
      <c r="B3044" s="87">
        <v>43951</v>
      </c>
      <c r="C3044" s="22">
        <v>489.3</v>
      </c>
    </row>
    <row r="3045" spans="2:3" x14ac:dyDescent="0.35">
      <c r="B3045" s="87">
        <v>43955</v>
      </c>
      <c r="C3045" s="22">
        <v>468.75</v>
      </c>
    </row>
    <row r="3046" spans="2:3" x14ac:dyDescent="0.35">
      <c r="B3046" s="87">
        <v>43956</v>
      </c>
      <c r="C3046" s="22">
        <v>452.5</v>
      </c>
    </row>
    <row r="3047" spans="2:3" x14ac:dyDescent="0.35">
      <c r="B3047" s="87">
        <v>43957</v>
      </c>
      <c r="C3047" s="22">
        <v>455.7</v>
      </c>
    </row>
    <row r="3048" spans="2:3" x14ac:dyDescent="0.35">
      <c r="B3048" s="87">
        <v>43958</v>
      </c>
      <c r="C3048" s="22">
        <v>441.9</v>
      </c>
    </row>
    <row r="3049" spans="2:3" x14ac:dyDescent="0.35">
      <c r="B3049" s="87">
        <v>43959</v>
      </c>
      <c r="C3049" s="22">
        <v>446.8</v>
      </c>
    </row>
    <row r="3050" spans="2:3" x14ac:dyDescent="0.35">
      <c r="B3050" s="87">
        <v>43962</v>
      </c>
      <c r="C3050" s="22">
        <v>446.55</v>
      </c>
    </row>
    <row r="3051" spans="2:3" x14ac:dyDescent="0.35">
      <c r="B3051" s="87">
        <v>43963</v>
      </c>
      <c r="C3051" s="22">
        <v>443.15</v>
      </c>
    </row>
    <row r="3052" spans="2:3" x14ac:dyDescent="0.35">
      <c r="B3052" s="87">
        <v>43964</v>
      </c>
      <c r="C3052" s="22">
        <v>444.05</v>
      </c>
    </row>
    <row r="3053" spans="2:3" x14ac:dyDescent="0.35">
      <c r="B3053" s="87">
        <v>43965</v>
      </c>
      <c r="C3053" s="22">
        <v>458.6</v>
      </c>
    </row>
    <row r="3054" spans="2:3" x14ac:dyDescent="0.35">
      <c r="B3054" s="87">
        <v>43966</v>
      </c>
      <c r="C3054" s="22">
        <v>443.9</v>
      </c>
    </row>
    <row r="3055" spans="2:3" x14ac:dyDescent="0.35">
      <c r="B3055" s="87">
        <v>43969</v>
      </c>
      <c r="C3055" s="22">
        <v>436.1</v>
      </c>
    </row>
    <row r="3056" spans="2:3" x14ac:dyDescent="0.35">
      <c r="B3056" s="87">
        <v>43970</v>
      </c>
      <c r="C3056" s="22">
        <v>437.1</v>
      </c>
    </row>
    <row r="3057" spans="2:3" x14ac:dyDescent="0.35">
      <c r="B3057" s="87">
        <v>43971</v>
      </c>
      <c r="C3057" s="22">
        <v>439.65</v>
      </c>
    </row>
    <row r="3058" spans="2:3" x14ac:dyDescent="0.35">
      <c r="B3058" s="87">
        <v>43972</v>
      </c>
      <c r="C3058" s="22">
        <v>440.15</v>
      </c>
    </row>
    <row r="3059" spans="2:3" x14ac:dyDescent="0.35">
      <c r="B3059" s="87">
        <v>43973</v>
      </c>
      <c r="C3059" s="22">
        <v>431.7</v>
      </c>
    </row>
    <row r="3060" spans="2:3" x14ac:dyDescent="0.35">
      <c r="B3060" s="87">
        <v>43977</v>
      </c>
      <c r="C3060" s="22">
        <v>433.1</v>
      </c>
    </row>
    <row r="3061" spans="2:3" x14ac:dyDescent="0.35">
      <c r="B3061" s="87">
        <v>43978</v>
      </c>
      <c r="C3061" s="22">
        <v>428.95</v>
      </c>
    </row>
    <row r="3062" spans="2:3" x14ac:dyDescent="0.35">
      <c r="B3062" s="87">
        <v>43979</v>
      </c>
      <c r="C3062" s="22">
        <v>448.4</v>
      </c>
    </row>
    <row r="3063" spans="2:3" x14ac:dyDescent="0.35">
      <c r="B3063" s="87">
        <v>43980</v>
      </c>
      <c r="C3063" s="22">
        <v>466.45</v>
      </c>
    </row>
    <row r="3064" spans="2:3" x14ac:dyDescent="0.35">
      <c r="B3064" s="87">
        <v>43983</v>
      </c>
      <c r="C3064" s="22">
        <v>469.25</v>
      </c>
    </row>
    <row r="3065" spans="2:3" x14ac:dyDescent="0.35">
      <c r="B3065" s="87">
        <v>43984</v>
      </c>
      <c r="C3065" s="22">
        <v>460.85</v>
      </c>
    </row>
    <row r="3066" spans="2:3" x14ac:dyDescent="0.35">
      <c r="B3066" s="87">
        <v>43985</v>
      </c>
      <c r="C3066" s="22">
        <v>463.35</v>
      </c>
    </row>
    <row r="3067" spans="2:3" x14ac:dyDescent="0.35">
      <c r="B3067" s="87">
        <v>43986</v>
      </c>
      <c r="C3067" s="22">
        <v>462.55</v>
      </c>
    </row>
    <row r="3068" spans="2:3" x14ac:dyDescent="0.35">
      <c r="B3068" s="87">
        <v>43987</v>
      </c>
      <c r="C3068" s="22">
        <v>462.85</v>
      </c>
    </row>
    <row r="3069" spans="2:3" x14ac:dyDescent="0.35">
      <c r="B3069" s="87">
        <v>43990</v>
      </c>
      <c r="C3069" s="22">
        <v>458.1</v>
      </c>
    </row>
    <row r="3070" spans="2:3" x14ac:dyDescent="0.35">
      <c r="B3070" s="87">
        <v>43991</v>
      </c>
      <c r="C3070" s="22">
        <v>466.55</v>
      </c>
    </row>
    <row r="3071" spans="2:3" x14ac:dyDescent="0.35">
      <c r="B3071" s="87">
        <v>43992</v>
      </c>
      <c r="C3071" s="22">
        <v>461.9</v>
      </c>
    </row>
    <row r="3072" spans="2:3" x14ac:dyDescent="0.35">
      <c r="B3072" s="87">
        <v>43993</v>
      </c>
      <c r="C3072" s="22">
        <v>450.1</v>
      </c>
    </row>
    <row r="3073" spans="2:3" x14ac:dyDescent="0.35">
      <c r="B3073" s="87">
        <v>43994</v>
      </c>
      <c r="C3073" s="22">
        <v>455.65</v>
      </c>
    </row>
    <row r="3074" spans="2:3" x14ac:dyDescent="0.35">
      <c r="B3074" s="87">
        <v>43997</v>
      </c>
      <c r="C3074" s="22">
        <v>453.65</v>
      </c>
    </row>
    <row r="3075" spans="2:3" x14ac:dyDescent="0.35">
      <c r="B3075" s="87">
        <v>43998</v>
      </c>
      <c r="C3075" s="22">
        <v>448.5</v>
      </c>
    </row>
    <row r="3076" spans="2:3" x14ac:dyDescent="0.35">
      <c r="B3076" s="87">
        <v>43999</v>
      </c>
      <c r="C3076" s="22">
        <v>440.5</v>
      </c>
    </row>
    <row r="3077" spans="2:3" x14ac:dyDescent="0.35">
      <c r="B3077" s="87">
        <v>44000</v>
      </c>
      <c r="C3077" s="22">
        <v>440</v>
      </c>
    </row>
    <row r="3078" spans="2:3" x14ac:dyDescent="0.35">
      <c r="B3078" s="87">
        <v>44001</v>
      </c>
      <c r="C3078" s="22">
        <v>443.05</v>
      </c>
    </row>
    <row r="3079" spans="2:3" x14ac:dyDescent="0.35">
      <c r="B3079" s="87">
        <v>44004</v>
      </c>
      <c r="C3079" s="22">
        <v>443.5</v>
      </c>
    </row>
    <row r="3080" spans="2:3" x14ac:dyDescent="0.35">
      <c r="B3080" s="87">
        <v>44005</v>
      </c>
      <c r="C3080" s="22">
        <v>458.6</v>
      </c>
    </row>
    <row r="3081" spans="2:3" x14ac:dyDescent="0.35">
      <c r="B3081" s="87">
        <v>44006</v>
      </c>
      <c r="C3081" s="22">
        <v>455.05</v>
      </c>
    </row>
    <row r="3082" spans="2:3" x14ac:dyDescent="0.35">
      <c r="B3082" s="87">
        <v>44007</v>
      </c>
      <c r="C3082" s="22">
        <v>459.15</v>
      </c>
    </row>
    <row r="3083" spans="2:3" x14ac:dyDescent="0.35">
      <c r="B3083" s="87">
        <v>44008</v>
      </c>
      <c r="C3083" s="22">
        <v>460.35</v>
      </c>
    </row>
    <row r="3084" spans="2:3" x14ac:dyDescent="0.35">
      <c r="B3084" s="87">
        <v>44011</v>
      </c>
      <c r="C3084" s="22">
        <v>463.75</v>
      </c>
    </row>
    <row r="3085" spans="2:3" x14ac:dyDescent="0.35">
      <c r="B3085" s="87">
        <v>44012</v>
      </c>
      <c r="C3085" s="22">
        <v>465.95</v>
      </c>
    </row>
    <row r="3086" spans="2:3" x14ac:dyDescent="0.35">
      <c r="B3086" s="87">
        <v>44013</v>
      </c>
      <c r="C3086" s="22">
        <v>466.6</v>
      </c>
    </row>
    <row r="3087" spans="2:3" x14ac:dyDescent="0.35">
      <c r="B3087" s="87">
        <v>44014</v>
      </c>
      <c r="C3087" s="22">
        <v>465.05</v>
      </c>
    </row>
    <row r="3088" spans="2:3" x14ac:dyDescent="0.35">
      <c r="B3088" s="87">
        <v>44015</v>
      </c>
      <c r="C3088" s="22">
        <v>467.05</v>
      </c>
    </row>
    <row r="3089" spans="2:3" x14ac:dyDescent="0.35">
      <c r="B3089" s="87">
        <v>44018</v>
      </c>
      <c r="C3089" s="22">
        <v>465.95</v>
      </c>
    </row>
    <row r="3090" spans="2:3" x14ac:dyDescent="0.35">
      <c r="B3090" s="87">
        <v>44019</v>
      </c>
      <c r="C3090" s="22">
        <v>478.55</v>
      </c>
    </row>
    <row r="3091" spans="2:3" x14ac:dyDescent="0.35">
      <c r="B3091" s="87">
        <v>44020</v>
      </c>
      <c r="C3091" s="22">
        <v>473.25</v>
      </c>
    </row>
    <row r="3092" spans="2:3" x14ac:dyDescent="0.35">
      <c r="B3092" s="87">
        <v>44021</v>
      </c>
      <c r="C3092" s="22">
        <v>473.05</v>
      </c>
    </row>
    <row r="3093" spans="2:3" x14ac:dyDescent="0.35">
      <c r="B3093" s="87">
        <v>44022</v>
      </c>
      <c r="C3093" s="22">
        <v>474.15</v>
      </c>
    </row>
    <row r="3094" spans="2:3" x14ac:dyDescent="0.35">
      <c r="B3094" s="87">
        <v>44025</v>
      </c>
      <c r="C3094" s="22">
        <v>484.5</v>
      </c>
    </row>
    <row r="3095" spans="2:3" x14ac:dyDescent="0.35">
      <c r="B3095" s="87">
        <v>44026</v>
      </c>
      <c r="C3095" s="22">
        <v>479.45</v>
      </c>
    </row>
    <row r="3096" spans="2:3" x14ac:dyDescent="0.35">
      <c r="B3096" s="87">
        <v>44027</v>
      </c>
      <c r="C3096" s="22">
        <v>479.65</v>
      </c>
    </row>
    <row r="3097" spans="2:3" x14ac:dyDescent="0.35">
      <c r="B3097" s="87">
        <v>44028</v>
      </c>
      <c r="C3097" s="22">
        <v>487.65</v>
      </c>
    </row>
    <row r="3098" spans="2:3" x14ac:dyDescent="0.35">
      <c r="B3098" s="87">
        <v>44029</v>
      </c>
      <c r="C3098" s="22">
        <v>490.75</v>
      </c>
    </row>
    <row r="3099" spans="2:3" x14ac:dyDescent="0.35">
      <c r="B3099" s="87">
        <v>44032</v>
      </c>
      <c r="C3099" s="22">
        <v>500.95</v>
      </c>
    </row>
    <row r="3100" spans="2:3" x14ac:dyDescent="0.35">
      <c r="B3100" s="87">
        <v>44033</v>
      </c>
      <c r="C3100" s="22">
        <v>491.65</v>
      </c>
    </row>
    <row r="3101" spans="2:3" x14ac:dyDescent="0.35">
      <c r="B3101" s="87">
        <v>44034</v>
      </c>
      <c r="C3101" s="22">
        <v>481.05</v>
      </c>
    </row>
    <row r="3102" spans="2:3" x14ac:dyDescent="0.35">
      <c r="B3102" s="87">
        <v>44035</v>
      </c>
      <c r="C3102" s="22">
        <v>479.45</v>
      </c>
    </row>
    <row r="3103" spans="2:3" x14ac:dyDescent="0.35">
      <c r="B3103" s="87">
        <v>44036</v>
      </c>
      <c r="C3103" s="22">
        <v>471.5</v>
      </c>
    </row>
    <row r="3104" spans="2:3" x14ac:dyDescent="0.35">
      <c r="B3104" s="87">
        <v>44039</v>
      </c>
      <c r="C3104" s="22">
        <v>466.4</v>
      </c>
    </row>
    <row r="3105" spans="2:3" x14ac:dyDescent="0.35">
      <c r="B3105" s="87">
        <v>44040</v>
      </c>
      <c r="C3105" s="22">
        <v>475.1</v>
      </c>
    </row>
    <row r="3106" spans="2:3" x14ac:dyDescent="0.35">
      <c r="B3106" s="87">
        <v>44041</v>
      </c>
      <c r="C3106" s="22">
        <v>489.6</v>
      </c>
    </row>
    <row r="3107" spans="2:3" x14ac:dyDescent="0.35">
      <c r="B3107" s="87">
        <v>44042</v>
      </c>
      <c r="C3107" s="22">
        <v>491.9</v>
      </c>
    </row>
    <row r="3108" spans="2:3" x14ac:dyDescent="0.35">
      <c r="B3108" s="87">
        <v>44043</v>
      </c>
      <c r="C3108" s="22">
        <v>513.54999999999995</v>
      </c>
    </row>
    <row r="3109" spans="2:3" x14ac:dyDescent="0.35">
      <c r="B3109" s="87">
        <v>44046</v>
      </c>
      <c r="C3109" s="22">
        <v>510.45</v>
      </c>
    </row>
    <row r="3110" spans="2:3" x14ac:dyDescent="0.35">
      <c r="B3110" s="87">
        <v>44047</v>
      </c>
      <c r="C3110" s="22">
        <v>506.95</v>
      </c>
    </row>
    <row r="3111" spans="2:3" x14ac:dyDescent="0.35">
      <c r="B3111" s="87">
        <v>44048</v>
      </c>
      <c r="C3111" s="22">
        <v>503.05</v>
      </c>
    </row>
    <row r="3112" spans="2:3" x14ac:dyDescent="0.35">
      <c r="B3112" s="87">
        <v>44049</v>
      </c>
      <c r="C3112" s="22">
        <v>506.8</v>
      </c>
    </row>
    <row r="3113" spans="2:3" x14ac:dyDescent="0.35">
      <c r="B3113" s="87">
        <v>44050</v>
      </c>
      <c r="C3113" s="22">
        <v>512.29999999999995</v>
      </c>
    </row>
    <row r="3114" spans="2:3" x14ac:dyDescent="0.35">
      <c r="B3114" s="87">
        <v>44053</v>
      </c>
      <c r="C3114" s="22">
        <v>508.55</v>
      </c>
    </row>
    <row r="3115" spans="2:3" x14ac:dyDescent="0.35">
      <c r="B3115" s="87">
        <v>44054</v>
      </c>
      <c r="C3115" s="22">
        <v>513.15</v>
      </c>
    </row>
    <row r="3116" spans="2:3" x14ac:dyDescent="0.35">
      <c r="B3116" s="87">
        <v>44055</v>
      </c>
      <c r="C3116" s="22">
        <v>503.6</v>
      </c>
    </row>
    <row r="3117" spans="2:3" x14ac:dyDescent="0.35">
      <c r="B3117" s="87">
        <v>44056</v>
      </c>
      <c r="C3117" s="22">
        <v>497.85</v>
      </c>
    </row>
    <row r="3118" spans="2:3" x14ac:dyDescent="0.35">
      <c r="B3118" s="87">
        <v>44057</v>
      </c>
      <c r="C3118" s="22">
        <v>497.1</v>
      </c>
    </row>
    <row r="3119" spans="2:3" x14ac:dyDescent="0.35">
      <c r="B3119" s="87">
        <v>44060</v>
      </c>
      <c r="C3119" s="22">
        <v>495.55</v>
      </c>
    </row>
    <row r="3120" spans="2:3" x14ac:dyDescent="0.35">
      <c r="B3120" s="87">
        <v>44061</v>
      </c>
      <c r="C3120" s="22">
        <v>497</v>
      </c>
    </row>
    <row r="3121" spans="2:3" x14ac:dyDescent="0.35">
      <c r="B3121" s="87">
        <v>44062</v>
      </c>
      <c r="C3121" s="22">
        <v>494.2</v>
      </c>
    </row>
    <row r="3122" spans="2:3" x14ac:dyDescent="0.35">
      <c r="B3122" s="87">
        <v>44063</v>
      </c>
      <c r="C3122" s="22">
        <v>492.6</v>
      </c>
    </row>
    <row r="3123" spans="2:3" x14ac:dyDescent="0.35">
      <c r="B3123" s="87">
        <v>44064</v>
      </c>
      <c r="C3123" s="22">
        <v>491.95</v>
      </c>
    </row>
    <row r="3124" spans="2:3" x14ac:dyDescent="0.35">
      <c r="B3124" s="87">
        <v>44067</v>
      </c>
      <c r="C3124" s="22">
        <v>490.5</v>
      </c>
    </row>
    <row r="3125" spans="2:3" x14ac:dyDescent="0.35">
      <c r="B3125" s="87">
        <v>44068</v>
      </c>
      <c r="C3125" s="22">
        <v>491.95</v>
      </c>
    </row>
    <row r="3126" spans="2:3" x14ac:dyDescent="0.35">
      <c r="B3126" s="87">
        <v>44069</v>
      </c>
      <c r="C3126" s="22">
        <v>495.95</v>
      </c>
    </row>
    <row r="3127" spans="2:3" x14ac:dyDescent="0.35">
      <c r="B3127" s="87">
        <v>44070</v>
      </c>
      <c r="C3127" s="22">
        <v>493.15</v>
      </c>
    </row>
    <row r="3128" spans="2:3" x14ac:dyDescent="0.35">
      <c r="B3128" s="87">
        <v>44071</v>
      </c>
      <c r="C3128" s="22">
        <v>489.1</v>
      </c>
    </row>
    <row r="3129" spans="2:3" x14ac:dyDescent="0.35">
      <c r="B3129" s="87">
        <v>44074</v>
      </c>
      <c r="C3129" s="22">
        <v>474.6</v>
      </c>
    </row>
    <row r="3130" spans="2:3" x14ac:dyDescent="0.35">
      <c r="B3130" s="87">
        <v>44075</v>
      </c>
      <c r="C3130" s="22">
        <v>487.6</v>
      </c>
    </row>
    <row r="3131" spans="2:3" x14ac:dyDescent="0.35">
      <c r="B3131" s="87">
        <v>44076</v>
      </c>
      <c r="C3131" s="22">
        <v>489.5</v>
      </c>
    </row>
    <row r="3132" spans="2:3" x14ac:dyDescent="0.35">
      <c r="B3132" s="87">
        <v>44077</v>
      </c>
      <c r="C3132" s="22">
        <v>494.7</v>
      </c>
    </row>
    <row r="3133" spans="2:3" x14ac:dyDescent="0.35">
      <c r="B3133" s="87">
        <v>44078</v>
      </c>
      <c r="C3133" s="22">
        <v>483.8</v>
      </c>
    </row>
    <row r="3134" spans="2:3" x14ac:dyDescent="0.35">
      <c r="B3134" s="87">
        <v>44081</v>
      </c>
      <c r="C3134" s="22">
        <v>487.9</v>
      </c>
    </row>
    <row r="3135" spans="2:3" x14ac:dyDescent="0.35">
      <c r="B3135" s="87">
        <v>44082</v>
      </c>
      <c r="C3135" s="22">
        <v>486.4</v>
      </c>
    </row>
    <row r="3136" spans="2:3" x14ac:dyDescent="0.35">
      <c r="B3136" s="87">
        <v>44083</v>
      </c>
      <c r="C3136" s="22">
        <v>492.35</v>
      </c>
    </row>
    <row r="3137" spans="2:3" x14ac:dyDescent="0.35">
      <c r="B3137" s="87">
        <v>44084</v>
      </c>
      <c r="C3137" s="22">
        <v>495.5</v>
      </c>
    </row>
    <row r="3138" spans="2:3" x14ac:dyDescent="0.35">
      <c r="B3138" s="87">
        <v>44085</v>
      </c>
      <c r="C3138" s="22">
        <v>508.25</v>
      </c>
    </row>
    <row r="3139" spans="2:3" x14ac:dyDescent="0.35">
      <c r="B3139" s="87">
        <v>44088</v>
      </c>
      <c r="C3139" s="22">
        <v>504.2</v>
      </c>
    </row>
    <row r="3140" spans="2:3" x14ac:dyDescent="0.35">
      <c r="B3140" s="87">
        <v>44089</v>
      </c>
      <c r="C3140" s="22">
        <v>505.75</v>
      </c>
    </row>
    <row r="3141" spans="2:3" x14ac:dyDescent="0.35">
      <c r="B3141" s="87">
        <v>44090</v>
      </c>
      <c r="C3141" s="22">
        <v>509.6</v>
      </c>
    </row>
    <row r="3142" spans="2:3" x14ac:dyDescent="0.35">
      <c r="B3142" s="87">
        <v>44091</v>
      </c>
      <c r="C3142" s="22">
        <v>502.55</v>
      </c>
    </row>
    <row r="3143" spans="2:3" x14ac:dyDescent="0.35">
      <c r="B3143" s="87">
        <v>44092</v>
      </c>
      <c r="C3143" s="22">
        <v>508.45</v>
      </c>
    </row>
    <row r="3144" spans="2:3" x14ac:dyDescent="0.35">
      <c r="B3144" s="87">
        <v>44095</v>
      </c>
      <c r="C3144" s="22">
        <v>490.7</v>
      </c>
    </row>
    <row r="3145" spans="2:3" x14ac:dyDescent="0.35">
      <c r="B3145" s="87">
        <v>44096</v>
      </c>
      <c r="C3145" s="22">
        <v>492.1</v>
      </c>
    </row>
    <row r="3146" spans="2:3" x14ac:dyDescent="0.35">
      <c r="B3146" s="87">
        <v>44097</v>
      </c>
      <c r="C3146" s="22">
        <v>485.75</v>
      </c>
    </row>
    <row r="3147" spans="2:3" x14ac:dyDescent="0.35">
      <c r="B3147" s="87">
        <v>44098</v>
      </c>
      <c r="C3147" s="22">
        <v>486.3</v>
      </c>
    </row>
    <row r="3148" spans="2:3" x14ac:dyDescent="0.35">
      <c r="B3148" s="87">
        <v>44099</v>
      </c>
      <c r="C3148" s="22">
        <v>492.6</v>
      </c>
    </row>
    <row r="3149" spans="2:3" x14ac:dyDescent="0.35">
      <c r="B3149" s="87">
        <v>44102</v>
      </c>
      <c r="C3149" s="22">
        <v>503.25</v>
      </c>
    </row>
    <row r="3150" spans="2:3" x14ac:dyDescent="0.35">
      <c r="B3150" s="87">
        <v>44103</v>
      </c>
      <c r="C3150" s="22">
        <v>497.2</v>
      </c>
    </row>
    <row r="3151" spans="2:3" x14ac:dyDescent="0.35">
      <c r="B3151" s="87">
        <v>44104</v>
      </c>
      <c r="C3151" s="22">
        <v>510.55</v>
      </c>
    </row>
    <row r="3152" spans="2:3" x14ac:dyDescent="0.35">
      <c r="B3152" s="87">
        <v>44105</v>
      </c>
      <c r="C3152" s="22">
        <v>513.79999999999995</v>
      </c>
    </row>
    <row r="3153" spans="2:3" x14ac:dyDescent="0.35">
      <c r="B3153" s="87">
        <v>44109</v>
      </c>
      <c r="C3153" s="22">
        <v>520</v>
      </c>
    </row>
    <row r="3154" spans="2:3" x14ac:dyDescent="0.35">
      <c r="B3154" s="87">
        <v>44110</v>
      </c>
      <c r="C3154" s="22">
        <v>526.79999999999995</v>
      </c>
    </row>
    <row r="3155" spans="2:3" x14ac:dyDescent="0.35">
      <c r="B3155" s="87">
        <v>44111</v>
      </c>
      <c r="C3155" s="22">
        <v>524.04999999999995</v>
      </c>
    </row>
    <row r="3156" spans="2:3" x14ac:dyDescent="0.35">
      <c r="B3156" s="87">
        <v>44112</v>
      </c>
      <c r="C3156" s="22">
        <v>522.04999999999995</v>
      </c>
    </row>
    <row r="3157" spans="2:3" x14ac:dyDescent="0.35">
      <c r="B3157" s="87">
        <v>44113</v>
      </c>
      <c r="C3157" s="22">
        <v>519.1</v>
      </c>
    </row>
    <row r="3158" spans="2:3" x14ac:dyDescent="0.35">
      <c r="B3158" s="87">
        <v>44116</v>
      </c>
      <c r="C3158" s="22">
        <v>515.5</v>
      </c>
    </row>
    <row r="3159" spans="2:3" x14ac:dyDescent="0.35">
      <c r="B3159" s="87">
        <v>44117</v>
      </c>
      <c r="C3159" s="22">
        <v>514.25</v>
      </c>
    </row>
    <row r="3160" spans="2:3" x14ac:dyDescent="0.35">
      <c r="B3160" s="87">
        <v>44118</v>
      </c>
      <c r="C3160" s="22">
        <v>516.95000000000005</v>
      </c>
    </row>
    <row r="3161" spans="2:3" x14ac:dyDescent="0.35">
      <c r="B3161" s="87">
        <v>44119</v>
      </c>
      <c r="C3161" s="22">
        <v>517.6</v>
      </c>
    </row>
    <row r="3162" spans="2:3" x14ac:dyDescent="0.35">
      <c r="B3162" s="87">
        <v>44120</v>
      </c>
      <c r="C3162" s="22">
        <v>511.7</v>
      </c>
    </row>
    <row r="3163" spans="2:3" x14ac:dyDescent="0.35">
      <c r="B3163" s="87">
        <v>44123</v>
      </c>
      <c r="C3163" s="22">
        <v>519.29999999999995</v>
      </c>
    </row>
    <row r="3164" spans="2:3" x14ac:dyDescent="0.35">
      <c r="B3164" s="87">
        <v>44124</v>
      </c>
      <c r="C3164" s="22">
        <v>528.04999999999995</v>
      </c>
    </row>
    <row r="3165" spans="2:3" x14ac:dyDescent="0.35">
      <c r="B3165" s="87">
        <v>44125</v>
      </c>
      <c r="C3165" s="22">
        <v>515.85</v>
      </c>
    </row>
    <row r="3166" spans="2:3" x14ac:dyDescent="0.35">
      <c r="B3166" s="87">
        <v>44126</v>
      </c>
      <c r="C3166" s="22">
        <v>507.15</v>
      </c>
    </row>
    <row r="3167" spans="2:3" x14ac:dyDescent="0.35">
      <c r="B3167" s="87">
        <v>44127</v>
      </c>
      <c r="C3167" s="22">
        <v>519.15</v>
      </c>
    </row>
    <row r="3168" spans="2:3" x14ac:dyDescent="0.35">
      <c r="B3168" s="87">
        <v>44130</v>
      </c>
      <c r="C3168" s="22">
        <v>513.5</v>
      </c>
    </row>
    <row r="3169" spans="2:3" x14ac:dyDescent="0.35">
      <c r="B3169" s="87">
        <v>44131</v>
      </c>
      <c r="C3169" s="22">
        <v>523.20000000000005</v>
      </c>
    </row>
    <row r="3170" spans="2:3" x14ac:dyDescent="0.35">
      <c r="B3170" s="87">
        <v>44132</v>
      </c>
      <c r="C3170" s="22">
        <v>517.15</v>
      </c>
    </row>
    <row r="3171" spans="2:3" x14ac:dyDescent="0.35">
      <c r="B3171" s="87">
        <v>44133</v>
      </c>
      <c r="C3171" s="22">
        <v>519.75</v>
      </c>
    </row>
    <row r="3172" spans="2:3" x14ac:dyDescent="0.35">
      <c r="B3172" s="87">
        <v>44134</v>
      </c>
      <c r="C3172" s="22">
        <v>511.45</v>
      </c>
    </row>
    <row r="3173" spans="2:3" x14ac:dyDescent="0.35">
      <c r="B3173" s="87">
        <v>44137</v>
      </c>
      <c r="C3173" s="22">
        <v>506.25</v>
      </c>
    </row>
    <row r="3174" spans="2:3" x14ac:dyDescent="0.35">
      <c r="B3174" s="87">
        <v>44138</v>
      </c>
      <c r="C3174" s="22">
        <v>515.4</v>
      </c>
    </row>
    <row r="3175" spans="2:3" x14ac:dyDescent="0.35">
      <c r="B3175" s="87">
        <v>44139</v>
      </c>
      <c r="C3175" s="22">
        <v>518.45000000000005</v>
      </c>
    </row>
    <row r="3176" spans="2:3" x14ac:dyDescent="0.35">
      <c r="B3176" s="87">
        <v>44140</v>
      </c>
      <c r="C3176" s="22">
        <v>519.54999999999995</v>
      </c>
    </row>
    <row r="3177" spans="2:3" x14ac:dyDescent="0.35">
      <c r="B3177" s="87">
        <v>44141</v>
      </c>
      <c r="C3177" s="22">
        <v>527.20000000000005</v>
      </c>
    </row>
    <row r="3178" spans="2:3" x14ac:dyDescent="0.35">
      <c r="B3178" s="87">
        <v>44144</v>
      </c>
      <c r="C3178" s="22">
        <v>527.54999999999995</v>
      </c>
    </row>
    <row r="3179" spans="2:3" x14ac:dyDescent="0.35">
      <c r="B3179" s="87">
        <v>44145</v>
      </c>
      <c r="C3179" s="22">
        <v>515</v>
      </c>
    </row>
    <row r="3180" spans="2:3" x14ac:dyDescent="0.35">
      <c r="B3180" s="87">
        <v>44146</v>
      </c>
      <c r="C3180" s="22">
        <v>510</v>
      </c>
    </row>
    <row r="3181" spans="2:3" x14ac:dyDescent="0.35">
      <c r="B3181" s="87">
        <v>44147</v>
      </c>
      <c r="C3181" s="22">
        <v>517.9</v>
      </c>
    </row>
    <row r="3182" spans="2:3" x14ac:dyDescent="0.35">
      <c r="B3182" s="87">
        <v>44148</v>
      </c>
      <c r="C3182" s="22">
        <v>515.4</v>
      </c>
    </row>
    <row r="3183" spans="2:3" x14ac:dyDescent="0.35">
      <c r="B3183" s="87">
        <v>44152</v>
      </c>
      <c r="C3183" s="22">
        <v>511.65</v>
      </c>
    </row>
    <row r="3184" spans="2:3" x14ac:dyDescent="0.35">
      <c r="B3184" s="87">
        <v>44153</v>
      </c>
      <c r="C3184" s="22">
        <v>505.4</v>
      </c>
    </row>
    <row r="3185" spans="2:3" x14ac:dyDescent="0.35">
      <c r="B3185" s="87">
        <v>44154</v>
      </c>
      <c r="C3185" s="22">
        <v>507.3</v>
      </c>
    </row>
    <row r="3186" spans="2:3" x14ac:dyDescent="0.35">
      <c r="B3186" s="87">
        <v>44155</v>
      </c>
      <c r="C3186" s="22">
        <v>508.4</v>
      </c>
    </row>
    <row r="3187" spans="2:3" x14ac:dyDescent="0.35">
      <c r="B3187" s="87">
        <v>44158</v>
      </c>
      <c r="C3187" s="22">
        <v>509.1</v>
      </c>
    </row>
    <row r="3188" spans="2:3" x14ac:dyDescent="0.35">
      <c r="B3188" s="87">
        <v>44159</v>
      </c>
      <c r="C3188" s="22">
        <v>507.9</v>
      </c>
    </row>
    <row r="3189" spans="2:3" x14ac:dyDescent="0.35">
      <c r="B3189" s="87">
        <v>44160</v>
      </c>
      <c r="C3189" s="22">
        <v>501.3</v>
      </c>
    </row>
    <row r="3190" spans="2:3" x14ac:dyDescent="0.35">
      <c r="B3190" s="87">
        <v>44161</v>
      </c>
      <c r="C3190" s="22">
        <v>504.1</v>
      </c>
    </row>
    <row r="3191" spans="2:3" x14ac:dyDescent="0.35">
      <c r="B3191" s="87">
        <v>44162</v>
      </c>
      <c r="C3191" s="22">
        <v>499.8</v>
      </c>
    </row>
    <row r="3192" spans="2:3" x14ac:dyDescent="0.35">
      <c r="B3192" s="87">
        <v>44166</v>
      </c>
      <c r="C3192" s="22">
        <v>506</v>
      </c>
    </row>
    <row r="3193" spans="2:3" x14ac:dyDescent="0.35">
      <c r="B3193" s="87">
        <v>44167</v>
      </c>
      <c r="C3193" s="22">
        <v>502.5</v>
      </c>
    </row>
    <row r="3194" spans="2:3" x14ac:dyDescent="0.35">
      <c r="B3194" s="87">
        <v>44168</v>
      </c>
      <c r="C3194" s="22">
        <v>501.5</v>
      </c>
    </row>
    <row r="3195" spans="2:3" x14ac:dyDescent="0.35">
      <c r="B3195" s="87">
        <v>44169</v>
      </c>
      <c r="C3195" s="22">
        <v>502.3</v>
      </c>
    </row>
    <row r="3196" spans="2:3" x14ac:dyDescent="0.35">
      <c r="B3196" s="87">
        <v>44172</v>
      </c>
      <c r="C3196" s="22">
        <v>502.05</v>
      </c>
    </row>
    <row r="3197" spans="2:3" x14ac:dyDescent="0.35">
      <c r="B3197" s="87">
        <v>44173</v>
      </c>
      <c r="C3197" s="22">
        <v>502.6</v>
      </c>
    </row>
    <row r="3198" spans="2:3" x14ac:dyDescent="0.35">
      <c r="B3198" s="87">
        <v>44174</v>
      </c>
      <c r="C3198" s="22">
        <v>502.15</v>
      </c>
    </row>
    <row r="3199" spans="2:3" x14ac:dyDescent="0.35">
      <c r="B3199" s="87">
        <v>44175</v>
      </c>
      <c r="C3199" s="22">
        <v>514.4</v>
      </c>
    </row>
    <row r="3200" spans="2:3" x14ac:dyDescent="0.35">
      <c r="B3200" s="87">
        <v>44176</v>
      </c>
      <c r="C3200" s="22">
        <v>513.79999999999995</v>
      </c>
    </row>
    <row r="3201" spans="2:3" x14ac:dyDescent="0.35">
      <c r="B3201" s="87">
        <v>44179</v>
      </c>
      <c r="C3201" s="22">
        <v>513.6</v>
      </c>
    </row>
    <row r="3202" spans="2:3" x14ac:dyDescent="0.35">
      <c r="B3202" s="87">
        <v>44180</v>
      </c>
      <c r="C3202" s="22">
        <v>513.85</v>
      </c>
    </row>
    <row r="3203" spans="2:3" x14ac:dyDescent="0.35">
      <c r="B3203" s="87">
        <v>44181</v>
      </c>
      <c r="C3203" s="22">
        <v>513.65</v>
      </c>
    </row>
    <row r="3204" spans="2:3" x14ac:dyDescent="0.35">
      <c r="B3204" s="87">
        <v>44182</v>
      </c>
      <c r="C3204" s="22">
        <v>511.5</v>
      </c>
    </row>
    <row r="3205" spans="2:3" x14ac:dyDescent="0.35">
      <c r="B3205" s="87">
        <v>44183</v>
      </c>
      <c r="C3205" s="22">
        <v>509.35</v>
      </c>
    </row>
    <row r="3206" spans="2:3" x14ac:dyDescent="0.35">
      <c r="B3206" s="87">
        <v>44186</v>
      </c>
      <c r="C3206" s="22">
        <v>503.6</v>
      </c>
    </row>
    <row r="3207" spans="2:3" x14ac:dyDescent="0.35">
      <c r="B3207" s="87">
        <v>44187</v>
      </c>
      <c r="C3207" s="22">
        <v>504.25</v>
      </c>
    </row>
    <row r="3208" spans="2:3" x14ac:dyDescent="0.35">
      <c r="B3208" s="87">
        <v>44188</v>
      </c>
      <c r="C3208" s="22">
        <v>510.15</v>
      </c>
    </row>
    <row r="3209" spans="2:3" x14ac:dyDescent="0.35">
      <c r="B3209" s="87">
        <v>44189</v>
      </c>
      <c r="C3209" s="22">
        <v>514.54999999999995</v>
      </c>
    </row>
    <row r="3210" spans="2:3" x14ac:dyDescent="0.35">
      <c r="B3210" s="87">
        <v>44193</v>
      </c>
      <c r="C3210" s="22">
        <v>525.04999999999995</v>
      </c>
    </row>
    <row r="3211" spans="2:3" x14ac:dyDescent="0.35">
      <c r="B3211" s="87">
        <v>44194</v>
      </c>
      <c r="C3211" s="22">
        <v>528.95000000000005</v>
      </c>
    </row>
    <row r="3212" spans="2:3" x14ac:dyDescent="0.35">
      <c r="B3212" s="87">
        <v>44195</v>
      </c>
      <c r="C3212" s="22">
        <v>539.54999999999995</v>
      </c>
    </row>
    <row r="3213" spans="2:3" x14ac:dyDescent="0.35">
      <c r="B3213" s="87">
        <v>44196</v>
      </c>
      <c r="C3213" s="22">
        <v>534</v>
      </c>
    </row>
    <row r="3214" spans="2:3" x14ac:dyDescent="0.35">
      <c r="B3214" s="87">
        <v>44197</v>
      </c>
      <c r="C3214" s="22">
        <v>534.20000000000005</v>
      </c>
    </row>
    <row r="3215" spans="2:3" x14ac:dyDescent="0.35">
      <c r="B3215" s="87">
        <v>44200</v>
      </c>
      <c r="C3215" s="22">
        <v>543.35</v>
      </c>
    </row>
    <row r="3216" spans="2:3" x14ac:dyDescent="0.35">
      <c r="B3216" s="87">
        <v>44201</v>
      </c>
      <c r="C3216" s="22">
        <v>538.9</v>
      </c>
    </row>
    <row r="3217" spans="2:3" x14ac:dyDescent="0.35">
      <c r="B3217" s="87">
        <v>44202</v>
      </c>
      <c r="C3217" s="22">
        <v>534.1</v>
      </c>
    </row>
    <row r="3218" spans="2:3" x14ac:dyDescent="0.35">
      <c r="B3218" s="87">
        <v>44203</v>
      </c>
      <c r="C3218" s="22">
        <v>535.20000000000005</v>
      </c>
    </row>
    <row r="3219" spans="2:3" x14ac:dyDescent="0.35">
      <c r="B3219" s="87">
        <v>44204</v>
      </c>
      <c r="C3219" s="22">
        <v>540.1</v>
      </c>
    </row>
    <row r="3220" spans="2:3" x14ac:dyDescent="0.35">
      <c r="B3220" s="87">
        <v>44207</v>
      </c>
      <c r="C3220" s="22">
        <v>546.5</v>
      </c>
    </row>
    <row r="3221" spans="2:3" x14ac:dyDescent="0.35">
      <c r="B3221" s="87">
        <v>44208</v>
      </c>
      <c r="C3221" s="22">
        <v>541</v>
      </c>
    </row>
    <row r="3222" spans="2:3" x14ac:dyDescent="0.35">
      <c r="B3222" s="87">
        <v>44209</v>
      </c>
      <c r="C3222" s="22">
        <v>536.1</v>
      </c>
    </row>
    <row r="3223" spans="2:3" x14ac:dyDescent="0.35">
      <c r="B3223" s="87">
        <v>44210</v>
      </c>
      <c r="C3223" s="22">
        <v>548.95000000000005</v>
      </c>
    </row>
    <row r="3224" spans="2:3" x14ac:dyDescent="0.35">
      <c r="B3224" s="87">
        <v>44211</v>
      </c>
      <c r="C3224" s="22">
        <v>540.75</v>
      </c>
    </row>
    <row r="3225" spans="2:3" x14ac:dyDescent="0.35">
      <c r="B3225" s="87">
        <v>44214</v>
      </c>
      <c r="C3225" s="22">
        <v>537.5</v>
      </c>
    </row>
    <row r="3226" spans="2:3" x14ac:dyDescent="0.35">
      <c r="B3226" s="87">
        <v>44215</v>
      </c>
      <c r="C3226" s="22">
        <v>541.4</v>
      </c>
    </row>
    <row r="3227" spans="2:3" x14ac:dyDescent="0.35">
      <c r="B3227" s="87">
        <v>44216</v>
      </c>
      <c r="C3227" s="22">
        <v>537.65</v>
      </c>
    </row>
    <row r="3228" spans="2:3" x14ac:dyDescent="0.35">
      <c r="B3228" s="87">
        <v>44217</v>
      </c>
      <c r="C3228" s="22">
        <v>537.04999999999995</v>
      </c>
    </row>
    <row r="3229" spans="2:3" x14ac:dyDescent="0.35">
      <c r="B3229" s="87">
        <v>44218</v>
      </c>
      <c r="C3229" s="22">
        <v>532.95000000000005</v>
      </c>
    </row>
    <row r="3230" spans="2:3" x14ac:dyDescent="0.35">
      <c r="B3230" s="87">
        <v>44221</v>
      </c>
      <c r="C3230" s="22">
        <v>532.6</v>
      </c>
    </row>
    <row r="3231" spans="2:3" x14ac:dyDescent="0.35">
      <c r="B3231" s="87">
        <v>44223</v>
      </c>
      <c r="C3231" s="22">
        <v>527.5</v>
      </c>
    </row>
    <row r="3232" spans="2:3" x14ac:dyDescent="0.35">
      <c r="B3232" s="87">
        <v>44224</v>
      </c>
      <c r="C3232" s="22">
        <v>527.9</v>
      </c>
    </row>
    <row r="3233" spans="2:3" x14ac:dyDescent="0.35">
      <c r="B3233" s="87">
        <v>44225</v>
      </c>
      <c r="C3233" s="22">
        <v>514.54999999999995</v>
      </c>
    </row>
    <row r="3234" spans="2:3" x14ac:dyDescent="0.35">
      <c r="B3234" s="87">
        <v>44228</v>
      </c>
      <c r="C3234" s="22">
        <v>525.20000000000005</v>
      </c>
    </row>
    <row r="3235" spans="2:3" x14ac:dyDescent="0.35">
      <c r="B3235" s="87">
        <v>44229</v>
      </c>
      <c r="C3235" s="22">
        <v>526.4</v>
      </c>
    </row>
    <row r="3236" spans="2:3" x14ac:dyDescent="0.35">
      <c r="B3236" s="87">
        <v>44230</v>
      </c>
      <c r="C3236" s="22">
        <v>524.75</v>
      </c>
    </row>
    <row r="3237" spans="2:3" x14ac:dyDescent="0.35">
      <c r="B3237" s="87">
        <v>44231</v>
      </c>
      <c r="C3237" s="22">
        <v>526.1</v>
      </c>
    </row>
    <row r="3238" spans="2:3" x14ac:dyDescent="0.35">
      <c r="B3238" s="87">
        <v>44232</v>
      </c>
      <c r="C3238" s="22">
        <v>521.75</v>
      </c>
    </row>
    <row r="3239" spans="2:3" x14ac:dyDescent="0.35">
      <c r="B3239" s="87">
        <v>44235</v>
      </c>
      <c r="C3239" s="22">
        <v>518.4</v>
      </c>
    </row>
    <row r="3240" spans="2:3" x14ac:dyDescent="0.35">
      <c r="B3240" s="87">
        <v>44236</v>
      </c>
      <c r="C3240" s="22">
        <v>525.15</v>
      </c>
    </row>
    <row r="3241" spans="2:3" x14ac:dyDescent="0.35">
      <c r="B3241" s="87">
        <v>44237</v>
      </c>
      <c r="C3241" s="22">
        <v>524.65</v>
      </c>
    </row>
    <row r="3242" spans="2:3" x14ac:dyDescent="0.35">
      <c r="B3242" s="87">
        <v>44238</v>
      </c>
      <c r="C3242" s="22">
        <v>535.79999999999995</v>
      </c>
    </row>
    <row r="3243" spans="2:3" x14ac:dyDescent="0.35">
      <c r="B3243" s="87">
        <v>44239</v>
      </c>
      <c r="C3243" s="22">
        <v>534</v>
      </c>
    </row>
    <row r="3244" spans="2:3" x14ac:dyDescent="0.35">
      <c r="B3244" s="87">
        <v>44242</v>
      </c>
      <c r="C3244" s="22">
        <v>527.29999999999995</v>
      </c>
    </row>
    <row r="3245" spans="2:3" x14ac:dyDescent="0.35">
      <c r="B3245" s="87">
        <v>44243</v>
      </c>
      <c r="C3245" s="22">
        <v>522.6</v>
      </c>
    </row>
    <row r="3246" spans="2:3" x14ac:dyDescent="0.35">
      <c r="B3246" s="87">
        <v>44244</v>
      </c>
      <c r="C3246" s="22">
        <v>520.04999999999995</v>
      </c>
    </row>
    <row r="3247" spans="2:3" x14ac:dyDescent="0.35">
      <c r="B3247" s="87">
        <v>44245</v>
      </c>
      <c r="C3247" s="22">
        <v>520.04999999999995</v>
      </c>
    </row>
    <row r="3248" spans="2:3" x14ac:dyDescent="0.35">
      <c r="B3248" s="87">
        <v>44246</v>
      </c>
      <c r="C3248" s="22">
        <v>513.45000000000005</v>
      </c>
    </row>
    <row r="3249" spans="2:3" x14ac:dyDescent="0.35">
      <c r="B3249" s="87">
        <v>44249</v>
      </c>
      <c r="C3249" s="22">
        <v>500.35</v>
      </c>
    </row>
    <row r="3250" spans="2:3" x14ac:dyDescent="0.35">
      <c r="B3250" s="87">
        <v>44250</v>
      </c>
      <c r="C3250" s="22">
        <v>500.05</v>
      </c>
    </row>
    <row r="3251" spans="2:3" x14ac:dyDescent="0.35">
      <c r="B3251" s="87">
        <v>44251</v>
      </c>
      <c r="C3251" s="22">
        <v>503.65</v>
      </c>
    </row>
    <row r="3252" spans="2:3" x14ac:dyDescent="0.35">
      <c r="B3252" s="87">
        <v>44252</v>
      </c>
      <c r="C3252" s="22">
        <v>509.05</v>
      </c>
    </row>
    <row r="3253" spans="2:3" x14ac:dyDescent="0.35">
      <c r="B3253" s="87">
        <v>44253</v>
      </c>
      <c r="C3253" s="22">
        <v>503.1</v>
      </c>
    </row>
    <row r="3254" spans="2:3" x14ac:dyDescent="0.35">
      <c r="B3254" s="87">
        <v>44256</v>
      </c>
      <c r="C3254" s="22">
        <v>505.85</v>
      </c>
    </row>
    <row r="3255" spans="2:3" x14ac:dyDescent="0.35">
      <c r="B3255" s="87">
        <v>44257</v>
      </c>
      <c r="C3255" s="22">
        <v>511.25</v>
      </c>
    </row>
    <row r="3256" spans="2:3" x14ac:dyDescent="0.35">
      <c r="B3256" s="87">
        <v>44258</v>
      </c>
      <c r="C3256" s="22">
        <v>518.1</v>
      </c>
    </row>
    <row r="3257" spans="2:3" x14ac:dyDescent="0.35">
      <c r="B3257" s="87">
        <v>44259</v>
      </c>
      <c r="C3257" s="22">
        <v>524.20000000000005</v>
      </c>
    </row>
    <row r="3258" spans="2:3" x14ac:dyDescent="0.35">
      <c r="B3258" s="87">
        <v>44260</v>
      </c>
      <c r="C3258" s="22">
        <v>524.4</v>
      </c>
    </row>
    <row r="3259" spans="2:3" x14ac:dyDescent="0.35">
      <c r="B3259" s="87">
        <v>44263</v>
      </c>
      <c r="C3259" s="22">
        <v>528.65</v>
      </c>
    </row>
    <row r="3260" spans="2:3" x14ac:dyDescent="0.35">
      <c r="B3260" s="87">
        <v>44264</v>
      </c>
      <c r="C3260" s="22">
        <v>525.75</v>
      </c>
    </row>
    <row r="3261" spans="2:3" x14ac:dyDescent="0.35">
      <c r="B3261" s="87">
        <v>44265</v>
      </c>
      <c r="C3261" s="22">
        <v>531.15</v>
      </c>
    </row>
    <row r="3262" spans="2:3" x14ac:dyDescent="0.35">
      <c r="B3262" s="87">
        <v>44267</v>
      </c>
      <c r="C3262" s="22">
        <v>523.45000000000005</v>
      </c>
    </row>
    <row r="3263" spans="2:3" x14ac:dyDescent="0.35">
      <c r="B3263" s="87">
        <v>44270</v>
      </c>
      <c r="C3263" s="22">
        <v>526.1</v>
      </c>
    </row>
    <row r="3264" spans="2:3" x14ac:dyDescent="0.35">
      <c r="B3264" s="87">
        <v>44271</v>
      </c>
      <c r="C3264" s="22">
        <v>529.1</v>
      </c>
    </row>
    <row r="3265" spans="2:3" x14ac:dyDescent="0.35">
      <c r="B3265" s="87">
        <v>44272</v>
      </c>
      <c r="C3265" s="22">
        <v>527.54999999999995</v>
      </c>
    </row>
    <row r="3266" spans="2:3" x14ac:dyDescent="0.35">
      <c r="B3266" s="87">
        <v>44273</v>
      </c>
      <c r="C3266" s="22">
        <v>521.9</v>
      </c>
    </row>
    <row r="3267" spans="2:3" x14ac:dyDescent="0.35">
      <c r="B3267" s="87">
        <v>44274</v>
      </c>
      <c r="C3267" s="22">
        <v>524.79999999999995</v>
      </c>
    </row>
    <row r="3268" spans="2:3" x14ac:dyDescent="0.35">
      <c r="B3268" s="87">
        <v>44277</v>
      </c>
      <c r="C3268" s="22">
        <v>533.5</v>
      </c>
    </row>
    <row r="3269" spans="2:3" x14ac:dyDescent="0.35">
      <c r="B3269" s="87">
        <v>44278</v>
      </c>
      <c r="C3269" s="22">
        <v>533.25</v>
      </c>
    </row>
    <row r="3270" spans="2:3" x14ac:dyDescent="0.35">
      <c r="B3270" s="87">
        <v>44279</v>
      </c>
      <c r="C3270" s="22">
        <v>529.04999999999995</v>
      </c>
    </row>
    <row r="3271" spans="2:3" x14ac:dyDescent="0.35">
      <c r="B3271" s="87">
        <v>44280</v>
      </c>
      <c r="C3271" s="22">
        <v>517.35</v>
      </c>
    </row>
    <row r="3272" spans="2:3" x14ac:dyDescent="0.35">
      <c r="B3272" s="87">
        <v>44281</v>
      </c>
      <c r="C3272" s="22">
        <v>529.79999999999995</v>
      </c>
    </row>
    <row r="3273" spans="2:3" x14ac:dyDescent="0.35">
      <c r="B3273" s="87">
        <v>44285</v>
      </c>
      <c r="C3273" s="22">
        <v>538</v>
      </c>
    </row>
    <row r="3274" spans="2:3" x14ac:dyDescent="0.35">
      <c r="B3274" s="87">
        <v>44286</v>
      </c>
      <c r="C3274" s="22">
        <v>540.5</v>
      </c>
    </row>
    <row r="3275" spans="2:3" x14ac:dyDescent="0.35">
      <c r="B3275" s="87">
        <v>44287</v>
      </c>
      <c r="C3275" s="22">
        <v>538.65</v>
      </c>
    </row>
    <row r="3276" spans="2:3" x14ac:dyDescent="0.35">
      <c r="B3276" s="87">
        <v>44291</v>
      </c>
      <c r="C3276" s="22">
        <v>537</v>
      </c>
    </row>
    <row r="3277" spans="2:3" x14ac:dyDescent="0.35">
      <c r="B3277" s="87">
        <v>44292</v>
      </c>
      <c r="C3277" s="22">
        <v>546.95000000000005</v>
      </c>
    </row>
    <row r="3278" spans="2:3" x14ac:dyDescent="0.35">
      <c r="B3278" s="87">
        <v>44293</v>
      </c>
      <c r="C3278" s="22">
        <v>553.20000000000005</v>
      </c>
    </row>
    <row r="3279" spans="2:3" x14ac:dyDescent="0.35">
      <c r="B3279" s="87">
        <v>44294</v>
      </c>
      <c r="C3279" s="22">
        <v>559.15</v>
      </c>
    </row>
    <row r="3280" spans="2:3" x14ac:dyDescent="0.35">
      <c r="B3280" s="87">
        <v>44295</v>
      </c>
      <c r="C3280" s="22">
        <v>560.5</v>
      </c>
    </row>
    <row r="3281" spans="2:3" x14ac:dyDescent="0.35">
      <c r="B3281" s="87">
        <v>44298</v>
      </c>
      <c r="C3281" s="22">
        <v>554.75</v>
      </c>
    </row>
    <row r="3282" spans="2:3" x14ac:dyDescent="0.35">
      <c r="B3282" s="87">
        <v>44299</v>
      </c>
      <c r="C3282" s="22">
        <v>560.25</v>
      </c>
    </row>
    <row r="3283" spans="2:3" x14ac:dyDescent="0.35">
      <c r="B3283" s="87">
        <v>44301</v>
      </c>
      <c r="C3283" s="22">
        <v>572.04999999999995</v>
      </c>
    </row>
    <row r="3284" spans="2:3" x14ac:dyDescent="0.35">
      <c r="B3284" s="87">
        <v>44302</v>
      </c>
      <c r="C3284" s="22">
        <v>575</v>
      </c>
    </row>
    <row r="3285" spans="2:3" x14ac:dyDescent="0.35">
      <c r="B3285" s="87">
        <v>44305</v>
      </c>
      <c r="C3285" s="22">
        <v>569.20000000000005</v>
      </c>
    </row>
    <row r="3286" spans="2:3" x14ac:dyDescent="0.35">
      <c r="B3286" s="87">
        <v>44306</v>
      </c>
      <c r="C3286" s="22">
        <v>569</v>
      </c>
    </row>
    <row r="3287" spans="2:3" x14ac:dyDescent="0.35">
      <c r="B3287" s="87">
        <v>44308</v>
      </c>
      <c r="C3287" s="22">
        <v>566.15</v>
      </c>
    </row>
    <row r="3288" spans="2:3" x14ac:dyDescent="0.35">
      <c r="B3288" s="87">
        <v>44309</v>
      </c>
      <c r="C3288" s="22">
        <v>559.95000000000005</v>
      </c>
    </row>
    <row r="3289" spans="2:3" x14ac:dyDescent="0.35">
      <c r="B3289" s="87">
        <v>44312</v>
      </c>
      <c r="C3289" s="22">
        <v>541.29999999999995</v>
      </c>
    </row>
    <row r="3290" spans="2:3" x14ac:dyDescent="0.35">
      <c r="B3290" s="87">
        <v>44313</v>
      </c>
      <c r="C3290" s="22">
        <v>538.6</v>
      </c>
    </row>
    <row r="3291" spans="2:3" x14ac:dyDescent="0.35">
      <c r="B3291" s="87">
        <v>44314</v>
      </c>
      <c r="C3291" s="22">
        <v>541.25</v>
      </c>
    </row>
    <row r="3292" spans="2:3" x14ac:dyDescent="0.35">
      <c r="B3292" s="87">
        <v>44315</v>
      </c>
      <c r="C3292" s="22">
        <v>541.9</v>
      </c>
    </row>
    <row r="3293" spans="2:3" x14ac:dyDescent="0.35">
      <c r="B3293" s="87">
        <v>44316</v>
      </c>
      <c r="C3293" s="22">
        <v>538.04999999999995</v>
      </c>
    </row>
    <row r="3294" spans="2:3" x14ac:dyDescent="0.35">
      <c r="B3294" s="87">
        <v>44319</v>
      </c>
      <c r="C3294" s="22">
        <v>542.4</v>
      </c>
    </row>
    <row r="3295" spans="2:3" x14ac:dyDescent="0.35">
      <c r="B3295" s="87">
        <v>44320</v>
      </c>
      <c r="C3295" s="22">
        <v>537.54999999999995</v>
      </c>
    </row>
    <row r="3296" spans="2:3" x14ac:dyDescent="0.35">
      <c r="B3296" s="87">
        <v>44321</v>
      </c>
      <c r="C3296" s="22">
        <v>540.95000000000005</v>
      </c>
    </row>
    <row r="3297" spans="2:3" x14ac:dyDescent="0.35">
      <c r="B3297" s="87">
        <v>44322</v>
      </c>
      <c r="C3297" s="22">
        <v>545.25</v>
      </c>
    </row>
    <row r="3298" spans="2:3" x14ac:dyDescent="0.35">
      <c r="B3298" s="87">
        <v>44323</v>
      </c>
      <c r="C3298" s="22">
        <v>534.6</v>
      </c>
    </row>
    <row r="3299" spans="2:3" x14ac:dyDescent="0.35">
      <c r="B3299" s="87">
        <v>44326</v>
      </c>
      <c r="C3299" s="22">
        <v>522.75</v>
      </c>
    </row>
    <row r="3300" spans="2:3" x14ac:dyDescent="0.35">
      <c r="B3300" s="87">
        <v>44327</v>
      </c>
      <c r="C3300" s="22">
        <v>525.45000000000005</v>
      </c>
    </row>
    <row r="3301" spans="2:3" x14ac:dyDescent="0.35">
      <c r="B3301" s="87">
        <v>44328</v>
      </c>
      <c r="C3301" s="22">
        <v>529.20000000000005</v>
      </c>
    </row>
    <row r="3302" spans="2:3" x14ac:dyDescent="0.35">
      <c r="B3302" s="87">
        <v>44330</v>
      </c>
      <c r="C3302" s="22">
        <v>535</v>
      </c>
    </row>
    <row r="3303" spans="2:3" x14ac:dyDescent="0.35">
      <c r="B3303" s="87">
        <v>44333</v>
      </c>
      <c r="C3303" s="22">
        <v>534.35</v>
      </c>
    </row>
    <row r="3304" spans="2:3" x14ac:dyDescent="0.35">
      <c r="B3304" s="87">
        <v>44334</v>
      </c>
      <c r="C3304" s="22">
        <v>531.1</v>
      </c>
    </row>
    <row r="3305" spans="2:3" x14ac:dyDescent="0.35">
      <c r="B3305" s="87">
        <v>44335</v>
      </c>
      <c r="C3305" s="22">
        <v>538.04999999999995</v>
      </c>
    </row>
    <row r="3306" spans="2:3" x14ac:dyDescent="0.35">
      <c r="B3306" s="87">
        <v>44336</v>
      </c>
      <c r="C3306" s="22">
        <v>535.79999999999995</v>
      </c>
    </row>
    <row r="3307" spans="2:3" x14ac:dyDescent="0.35">
      <c r="B3307" s="87">
        <v>44337</v>
      </c>
      <c r="C3307" s="22">
        <v>536.75</v>
      </c>
    </row>
    <row r="3308" spans="2:3" x14ac:dyDescent="0.35">
      <c r="B3308" s="87">
        <v>44340</v>
      </c>
      <c r="C3308" s="22">
        <v>533.25</v>
      </c>
    </row>
    <row r="3309" spans="2:3" x14ac:dyDescent="0.35">
      <c r="B3309" s="87">
        <v>44341</v>
      </c>
      <c r="C3309" s="22">
        <v>530.54999999999995</v>
      </c>
    </row>
    <row r="3310" spans="2:3" x14ac:dyDescent="0.35">
      <c r="B3310" s="87">
        <v>44342</v>
      </c>
      <c r="C3310" s="22">
        <v>532.20000000000005</v>
      </c>
    </row>
    <row r="3311" spans="2:3" x14ac:dyDescent="0.35">
      <c r="B3311" s="87">
        <v>44343</v>
      </c>
      <c r="C3311" s="22">
        <v>527.20000000000005</v>
      </c>
    </row>
    <row r="3312" spans="2:3" x14ac:dyDescent="0.35">
      <c r="B3312" s="87">
        <v>44344</v>
      </c>
      <c r="C3312" s="22">
        <v>530.4</v>
      </c>
    </row>
    <row r="3313" spans="2:3" x14ac:dyDescent="0.35">
      <c r="B3313" s="87">
        <v>44347</v>
      </c>
      <c r="C3313" s="22">
        <v>540.45000000000005</v>
      </c>
    </row>
    <row r="3314" spans="2:3" x14ac:dyDescent="0.35">
      <c r="B3314" s="87">
        <v>44348</v>
      </c>
      <c r="C3314" s="22">
        <v>537.04999999999995</v>
      </c>
    </row>
    <row r="3315" spans="2:3" x14ac:dyDescent="0.35">
      <c r="B3315" s="87">
        <v>44349</v>
      </c>
      <c r="C3315" s="22">
        <v>532.25</v>
      </c>
    </row>
    <row r="3316" spans="2:3" x14ac:dyDescent="0.35">
      <c r="B3316" s="87">
        <v>44350</v>
      </c>
      <c r="C3316" s="22">
        <v>540.79999999999995</v>
      </c>
    </row>
    <row r="3317" spans="2:3" x14ac:dyDescent="0.35">
      <c r="B3317" s="87">
        <v>44351</v>
      </c>
      <c r="C3317" s="22">
        <v>544.04999999999995</v>
      </c>
    </row>
    <row r="3318" spans="2:3" x14ac:dyDescent="0.35">
      <c r="B3318" s="87">
        <v>44354</v>
      </c>
      <c r="C3318" s="22">
        <v>548.5</v>
      </c>
    </row>
    <row r="3319" spans="2:3" x14ac:dyDescent="0.35">
      <c r="B3319" s="87">
        <v>44355</v>
      </c>
      <c r="C3319" s="22">
        <v>556.35</v>
      </c>
    </row>
    <row r="3320" spans="2:3" x14ac:dyDescent="0.35">
      <c r="B3320" s="87">
        <v>44356</v>
      </c>
      <c r="C3320" s="22">
        <v>558.6</v>
      </c>
    </row>
    <row r="3321" spans="2:3" x14ac:dyDescent="0.35">
      <c r="B3321" s="87">
        <v>44357</v>
      </c>
      <c r="C3321" s="22">
        <v>559.95000000000005</v>
      </c>
    </row>
    <row r="3322" spans="2:3" x14ac:dyDescent="0.35">
      <c r="B3322" s="87">
        <v>44358</v>
      </c>
      <c r="C3322" s="22">
        <v>565.20000000000005</v>
      </c>
    </row>
    <row r="3323" spans="2:3" x14ac:dyDescent="0.35">
      <c r="B3323" s="87">
        <v>44361</v>
      </c>
      <c r="C3323" s="22">
        <v>568.45000000000005</v>
      </c>
    </row>
    <row r="3324" spans="2:3" x14ac:dyDescent="0.35">
      <c r="B3324" s="87">
        <v>44362</v>
      </c>
      <c r="C3324" s="22">
        <v>574.79999999999995</v>
      </c>
    </row>
    <row r="3325" spans="2:3" x14ac:dyDescent="0.35">
      <c r="B3325" s="87">
        <v>44363</v>
      </c>
      <c r="C3325" s="22">
        <v>580.6</v>
      </c>
    </row>
    <row r="3326" spans="2:3" x14ac:dyDescent="0.35">
      <c r="B3326" s="87">
        <v>44364</v>
      </c>
      <c r="C3326" s="22">
        <v>573.20000000000005</v>
      </c>
    </row>
    <row r="3327" spans="2:3" x14ac:dyDescent="0.35">
      <c r="B3327" s="87">
        <v>44365</v>
      </c>
      <c r="C3327" s="22">
        <v>577.1</v>
      </c>
    </row>
    <row r="3328" spans="2:3" x14ac:dyDescent="0.35">
      <c r="B3328" s="87">
        <v>44368</v>
      </c>
      <c r="C3328" s="22">
        <v>571.75</v>
      </c>
    </row>
    <row r="3329" spans="2:3" x14ac:dyDescent="0.35">
      <c r="B3329" s="87">
        <v>44369</v>
      </c>
      <c r="C3329" s="22">
        <v>566.65</v>
      </c>
    </row>
    <row r="3330" spans="2:3" x14ac:dyDescent="0.35">
      <c r="B3330" s="87">
        <v>44370</v>
      </c>
      <c r="C3330" s="22">
        <v>566.45000000000005</v>
      </c>
    </row>
    <row r="3331" spans="2:3" x14ac:dyDescent="0.35">
      <c r="B3331" s="87">
        <v>44371</v>
      </c>
      <c r="C3331" s="22">
        <v>575.20000000000005</v>
      </c>
    </row>
    <row r="3332" spans="2:3" x14ac:dyDescent="0.35">
      <c r="B3332" s="87">
        <v>44372</v>
      </c>
      <c r="C3332" s="22">
        <v>564.45000000000005</v>
      </c>
    </row>
    <row r="3333" spans="2:3" x14ac:dyDescent="0.35">
      <c r="B3333" s="87">
        <v>44375</v>
      </c>
      <c r="C3333" s="22">
        <v>567.04999999999995</v>
      </c>
    </row>
    <row r="3334" spans="2:3" x14ac:dyDescent="0.35">
      <c r="B3334" s="87">
        <v>44376</v>
      </c>
      <c r="C3334" s="22">
        <v>567.35</v>
      </c>
    </row>
    <row r="3335" spans="2:3" x14ac:dyDescent="0.35">
      <c r="B3335" s="87">
        <v>44377</v>
      </c>
      <c r="C3335" s="22">
        <v>568.75</v>
      </c>
    </row>
    <row r="3336" spans="2:3" x14ac:dyDescent="0.35">
      <c r="B3336" s="87">
        <v>44378</v>
      </c>
      <c r="C3336" s="22">
        <v>589.75</v>
      </c>
    </row>
    <row r="3337" spans="2:3" x14ac:dyDescent="0.35">
      <c r="B3337" s="87">
        <v>44379</v>
      </c>
      <c r="C3337" s="22">
        <v>590.45000000000005</v>
      </c>
    </row>
    <row r="3338" spans="2:3" x14ac:dyDescent="0.35">
      <c r="B3338" s="87">
        <v>44382</v>
      </c>
      <c r="C3338" s="22">
        <v>587.70000000000005</v>
      </c>
    </row>
    <row r="3339" spans="2:3" x14ac:dyDescent="0.35">
      <c r="B3339" s="87">
        <v>44383</v>
      </c>
      <c r="C3339" s="22">
        <v>591.79999999999995</v>
      </c>
    </row>
    <row r="3340" spans="2:3" x14ac:dyDescent="0.35">
      <c r="B3340" s="87">
        <v>44384</v>
      </c>
      <c r="C3340" s="22">
        <v>594.4</v>
      </c>
    </row>
    <row r="3341" spans="2:3" x14ac:dyDescent="0.35">
      <c r="B3341" s="87">
        <v>44385</v>
      </c>
      <c r="C3341" s="22">
        <v>596.1</v>
      </c>
    </row>
    <row r="3342" spans="2:3" x14ac:dyDescent="0.35">
      <c r="B3342" s="87">
        <v>44386</v>
      </c>
      <c r="C3342" s="22">
        <v>595.6</v>
      </c>
    </row>
    <row r="3343" spans="2:3" x14ac:dyDescent="0.35">
      <c r="B3343" s="87">
        <v>44389</v>
      </c>
      <c r="C3343" s="22">
        <v>593.15</v>
      </c>
    </row>
    <row r="3344" spans="2:3" x14ac:dyDescent="0.35">
      <c r="B3344" s="87">
        <v>44390</v>
      </c>
      <c r="C3344" s="22">
        <v>589.15</v>
      </c>
    </row>
    <row r="3345" spans="2:3" x14ac:dyDescent="0.35">
      <c r="B3345" s="87">
        <v>44391</v>
      </c>
      <c r="C3345" s="22">
        <v>585.29999999999995</v>
      </c>
    </row>
    <row r="3346" spans="2:3" x14ac:dyDescent="0.35">
      <c r="B3346" s="87">
        <v>44392</v>
      </c>
      <c r="C3346" s="22">
        <v>584.45000000000005</v>
      </c>
    </row>
    <row r="3347" spans="2:3" x14ac:dyDescent="0.35">
      <c r="B3347" s="87">
        <v>44393</v>
      </c>
      <c r="C3347" s="22">
        <v>580.29999999999995</v>
      </c>
    </row>
    <row r="3348" spans="2:3" x14ac:dyDescent="0.35">
      <c r="B3348" s="87">
        <v>44396</v>
      </c>
      <c r="C3348" s="22">
        <v>588.79999999999995</v>
      </c>
    </row>
    <row r="3349" spans="2:3" x14ac:dyDescent="0.35">
      <c r="B3349" s="87">
        <v>44397</v>
      </c>
      <c r="C3349" s="22">
        <v>588.20000000000005</v>
      </c>
    </row>
    <row r="3350" spans="2:3" x14ac:dyDescent="0.35">
      <c r="B3350" s="87">
        <v>44399</v>
      </c>
      <c r="C3350" s="22">
        <v>588.45000000000005</v>
      </c>
    </row>
    <row r="3351" spans="2:3" x14ac:dyDescent="0.35">
      <c r="B3351" s="87">
        <v>44400</v>
      </c>
      <c r="C3351" s="22">
        <v>590.15</v>
      </c>
    </row>
    <row r="3352" spans="2:3" x14ac:dyDescent="0.35">
      <c r="B3352" s="87">
        <v>44403</v>
      </c>
      <c r="C3352" s="22">
        <v>595.35</v>
      </c>
    </row>
    <row r="3353" spans="2:3" x14ac:dyDescent="0.35">
      <c r="B3353" s="87">
        <v>44404</v>
      </c>
      <c r="C3353" s="22">
        <v>588.70000000000005</v>
      </c>
    </row>
    <row r="3354" spans="2:3" x14ac:dyDescent="0.35">
      <c r="B3354" s="87">
        <v>44405</v>
      </c>
      <c r="C3354" s="22">
        <v>590.1</v>
      </c>
    </row>
    <row r="3355" spans="2:3" x14ac:dyDescent="0.35">
      <c r="B3355" s="87">
        <v>44406</v>
      </c>
      <c r="C3355" s="22">
        <v>584.6</v>
      </c>
    </row>
    <row r="3356" spans="2:3" x14ac:dyDescent="0.35">
      <c r="B3356" s="87">
        <v>44407</v>
      </c>
      <c r="C3356" s="22">
        <v>600.70000000000005</v>
      </c>
    </row>
    <row r="3357" spans="2:3" x14ac:dyDescent="0.35">
      <c r="B3357" s="87">
        <v>44410</v>
      </c>
      <c r="C3357" s="22">
        <v>599.04999999999995</v>
      </c>
    </row>
    <row r="3358" spans="2:3" x14ac:dyDescent="0.35">
      <c r="B3358" s="87">
        <v>44411</v>
      </c>
      <c r="C3358" s="22">
        <v>614.25</v>
      </c>
    </row>
    <row r="3359" spans="2:3" x14ac:dyDescent="0.35">
      <c r="B3359" s="87">
        <v>44412</v>
      </c>
      <c r="C3359" s="22">
        <v>588.1</v>
      </c>
    </row>
    <row r="3360" spans="2:3" x14ac:dyDescent="0.35">
      <c r="B3360" s="87">
        <v>44413</v>
      </c>
      <c r="C3360" s="22">
        <v>589.54999999999995</v>
      </c>
    </row>
    <row r="3361" spans="2:3" x14ac:dyDescent="0.35">
      <c r="B3361" s="87">
        <v>44414</v>
      </c>
      <c r="C3361" s="22">
        <v>585.20000000000005</v>
      </c>
    </row>
    <row r="3362" spans="2:3" x14ac:dyDescent="0.35">
      <c r="B3362" s="87">
        <v>44417</v>
      </c>
      <c r="C3362" s="22">
        <v>581.75</v>
      </c>
    </row>
    <row r="3363" spans="2:3" x14ac:dyDescent="0.35">
      <c r="B3363" s="87">
        <v>44418</v>
      </c>
      <c r="C3363" s="22">
        <v>579.79999999999995</v>
      </c>
    </row>
    <row r="3364" spans="2:3" x14ac:dyDescent="0.35">
      <c r="B3364" s="87">
        <v>44419</v>
      </c>
      <c r="C3364" s="22">
        <v>575.1</v>
      </c>
    </row>
    <row r="3365" spans="2:3" x14ac:dyDescent="0.35">
      <c r="B3365" s="87">
        <v>44420</v>
      </c>
      <c r="C3365" s="22">
        <v>575.4</v>
      </c>
    </row>
    <row r="3366" spans="2:3" x14ac:dyDescent="0.35">
      <c r="B3366" s="87">
        <v>44421</v>
      </c>
      <c r="C3366" s="22">
        <v>588.29999999999995</v>
      </c>
    </row>
    <row r="3367" spans="2:3" x14ac:dyDescent="0.35">
      <c r="B3367" s="87">
        <v>44424</v>
      </c>
      <c r="C3367" s="22">
        <v>588.35</v>
      </c>
    </row>
    <row r="3368" spans="2:3" x14ac:dyDescent="0.35">
      <c r="B3368" s="87">
        <v>44425</v>
      </c>
      <c r="C3368" s="22">
        <v>596.6</v>
      </c>
    </row>
    <row r="3369" spans="2:3" x14ac:dyDescent="0.35">
      <c r="B3369" s="87">
        <v>44426</v>
      </c>
      <c r="C3369" s="22">
        <v>597.4</v>
      </c>
    </row>
    <row r="3370" spans="2:3" x14ac:dyDescent="0.35">
      <c r="B3370" s="87">
        <v>44428</v>
      </c>
      <c r="C3370" s="22">
        <v>611.70000000000005</v>
      </c>
    </row>
    <row r="3371" spans="2:3" x14ac:dyDescent="0.35">
      <c r="B3371" s="87">
        <v>44431</v>
      </c>
      <c r="C3371" s="22">
        <v>609.9</v>
      </c>
    </row>
    <row r="3372" spans="2:3" x14ac:dyDescent="0.35">
      <c r="B3372" s="87">
        <v>44432</v>
      </c>
      <c r="C3372" s="22">
        <v>592.85</v>
      </c>
    </row>
    <row r="3373" spans="2:3" x14ac:dyDescent="0.35">
      <c r="B3373" s="87">
        <v>44433</v>
      </c>
      <c r="C3373" s="22">
        <v>600.1</v>
      </c>
    </row>
    <row r="3374" spans="2:3" x14ac:dyDescent="0.35">
      <c r="B3374" s="87">
        <v>44434</v>
      </c>
      <c r="C3374" s="22">
        <v>605.5</v>
      </c>
    </row>
    <row r="3375" spans="2:3" x14ac:dyDescent="0.35">
      <c r="B3375" s="87">
        <v>44435</v>
      </c>
      <c r="C3375" s="22">
        <v>608.75</v>
      </c>
    </row>
    <row r="3376" spans="2:3" x14ac:dyDescent="0.35">
      <c r="B3376" s="87">
        <v>44438</v>
      </c>
      <c r="C3376" s="22">
        <v>616.75</v>
      </c>
    </row>
    <row r="3377" spans="2:3" x14ac:dyDescent="0.35">
      <c r="B3377" s="87">
        <v>44439</v>
      </c>
      <c r="C3377" s="22">
        <v>621.5</v>
      </c>
    </row>
    <row r="3378" spans="2:3" x14ac:dyDescent="0.35">
      <c r="B3378" s="87">
        <v>44440</v>
      </c>
      <c r="C3378" s="22">
        <v>626.25</v>
      </c>
    </row>
    <row r="3379" spans="2:3" x14ac:dyDescent="0.35">
      <c r="B3379" s="87">
        <v>44441</v>
      </c>
      <c r="C3379" s="22">
        <v>640.85</v>
      </c>
    </row>
    <row r="3380" spans="2:3" x14ac:dyDescent="0.35">
      <c r="B3380" s="87">
        <v>44442</v>
      </c>
      <c r="C3380" s="22">
        <v>641.25</v>
      </c>
    </row>
    <row r="3381" spans="2:3" x14ac:dyDescent="0.35">
      <c r="B3381" s="87">
        <v>44445</v>
      </c>
      <c r="C3381" s="22">
        <v>634.79999999999995</v>
      </c>
    </row>
    <row r="3382" spans="2:3" x14ac:dyDescent="0.35">
      <c r="B3382" s="87">
        <v>44446</v>
      </c>
      <c r="C3382" s="22">
        <v>638</v>
      </c>
    </row>
    <row r="3383" spans="2:3" x14ac:dyDescent="0.35">
      <c r="B3383" s="87">
        <v>44447</v>
      </c>
      <c r="C3383" s="22">
        <v>640.65</v>
      </c>
    </row>
    <row r="3384" spans="2:3" x14ac:dyDescent="0.35">
      <c r="B3384" s="87">
        <v>44448</v>
      </c>
      <c r="C3384" s="22">
        <v>638.29999999999995</v>
      </c>
    </row>
    <row r="3385" spans="2:3" x14ac:dyDescent="0.35">
      <c r="B3385" s="87">
        <v>44452</v>
      </c>
      <c r="C3385" s="22">
        <v>640.20000000000005</v>
      </c>
    </row>
    <row r="3386" spans="2:3" x14ac:dyDescent="0.35">
      <c r="B3386" s="87">
        <v>44453</v>
      </c>
      <c r="C3386" s="22">
        <v>639.20000000000005</v>
      </c>
    </row>
    <row r="3387" spans="2:3" x14ac:dyDescent="0.35">
      <c r="B3387" s="87">
        <v>44454</v>
      </c>
      <c r="C3387" s="22">
        <v>637.20000000000005</v>
      </c>
    </row>
    <row r="3388" spans="2:3" x14ac:dyDescent="0.35">
      <c r="B3388" s="87">
        <v>44455</v>
      </c>
      <c r="C3388" s="22">
        <v>640.4</v>
      </c>
    </row>
    <row r="3389" spans="2:3" x14ac:dyDescent="0.35">
      <c r="B3389" s="87">
        <v>44456</v>
      </c>
      <c r="C3389" s="22">
        <v>653.95000000000005</v>
      </c>
    </row>
    <row r="3390" spans="2:3" x14ac:dyDescent="0.35">
      <c r="B3390" s="87">
        <v>44459</v>
      </c>
      <c r="C3390" s="22">
        <v>645.65</v>
      </c>
    </row>
    <row r="3391" spans="2:3" x14ac:dyDescent="0.35">
      <c r="B3391" s="87">
        <v>44460</v>
      </c>
      <c r="C3391" s="22">
        <v>651.29999999999995</v>
      </c>
    </row>
    <row r="3392" spans="2:3" x14ac:dyDescent="0.35">
      <c r="B3392" s="87">
        <v>44461</v>
      </c>
      <c r="C3392" s="22">
        <v>648.4</v>
      </c>
    </row>
    <row r="3393" spans="2:3" x14ac:dyDescent="0.35">
      <c r="B3393" s="87">
        <v>44462</v>
      </c>
      <c r="C3393" s="22">
        <v>647.65</v>
      </c>
    </row>
    <row r="3394" spans="2:3" x14ac:dyDescent="0.35">
      <c r="B3394" s="87">
        <v>44463</v>
      </c>
      <c r="C3394" s="22">
        <v>651.9</v>
      </c>
    </row>
    <row r="3395" spans="2:3" x14ac:dyDescent="0.35">
      <c r="B3395" s="87">
        <v>44466</v>
      </c>
      <c r="C3395" s="22">
        <v>633.20000000000005</v>
      </c>
    </row>
    <row r="3396" spans="2:3" x14ac:dyDescent="0.35">
      <c r="B3396" s="87">
        <v>44467</v>
      </c>
      <c r="C3396" s="22">
        <v>626.35</v>
      </c>
    </row>
    <row r="3397" spans="2:3" x14ac:dyDescent="0.35">
      <c r="B3397" s="87">
        <v>44468</v>
      </c>
      <c r="C3397" s="22">
        <v>623.15</v>
      </c>
    </row>
    <row r="3398" spans="2:3" x14ac:dyDescent="0.35">
      <c r="B3398" s="87">
        <v>44469</v>
      </c>
      <c r="C3398" s="22">
        <v>617.04999999999995</v>
      </c>
    </row>
    <row r="3399" spans="2:3" x14ac:dyDescent="0.35">
      <c r="B3399" s="87">
        <v>44470</v>
      </c>
      <c r="C3399" s="22">
        <v>617.95000000000005</v>
      </c>
    </row>
    <row r="3400" spans="2:3" x14ac:dyDescent="0.35">
      <c r="B3400" s="87">
        <v>44473</v>
      </c>
      <c r="C3400" s="22">
        <v>624.20000000000005</v>
      </c>
    </row>
    <row r="3401" spans="2:3" x14ac:dyDescent="0.35">
      <c r="B3401" s="87">
        <v>44474</v>
      </c>
      <c r="C3401" s="22">
        <v>616.20000000000005</v>
      </c>
    </row>
    <row r="3402" spans="2:3" x14ac:dyDescent="0.35">
      <c r="B3402" s="87">
        <v>44475</v>
      </c>
      <c r="C3402" s="22">
        <v>614.95000000000005</v>
      </c>
    </row>
    <row r="3403" spans="2:3" x14ac:dyDescent="0.35">
      <c r="B3403" s="87">
        <v>44476</v>
      </c>
      <c r="C3403" s="22">
        <v>615.15</v>
      </c>
    </row>
    <row r="3404" spans="2:3" x14ac:dyDescent="0.35">
      <c r="B3404" s="87">
        <v>44477</v>
      </c>
      <c r="C3404" s="22">
        <v>607</v>
      </c>
    </row>
    <row r="3405" spans="2:3" x14ac:dyDescent="0.35">
      <c r="B3405" s="87">
        <v>44480</v>
      </c>
      <c r="C3405" s="22">
        <v>608.65</v>
      </c>
    </row>
    <row r="3406" spans="2:3" x14ac:dyDescent="0.35">
      <c r="B3406" s="87">
        <v>44481</v>
      </c>
      <c r="C3406" s="22">
        <v>616.79999999999995</v>
      </c>
    </row>
    <row r="3407" spans="2:3" x14ac:dyDescent="0.35">
      <c r="B3407" s="87">
        <v>44482</v>
      </c>
      <c r="C3407" s="22">
        <v>623.79999999999995</v>
      </c>
    </row>
    <row r="3408" spans="2:3" x14ac:dyDescent="0.35">
      <c r="B3408" s="87">
        <v>44483</v>
      </c>
      <c r="C3408" s="22">
        <v>615.20000000000005</v>
      </c>
    </row>
    <row r="3409" spans="2:3" x14ac:dyDescent="0.35">
      <c r="B3409" s="87">
        <v>44487</v>
      </c>
      <c r="C3409" s="22">
        <v>614.15</v>
      </c>
    </row>
    <row r="3410" spans="2:3" x14ac:dyDescent="0.35">
      <c r="B3410" s="87">
        <v>44488</v>
      </c>
      <c r="C3410" s="22">
        <v>605.25</v>
      </c>
    </row>
    <row r="3411" spans="2:3" x14ac:dyDescent="0.35">
      <c r="B3411" s="87">
        <v>44489</v>
      </c>
      <c r="C3411" s="22">
        <v>592.65</v>
      </c>
    </row>
    <row r="3412" spans="2:3" x14ac:dyDescent="0.35">
      <c r="B3412" s="87">
        <v>44490</v>
      </c>
      <c r="C3412" s="22">
        <v>587.4</v>
      </c>
    </row>
    <row r="3413" spans="2:3" x14ac:dyDescent="0.35">
      <c r="B3413" s="87">
        <v>44491</v>
      </c>
      <c r="C3413" s="22">
        <v>590.75</v>
      </c>
    </row>
    <row r="3414" spans="2:3" x14ac:dyDescent="0.35">
      <c r="B3414" s="87">
        <v>44494</v>
      </c>
      <c r="C3414" s="22">
        <v>581.29999999999995</v>
      </c>
    </row>
    <row r="3415" spans="2:3" x14ac:dyDescent="0.35">
      <c r="B3415" s="87">
        <v>44495</v>
      </c>
      <c r="C3415" s="22">
        <v>581.35</v>
      </c>
    </row>
    <row r="3416" spans="2:3" x14ac:dyDescent="0.35">
      <c r="B3416" s="87">
        <v>44496</v>
      </c>
      <c r="C3416" s="22">
        <v>591.65</v>
      </c>
    </row>
    <row r="3417" spans="2:3" x14ac:dyDescent="0.35">
      <c r="B3417" s="87">
        <v>44497</v>
      </c>
      <c r="C3417" s="22">
        <v>589.70000000000005</v>
      </c>
    </row>
    <row r="3418" spans="2:3" x14ac:dyDescent="0.35">
      <c r="B3418" s="87">
        <v>44498</v>
      </c>
      <c r="C3418" s="22">
        <v>585.85</v>
      </c>
    </row>
    <row r="3419" spans="2:3" x14ac:dyDescent="0.35">
      <c r="B3419" s="87">
        <v>44501</v>
      </c>
      <c r="C3419" s="22">
        <v>597.04999999999995</v>
      </c>
    </row>
    <row r="3420" spans="2:3" x14ac:dyDescent="0.35">
      <c r="B3420" s="87">
        <v>44502</v>
      </c>
      <c r="C3420" s="22">
        <v>598.04999999999995</v>
      </c>
    </row>
    <row r="3421" spans="2:3" x14ac:dyDescent="0.35">
      <c r="B3421" s="87">
        <v>44503</v>
      </c>
      <c r="C3421" s="22">
        <v>610.54999999999995</v>
      </c>
    </row>
    <row r="3422" spans="2:3" x14ac:dyDescent="0.35">
      <c r="B3422" s="87">
        <v>44504</v>
      </c>
      <c r="C3422" s="22">
        <v>612.54999999999995</v>
      </c>
    </row>
    <row r="3423" spans="2:3" x14ac:dyDescent="0.35">
      <c r="B3423" s="87">
        <v>44508</v>
      </c>
      <c r="C3423" s="22">
        <v>606.79999999999995</v>
      </c>
    </row>
    <row r="3424" spans="2:3" x14ac:dyDescent="0.35">
      <c r="B3424" s="87">
        <v>44509</v>
      </c>
      <c r="C3424" s="22">
        <v>603.20000000000005</v>
      </c>
    </row>
    <row r="3425" spans="2:3" x14ac:dyDescent="0.35">
      <c r="B3425" s="87">
        <v>44510</v>
      </c>
      <c r="C3425" s="22">
        <v>605.25</v>
      </c>
    </row>
    <row r="3426" spans="2:3" x14ac:dyDescent="0.35">
      <c r="B3426" s="87">
        <v>44511</v>
      </c>
      <c r="C3426" s="22">
        <v>599</v>
      </c>
    </row>
    <row r="3427" spans="2:3" x14ac:dyDescent="0.35">
      <c r="B3427" s="87">
        <v>44512</v>
      </c>
      <c r="C3427" s="22">
        <v>602.45000000000005</v>
      </c>
    </row>
    <row r="3428" spans="2:3" x14ac:dyDescent="0.35">
      <c r="B3428" s="87">
        <v>44515</v>
      </c>
      <c r="C3428" s="22">
        <v>604</v>
      </c>
    </row>
    <row r="3429" spans="2:3" x14ac:dyDescent="0.35">
      <c r="B3429" s="87">
        <v>44516</v>
      </c>
      <c r="C3429" s="22">
        <v>610</v>
      </c>
    </row>
    <row r="3430" spans="2:3" x14ac:dyDescent="0.35">
      <c r="B3430" s="87">
        <v>44517</v>
      </c>
      <c r="C3430" s="22">
        <v>608</v>
      </c>
    </row>
    <row r="3431" spans="2:3" x14ac:dyDescent="0.35">
      <c r="B3431" s="87">
        <v>44518</v>
      </c>
      <c r="C3431" s="22">
        <v>608.75</v>
      </c>
    </row>
    <row r="3432" spans="2:3" x14ac:dyDescent="0.35">
      <c r="B3432" s="87">
        <v>44522</v>
      </c>
      <c r="C3432" s="22">
        <v>606.79999999999995</v>
      </c>
    </row>
    <row r="3433" spans="2:3" x14ac:dyDescent="0.35">
      <c r="B3433" s="87">
        <v>44523</v>
      </c>
      <c r="C3433" s="22">
        <v>611.54999999999995</v>
      </c>
    </row>
    <row r="3434" spans="2:3" x14ac:dyDescent="0.35">
      <c r="B3434" s="87">
        <v>44524</v>
      </c>
      <c r="C3434" s="22">
        <v>602.95000000000005</v>
      </c>
    </row>
    <row r="3435" spans="2:3" x14ac:dyDescent="0.35">
      <c r="B3435" s="87">
        <v>44525</v>
      </c>
      <c r="C3435" s="22">
        <v>606.4</v>
      </c>
    </row>
    <row r="3436" spans="2:3" x14ac:dyDescent="0.35">
      <c r="B3436" s="87">
        <v>44526</v>
      </c>
      <c r="C3436" s="22">
        <v>602</v>
      </c>
    </row>
    <row r="3437" spans="2:3" x14ac:dyDescent="0.35">
      <c r="B3437" s="87">
        <v>44529</v>
      </c>
      <c r="C3437" s="22">
        <v>598</v>
      </c>
    </row>
    <row r="3438" spans="2:3" x14ac:dyDescent="0.35">
      <c r="B3438" s="87">
        <v>44530</v>
      </c>
      <c r="C3438" s="22">
        <v>594.95000000000005</v>
      </c>
    </row>
    <row r="3439" spans="2:3" x14ac:dyDescent="0.35">
      <c r="B3439" s="87">
        <v>44531</v>
      </c>
      <c r="C3439" s="22">
        <v>576.1</v>
      </c>
    </row>
    <row r="3440" spans="2:3" x14ac:dyDescent="0.35">
      <c r="B3440" s="87">
        <v>44532</v>
      </c>
      <c r="C3440" s="22">
        <v>578.54999999999995</v>
      </c>
    </row>
    <row r="3441" spans="2:3" x14ac:dyDescent="0.35">
      <c r="B3441" s="87">
        <v>44533</v>
      </c>
      <c r="C3441" s="22">
        <v>581.35</v>
      </c>
    </row>
    <row r="3442" spans="2:3" x14ac:dyDescent="0.35">
      <c r="B3442" s="87">
        <v>44536</v>
      </c>
      <c r="C3442" s="22">
        <v>567.29999999999995</v>
      </c>
    </row>
    <row r="3443" spans="2:3" x14ac:dyDescent="0.35">
      <c r="B3443" s="87">
        <v>44537</v>
      </c>
      <c r="C3443" s="22">
        <v>572.4</v>
      </c>
    </row>
    <row r="3444" spans="2:3" x14ac:dyDescent="0.35">
      <c r="B3444" s="87">
        <v>44538</v>
      </c>
      <c r="C3444" s="22">
        <v>574.04999999999995</v>
      </c>
    </row>
    <row r="3445" spans="2:3" x14ac:dyDescent="0.35">
      <c r="B3445" s="87">
        <v>44539</v>
      </c>
      <c r="C3445" s="22">
        <v>579.75</v>
      </c>
    </row>
    <row r="3446" spans="2:3" x14ac:dyDescent="0.35">
      <c r="B3446" s="87">
        <v>44540</v>
      </c>
      <c r="C3446" s="22">
        <v>577.79999999999995</v>
      </c>
    </row>
    <row r="3447" spans="2:3" x14ac:dyDescent="0.35">
      <c r="B3447" s="87">
        <v>44543</v>
      </c>
      <c r="C3447" s="22">
        <v>578.9</v>
      </c>
    </row>
    <row r="3448" spans="2:3" x14ac:dyDescent="0.35">
      <c r="B3448" s="87">
        <v>44544</v>
      </c>
      <c r="C3448" s="22">
        <v>579.4</v>
      </c>
    </row>
    <row r="3449" spans="2:3" x14ac:dyDescent="0.35">
      <c r="B3449" s="87">
        <v>44545</v>
      </c>
      <c r="C3449" s="22">
        <v>573.29999999999995</v>
      </c>
    </row>
    <row r="3450" spans="2:3" x14ac:dyDescent="0.35">
      <c r="B3450" s="87">
        <v>44546</v>
      </c>
      <c r="C3450" s="22">
        <v>570.25</v>
      </c>
    </row>
    <row r="3451" spans="2:3" x14ac:dyDescent="0.35">
      <c r="B3451" s="87">
        <v>44547</v>
      </c>
      <c r="C3451" s="22">
        <v>564.75</v>
      </c>
    </row>
    <row r="3452" spans="2:3" x14ac:dyDescent="0.35">
      <c r="B3452" s="87">
        <v>44550</v>
      </c>
      <c r="C3452" s="22">
        <v>558.20000000000005</v>
      </c>
    </row>
    <row r="3453" spans="2:3" x14ac:dyDescent="0.35">
      <c r="B3453" s="87">
        <v>44551</v>
      </c>
      <c r="C3453" s="22">
        <v>559.1</v>
      </c>
    </row>
    <row r="3454" spans="2:3" x14ac:dyDescent="0.35">
      <c r="B3454" s="87">
        <v>44552</v>
      </c>
      <c r="C3454" s="22">
        <v>564.04999999999995</v>
      </c>
    </row>
    <row r="3455" spans="2:3" x14ac:dyDescent="0.35">
      <c r="B3455" s="87">
        <v>44553</v>
      </c>
      <c r="C3455" s="22">
        <v>569.45000000000005</v>
      </c>
    </row>
    <row r="3456" spans="2:3" x14ac:dyDescent="0.35">
      <c r="B3456" s="87">
        <v>44554</v>
      </c>
      <c r="C3456" s="22">
        <v>563.70000000000005</v>
      </c>
    </row>
    <row r="3457" spans="2:3" x14ac:dyDescent="0.35">
      <c r="B3457" s="87">
        <v>44557</v>
      </c>
      <c r="C3457" s="22">
        <v>561.45000000000005</v>
      </c>
    </row>
    <row r="3458" spans="2:3" x14ac:dyDescent="0.35">
      <c r="B3458" s="87">
        <v>44558</v>
      </c>
      <c r="C3458" s="22">
        <v>562.45000000000005</v>
      </c>
    </row>
    <row r="3459" spans="2:3" x14ac:dyDescent="0.35">
      <c r="B3459" s="87">
        <v>44559</v>
      </c>
      <c r="C3459" s="22">
        <v>566.6</v>
      </c>
    </row>
    <row r="3460" spans="2:3" x14ac:dyDescent="0.35">
      <c r="B3460" s="87">
        <v>44560</v>
      </c>
      <c r="C3460" s="22">
        <v>571.54999999999995</v>
      </c>
    </row>
    <row r="3461" spans="2:3" x14ac:dyDescent="0.35">
      <c r="B3461" s="87">
        <v>44561</v>
      </c>
      <c r="C3461" s="22">
        <v>580.04999999999995</v>
      </c>
    </row>
    <row r="3462" spans="2:3" x14ac:dyDescent="0.35">
      <c r="B3462" s="87">
        <v>44564</v>
      </c>
      <c r="C3462" s="22">
        <v>581.15</v>
      </c>
    </row>
    <row r="3463" spans="2:3" x14ac:dyDescent="0.35">
      <c r="B3463" s="87">
        <v>44565</v>
      </c>
      <c r="C3463" s="22">
        <v>574.04999999999995</v>
      </c>
    </row>
    <row r="3464" spans="2:3" x14ac:dyDescent="0.35">
      <c r="B3464" s="87">
        <v>44566</v>
      </c>
      <c r="C3464" s="22">
        <v>582.5</v>
      </c>
    </row>
    <row r="3465" spans="2:3" x14ac:dyDescent="0.35">
      <c r="B3465" s="87">
        <v>44567</v>
      </c>
      <c r="C3465" s="22">
        <v>582.54999999999995</v>
      </c>
    </row>
    <row r="3466" spans="2:3" x14ac:dyDescent="0.35">
      <c r="B3466" s="87">
        <v>44568</v>
      </c>
      <c r="C3466" s="22">
        <v>587.5</v>
      </c>
    </row>
    <row r="3467" spans="2:3" x14ac:dyDescent="0.35">
      <c r="B3467" s="87">
        <v>44571</v>
      </c>
      <c r="C3467" s="22">
        <v>589.1</v>
      </c>
    </row>
    <row r="3468" spans="2:3" x14ac:dyDescent="0.35">
      <c r="B3468" s="87">
        <v>44572</v>
      </c>
      <c r="C3468" s="22">
        <v>587.54999999999995</v>
      </c>
    </row>
    <row r="3469" spans="2:3" x14ac:dyDescent="0.35">
      <c r="B3469" s="87">
        <v>44573</v>
      </c>
      <c r="C3469" s="22">
        <v>582.5</v>
      </c>
    </row>
    <row r="3470" spans="2:3" x14ac:dyDescent="0.35">
      <c r="B3470" s="87">
        <v>44574</v>
      </c>
      <c r="C3470" s="22">
        <v>580.70000000000005</v>
      </c>
    </row>
    <row r="3471" spans="2:3" x14ac:dyDescent="0.35">
      <c r="B3471" s="87">
        <v>44575</v>
      </c>
      <c r="C3471" s="22">
        <v>575.79999999999995</v>
      </c>
    </row>
    <row r="3472" spans="2:3" x14ac:dyDescent="0.35">
      <c r="B3472" s="87">
        <v>44578</v>
      </c>
      <c r="C3472" s="22">
        <v>569.6</v>
      </c>
    </row>
    <row r="3473" spans="2:3" x14ac:dyDescent="0.35">
      <c r="B3473" s="87">
        <v>44579</v>
      </c>
      <c r="C3473" s="22">
        <v>563.9</v>
      </c>
    </row>
    <row r="3474" spans="2:3" x14ac:dyDescent="0.35">
      <c r="B3474" s="87">
        <v>44580</v>
      </c>
      <c r="C3474" s="22">
        <v>568.54999999999995</v>
      </c>
    </row>
    <row r="3475" spans="2:3" x14ac:dyDescent="0.35">
      <c r="B3475" s="87">
        <v>44581</v>
      </c>
      <c r="C3475" s="22">
        <v>559.85</v>
      </c>
    </row>
    <row r="3476" spans="2:3" x14ac:dyDescent="0.35">
      <c r="B3476" s="87">
        <v>44582</v>
      </c>
      <c r="C3476" s="22">
        <v>551.54999999999995</v>
      </c>
    </row>
    <row r="3477" spans="2:3" x14ac:dyDescent="0.35">
      <c r="B3477" s="87">
        <v>44585</v>
      </c>
      <c r="C3477" s="22">
        <v>546.1</v>
      </c>
    </row>
    <row r="3478" spans="2:3" x14ac:dyDescent="0.35">
      <c r="B3478" s="87">
        <v>44586</v>
      </c>
      <c r="C3478" s="22">
        <v>542.79999999999995</v>
      </c>
    </row>
    <row r="3479" spans="2:3" x14ac:dyDescent="0.35">
      <c r="B3479" s="87">
        <v>44588</v>
      </c>
      <c r="C3479" s="22">
        <v>529.04999999999995</v>
      </c>
    </row>
    <row r="3480" spans="2:3" x14ac:dyDescent="0.35">
      <c r="B3480" s="87">
        <v>44589</v>
      </c>
      <c r="C3480" s="22">
        <v>533.95000000000005</v>
      </c>
    </row>
    <row r="3481" spans="2:3" x14ac:dyDescent="0.35">
      <c r="B3481" s="87">
        <v>44592</v>
      </c>
      <c r="C3481" s="22">
        <v>536.75</v>
      </c>
    </row>
    <row r="3482" spans="2:3" x14ac:dyDescent="0.35">
      <c r="B3482" s="87">
        <v>44593</v>
      </c>
      <c r="C3482" s="22">
        <v>546.45000000000005</v>
      </c>
    </row>
    <row r="3483" spans="2:3" x14ac:dyDescent="0.35">
      <c r="B3483" s="87">
        <v>44594</v>
      </c>
      <c r="C3483" s="22">
        <v>557.45000000000005</v>
      </c>
    </row>
    <row r="3484" spans="2:3" x14ac:dyDescent="0.35">
      <c r="B3484" s="87">
        <v>44595</v>
      </c>
      <c r="C3484" s="22">
        <v>556.45000000000005</v>
      </c>
    </row>
    <row r="3485" spans="2:3" x14ac:dyDescent="0.35">
      <c r="B3485" s="87">
        <v>44596</v>
      </c>
      <c r="C3485" s="22">
        <v>569</v>
      </c>
    </row>
    <row r="3486" spans="2:3" x14ac:dyDescent="0.35">
      <c r="B3486" s="87">
        <v>44599</v>
      </c>
      <c r="C3486" s="22">
        <v>566.70000000000005</v>
      </c>
    </row>
    <row r="3487" spans="2:3" x14ac:dyDescent="0.35">
      <c r="B3487" s="87">
        <v>44600</v>
      </c>
      <c r="C3487" s="22">
        <v>562.25</v>
      </c>
    </row>
    <row r="3488" spans="2:3" x14ac:dyDescent="0.35">
      <c r="B3488" s="87">
        <v>44601</v>
      </c>
      <c r="C3488" s="22">
        <v>570.5</v>
      </c>
    </row>
    <row r="3489" spans="2:3" x14ac:dyDescent="0.35">
      <c r="B3489" s="87">
        <v>44602</v>
      </c>
      <c r="C3489" s="22">
        <v>564.6</v>
      </c>
    </row>
    <row r="3490" spans="2:3" x14ac:dyDescent="0.35">
      <c r="B3490" s="87">
        <v>44603</v>
      </c>
      <c r="C3490" s="22">
        <v>560.85</v>
      </c>
    </row>
    <row r="3491" spans="2:3" x14ac:dyDescent="0.35">
      <c r="B3491" s="87">
        <v>44606</v>
      </c>
      <c r="C3491" s="22">
        <v>553.1</v>
      </c>
    </row>
    <row r="3492" spans="2:3" x14ac:dyDescent="0.35">
      <c r="B3492" s="87">
        <v>44607</v>
      </c>
      <c r="C3492" s="22">
        <v>562.45000000000005</v>
      </c>
    </row>
    <row r="3493" spans="2:3" x14ac:dyDescent="0.35">
      <c r="B3493" s="87">
        <v>44608</v>
      </c>
      <c r="C3493" s="22">
        <v>561.85</v>
      </c>
    </row>
    <row r="3494" spans="2:3" x14ac:dyDescent="0.35">
      <c r="B3494" s="87">
        <v>44609</v>
      </c>
      <c r="C3494" s="22">
        <v>554.4</v>
      </c>
    </row>
    <row r="3495" spans="2:3" x14ac:dyDescent="0.35">
      <c r="B3495" s="87">
        <v>44610</v>
      </c>
      <c r="C3495" s="22">
        <v>547.79999999999995</v>
      </c>
    </row>
    <row r="3496" spans="2:3" x14ac:dyDescent="0.35">
      <c r="B3496" s="87">
        <v>44613</v>
      </c>
      <c r="C3496" s="22">
        <v>553.6</v>
      </c>
    </row>
    <row r="3497" spans="2:3" x14ac:dyDescent="0.35">
      <c r="B3497" s="87">
        <v>44614</v>
      </c>
      <c r="C3497" s="22">
        <v>550.04999999999995</v>
      </c>
    </row>
    <row r="3498" spans="2:3" x14ac:dyDescent="0.35">
      <c r="B3498" s="87">
        <v>44615</v>
      </c>
      <c r="C3498" s="22">
        <v>543.25</v>
      </c>
    </row>
    <row r="3499" spans="2:3" x14ac:dyDescent="0.35">
      <c r="B3499" s="87">
        <v>44616</v>
      </c>
      <c r="C3499" s="22">
        <v>533.70000000000005</v>
      </c>
    </row>
    <row r="3500" spans="2:3" x14ac:dyDescent="0.35">
      <c r="B3500" s="87">
        <v>44617</v>
      </c>
      <c r="C3500" s="22">
        <v>544.85</v>
      </c>
    </row>
    <row r="3501" spans="2:3" x14ac:dyDescent="0.35">
      <c r="B3501" s="87">
        <v>44620</v>
      </c>
      <c r="C3501" s="22">
        <v>563.35</v>
      </c>
    </row>
    <row r="3502" spans="2:3" x14ac:dyDescent="0.35">
      <c r="B3502" s="87">
        <v>44622</v>
      </c>
      <c r="C3502" s="22">
        <v>565.25</v>
      </c>
    </row>
    <row r="3503" spans="2:3" x14ac:dyDescent="0.35">
      <c r="B3503" s="87">
        <v>44623</v>
      </c>
      <c r="C3503" s="22">
        <v>562.9</v>
      </c>
    </row>
    <row r="3504" spans="2:3" x14ac:dyDescent="0.35">
      <c r="B3504" s="87">
        <v>44624</v>
      </c>
      <c r="C3504" s="22">
        <v>539.04999999999995</v>
      </c>
    </row>
    <row r="3505" spans="2:3" x14ac:dyDescent="0.35">
      <c r="B3505" s="87">
        <v>44627</v>
      </c>
      <c r="C3505" s="22">
        <v>505.95</v>
      </c>
    </row>
    <row r="3506" spans="2:3" x14ac:dyDescent="0.35">
      <c r="B3506" s="87">
        <v>44628</v>
      </c>
      <c r="C3506" s="22">
        <v>521.54999999999995</v>
      </c>
    </row>
    <row r="3507" spans="2:3" x14ac:dyDescent="0.35">
      <c r="B3507" s="87">
        <v>44629</v>
      </c>
      <c r="C3507" s="22">
        <v>528.1</v>
      </c>
    </row>
    <row r="3508" spans="2:3" x14ac:dyDescent="0.35">
      <c r="B3508" s="87">
        <v>44630</v>
      </c>
      <c r="C3508" s="22">
        <v>545.70000000000005</v>
      </c>
    </row>
    <row r="3509" spans="2:3" x14ac:dyDescent="0.35">
      <c r="B3509" s="87">
        <v>44631</v>
      </c>
      <c r="C3509" s="22">
        <v>547.54999999999995</v>
      </c>
    </row>
    <row r="3510" spans="2:3" x14ac:dyDescent="0.35">
      <c r="B3510" s="87">
        <v>44634</v>
      </c>
      <c r="C3510" s="22">
        <v>540.6</v>
      </c>
    </row>
    <row r="3511" spans="2:3" x14ac:dyDescent="0.35">
      <c r="B3511" s="87">
        <v>44635</v>
      </c>
      <c r="C3511" s="22">
        <v>556.65</v>
      </c>
    </row>
    <row r="3512" spans="2:3" x14ac:dyDescent="0.35">
      <c r="B3512" s="87">
        <v>44636</v>
      </c>
      <c r="C3512" s="22">
        <v>564.70000000000005</v>
      </c>
    </row>
    <row r="3513" spans="2:3" x14ac:dyDescent="0.35">
      <c r="B3513" s="87">
        <v>44637</v>
      </c>
      <c r="C3513" s="22">
        <v>560.25</v>
      </c>
    </row>
    <row r="3514" spans="2:3" x14ac:dyDescent="0.35">
      <c r="B3514" s="87">
        <v>44641</v>
      </c>
      <c r="C3514" s="22">
        <v>549.54999999999995</v>
      </c>
    </row>
    <row r="3515" spans="2:3" x14ac:dyDescent="0.35">
      <c r="B3515" s="87">
        <v>44642</v>
      </c>
      <c r="C3515" s="22">
        <v>534</v>
      </c>
    </row>
    <row r="3516" spans="2:3" x14ac:dyDescent="0.35">
      <c r="B3516" s="87">
        <v>44643</v>
      </c>
      <c r="C3516" s="22">
        <v>522.85</v>
      </c>
    </row>
    <row r="3517" spans="2:3" x14ac:dyDescent="0.35">
      <c r="B3517" s="87">
        <v>44644</v>
      </c>
      <c r="C3517" s="22">
        <v>523.75</v>
      </c>
    </row>
    <row r="3518" spans="2:3" x14ac:dyDescent="0.35">
      <c r="B3518" s="87">
        <v>44645</v>
      </c>
      <c r="C3518" s="22">
        <v>519.79999999999995</v>
      </c>
    </row>
    <row r="3519" spans="2:3" x14ac:dyDescent="0.35">
      <c r="B3519" s="87">
        <v>44648</v>
      </c>
      <c r="C3519" s="22">
        <v>515.15</v>
      </c>
    </row>
    <row r="3520" spans="2:3" x14ac:dyDescent="0.35">
      <c r="B3520" s="87">
        <v>44649</v>
      </c>
      <c r="C3520" s="22">
        <v>515.79999999999995</v>
      </c>
    </row>
    <row r="3521" spans="2:3" x14ac:dyDescent="0.35">
      <c r="B3521" s="87">
        <v>44650</v>
      </c>
      <c r="C3521" s="22">
        <v>527.70000000000005</v>
      </c>
    </row>
    <row r="3522" spans="2:3" x14ac:dyDescent="0.35">
      <c r="B3522" s="87">
        <v>44651</v>
      </c>
      <c r="C3522" s="22">
        <v>536.20000000000005</v>
      </c>
    </row>
    <row r="3523" spans="2:3" x14ac:dyDescent="0.35">
      <c r="B3523" s="87">
        <v>44652</v>
      </c>
      <c r="C3523" s="22">
        <v>542.45000000000005</v>
      </c>
    </row>
    <row r="3524" spans="2:3" x14ac:dyDescent="0.35">
      <c r="B3524" s="87">
        <v>44655</v>
      </c>
      <c r="C3524" s="22">
        <v>544.65</v>
      </c>
    </row>
    <row r="3525" spans="2:3" x14ac:dyDescent="0.35">
      <c r="B3525" s="87">
        <v>44656</v>
      </c>
      <c r="C3525" s="22">
        <v>548.95000000000005</v>
      </c>
    </row>
    <row r="3526" spans="2:3" x14ac:dyDescent="0.35">
      <c r="B3526" s="87">
        <v>44657</v>
      </c>
      <c r="C3526" s="22">
        <v>541.45000000000005</v>
      </c>
    </row>
    <row r="3527" spans="2:3" x14ac:dyDescent="0.35">
      <c r="B3527" s="87">
        <v>44658</v>
      </c>
      <c r="C3527" s="22">
        <v>550.54999999999995</v>
      </c>
    </row>
    <row r="3528" spans="2:3" x14ac:dyDescent="0.35">
      <c r="B3528" s="87">
        <v>44659</v>
      </c>
      <c r="C3528" s="22">
        <v>556.95000000000005</v>
      </c>
    </row>
    <row r="3529" spans="2:3" x14ac:dyDescent="0.35">
      <c r="B3529" s="87">
        <v>44662</v>
      </c>
      <c r="C3529" s="22">
        <v>552.4</v>
      </c>
    </row>
    <row r="3530" spans="2:3" x14ac:dyDescent="0.35">
      <c r="B3530" s="87">
        <v>44663</v>
      </c>
      <c r="C3530" s="22">
        <v>553.75</v>
      </c>
    </row>
    <row r="3531" spans="2:3" x14ac:dyDescent="0.35">
      <c r="B3531" s="87">
        <v>44664</v>
      </c>
      <c r="C3531" s="22">
        <v>555.9</v>
      </c>
    </row>
    <row r="3532" spans="2:3" x14ac:dyDescent="0.35">
      <c r="B3532" s="87">
        <v>44669</v>
      </c>
      <c r="C3532" s="22">
        <v>562.70000000000005</v>
      </c>
    </row>
    <row r="3533" spans="2:3" x14ac:dyDescent="0.35">
      <c r="B3533" s="87">
        <v>44670</v>
      </c>
      <c r="C3533" s="22">
        <v>549</v>
      </c>
    </row>
    <row r="3534" spans="2:3" x14ac:dyDescent="0.35">
      <c r="B3534" s="87">
        <v>44671</v>
      </c>
      <c r="C3534" s="22">
        <v>550.29999999999995</v>
      </c>
    </row>
    <row r="3535" spans="2:3" x14ac:dyDescent="0.35">
      <c r="B3535" s="87">
        <v>44672</v>
      </c>
      <c r="C3535" s="22">
        <v>561.85</v>
      </c>
    </row>
    <row r="3536" spans="2:3" x14ac:dyDescent="0.35">
      <c r="B3536" s="87">
        <v>44673</v>
      </c>
      <c r="C3536" s="22">
        <v>559.85</v>
      </c>
    </row>
    <row r="3537" spans="2:3" x14ac:dyDescent="0.35">
      <c r="B3537" s="87">
        <v>44676</v>
      </c>
      <c r="C3537" s="22">
        <v>551.29999999999995</v>
      </c>
    </row>
    <row r="3538" spans="2:3" x14ac:dyDescent="0.35">
      <c r="B3538" s="87">
        <v>44677</v>
      </c>
      <c r="C3538" s="22">
        <v>559.9</v>
      </c>
    </row>
    <row r="3539" spans="2:3" x14ac:dyDescent="0.35">
      <c r="B3539" s="87">
        <v>44678</v>
      </c>
      <c r="C3539" s="22">
        <v>559.85</v>
      </c>
    </row>
    <row r="3540" spans="2:3" x14ac:dyDescent="0.35">
      <c r="B3540" s="87">
        <v>44679</v>
      </c>
      <c r="C3540" s="22">
        <v>572.25</v>
      </c>
    </row>
    <row r="3541" spans="2:3" x14ac:dyDescent="0.35">
      <c r="B3541" s="87">
        <v>44680</v>
      </c>
      <c r="C3541" s="22">
        <v>556.70000000000005</v>
      </c>
    </row>
    <row r="3542" spans="2:3" x14ac:dyDescent="0.35">
      <c r="B3542" s="87">
        <v>44683</v>
      </c>
      <c r="C3542" s="22">
        <v>557.20000000000005</v>
      </c>
    </row>
    <row r="3543" spans="2:3" x14ac:dyDescent="0.35">
      <c r="B3543" s="87">
        <v>44685</v>
      </c>
      <c r="C3543" s="22">
        <v>538.04999999999995</v>
      </c>
    </row>
    <row r="3544" spans="2:3" x14ac:dyDescent="0.35">
      <c r="B3544" s="87">
        <v>44686</v>
      </c>
      <c r="C3544" s="22">
        <v>529.04999999999995</v>
      </c>
    </row>
    <row r="3545" spans="2:3" x14ac:dyDescent="0.35">
      <c r="B3545" s="87">
        <v>44687</v>
      </c>
      <c r="C3545" s="22">
        <v>510.8</v>
      </c>
    </row>
    <row r="3546" spans="2:3" x14ac:dyDescent="0.35">
      <c r="B3546" s="87">
        <v>44690</v>
      </c>
      <c r="C3546" s="22">
        <v>504.55</v>
      </c>
    </row>
    <row r="3547" spans="2:3" x14ac:dyDescent="0.35">
      <c r="B3547" s="87">
        <v>44691</v>
      </c>
      <c r="C3547" s="22">
        <v>502.55</v>
      </c>
    </row>
    <row r="3548" spans="2:3" x14ac:dyDescent="0.35">
      <c r="B3548" s="87">
        <v>44692</v>
      </c>
      <c r="C3548" s="22">
        <v>507.1</v>
      </c>
    </row>
    <row r="3549" spans="2:3" x14ac:dyDescent="0.35">
      <c r="B3549" s="87">
        <v>44693</v>
      </c>
      <c r="C3549" s="22">
        <v>498.35</v>
      </c>
    </row>
    <row r="3550" spans="2:3" x14ac:dyDescent="0.35">
      <c r="B3550" s="87">
        <v>44694</v>
      </c>
      <c r="C3550" s="22">
        <v>500.8</v>
      </c>
    </row>
    <row r="3551" spans="2:3" x14ac:dyDescent="0.35">
      <c r="B3551" s="87">
        <v>44697</v>
      </c>
      <c r="C3551" s="22">
        <v>496.8</v>
      </c>
    </row>
    <row r="3552" spans="2:3" x14ac:dyDescent="0.35">
      <c r="B3552" s="87">
        <v>44698</v>
      </c>
      <c r="C3552" s="22">
        <v>501.85</v>
      </c>
    </row>
    <row r="3553" spans="2:3" x14ac:dyDescent="0.35">
      <c r="B3553" s="87">
        <v>44699</v>
      </c>
      <c r="C3553" s="22">
        <v>509.8</v>
      </c>
    </row>
    <row r="3554" spans="2:3" x14ac:dyDescent="0.35">
      <c r="B3554" s="87">
        <v>44700</v>
      </c>
      <c r="C3554" s="22">
        <v>492.1</v>
      </c>
    </row>
    <row r="3555" spans="2:3" x14ac:dyDescent="0.35">
      <c r="B3555" s="87">
        <v>44701</v>
      </c>
      <c r="C3555" s="22">
        <v>503.35</v>
      </c>
    </row>
    <row r="3556" spans="2:3" x14ac:dyDescent="0.35">
      <c r="B3556" s="87">
        <v>44704</v>
      </c>
      <c r="C3556" s="22">
        <v>506.3</v>
      </c>
    </row>
    <row r="3557" spans="2:3" x14ac:dyDescent="0.35">
      <c r="B3557" s="87">
        <v>44705</v>
      </c>
      <c r="C3557" s="22">
        <v>502.15</v>
      </c>
    </row>
    <row r="3558" spans="2:3" x14ac:dyDescent="0.35">
      <c r="B3558" s="87">
        <v>44706</v>
      </c>
      <c r="C3558" s="22">
        <v>494.45</v>
      </c>
    </row>
    <row r="3559" spans="2:3" x14ac:dyDescent="0.35">
      <c r="B3559" s="87">
        <v>44707</v>
      </c>
      <c r="C3559" s="22">
        <v>497.85</v>
      </c>
    </row>
    <row r="3560" spans="2:3" x14ac:dyDescent="0.35">
      <c r="B3560" s="87">
        <v>44708</v>
      </c>
      <c r="C3560" s="22">
        <v>497.7</v>
      </c>
    </row>
    <row r="3561" spans="2:3" x14ac:dyDescent="0.35">
      <c r="B3561" s="87">
        <v>44711</v>
      </c>
      <c r="C3561" s="22">
        <v>510.1</v>
      </c>
    </row>
    <row r="3562" spans="2:3" x14ac:dyDescent="0.35">
      <c r="B3562" s="87">
        <v>44712</v>
      </c>
      <c r="C3562" s="22">
        <v>519</v>
      </c>
    </row>
    <row r="3563" spans="2:3" x14ac:dyDescent="0.35">
      <c r="B3563" s="87">
        <v>44713</v>
      </c>
      <c r="C3563" s="22">
        <v>517.54999999999995</v>
      </c>
    </row>
    <row r="3564" spans="2:3" x14ac:dyDescent="0.35">
      <c r="B3564" s="87">
        <v>44714</v>
      </c>
      <c r="C3564" s="22">
        <v>521.70000000000005</v>
      </c>
    </row>
    <row r="3565" spans="2:3" x14ac:dyDescent="0.35">
      <c r="B3565" s="87">
        <v>44715</v>
      </c>
      <c r="C3565" s="22">
        <v>513.95000000000005</v>
      </c>
    </row>
    <row r="3566" spans="2:3" x14ac:dyDescent="0.35">
      <c r="B3566" s="87">
        <v>44718</v>
      </c>
      <c r="C3566" s="22">
        <v>508.6</v>
      </c>
    </row>
    <row r="3567" spans="2:3" x14ac:dyDescent="0.35">
      <c r="B3567" s="87">
        <v>44719</v>
      </c>
      <c r="C3567" s="22">
        <v>501.25</v>
      </c>
    </row>
    <row r="3568" spans="2:3" x14ac:dyDescent="0.35">
      <c r="B3568" s="87">
        <v>44720</v>
      </c>
      <c r="C3568" s="22">
        <v>494.8</v>
      </c>
    </row>
    <row r="3569" spans="2:3" x14ac:dyDescent="0.35">
      <c r="B3569" s="87">
        <v>44721</v>
      </c>
      <c r="C3569" s="22">
        <v>497.65</v>
      </c>
    </row>
    <row r="3570" spans="2:3" x14ac:dyDescent="0.35">
      <c r="B3570" s="87">
        <v>44722</v>
      </c>
      <c r="C3570" s="22">
        <v>502.25</v>
      </c>
    </row>
    <row r="3571" spans="2:3" x14ac:dyDescent="0.35">
      <c r="B3571" s="87">
        <v>44725</v>
      </c>
      <c r="C3571" s="22">
        <v>497.8</v>
      </c>
    </row>
    <row r="3572" spans="2:3" x14ac:dyDescent="0.35">
      <c r="B3572" s="87">
        <v>44726</v>
      </c>
      <c r="C3572" s="22">
        <v>495.65</v>
      </c>
    </row>
    <row r="3573" spans="2:3" x14ac:dyDescent="0.35">
      <c r="B3573" s="87">
        <v>44727</v>
      </c>
      <c r="C3573" s="22">
        <v>496.3</v>
      </c>
    </row>
    <row r="3574" spans="2:3" x14ac:dyDescent="0.35">
      <c r="B3574" s="87">
        <v>44728</v>
      </c>
      <c r="C3574" s="22">
        <v>497</v>
      </c>
    </row>
    <row r="3575" spans="2:3" x14ac:dyDescent="0.35">
      <c r="B3575" s="87">
        <v>44729</v>
      </c>
      <c r="C3575" s="22">
        <v>484.6</v>
      </c>
    </row>
    <row r="3576" spans="2:3" x14ac:dyDescent="0.35">
      <c r="B3576" s="87">
        <v>44732</v>
      </c>
      <c r="C3576" s="22">
        <v>500.8</v>
      </c>
    </row>
    <row r="3577" spans="2:3" x14ac:dyDescent="0.35">
      <c r="B3577" s="87">
        <v>44733</v>
      </c>
      <c r="C3577" s="22">
        <v>505.9</v>
      </c>
    </row>
    <row r="3578" spans="2:3" x14ac:dyDescent="0.35">
      <c r="B3578" s="87">
        <v>44734</v>
      </c>
      <c r="C3578" s="22">
        <v>498.95</v>
      </c>
    </row>
    <row r="3579" spans="2:3" x14ac:dyDescent="0.35">
      <c r="B3579" s="87">
        <v>44735</v>
      </c>
      <c r="C3579" s="22">
        <v>505.15</v>
      </c>
    </row>
    <row r="3580" spans="2:3" x14ac:dyDescent="0.35">
      <c r="B3580" s="87">
        <v>44736</v>
      </c>
      <c r="C3580" s="22">
        <v>509.75</v>
      </c>
    </row>
    <row r="3581" spans="2:3" x14ac:dyDescent="0.35">
      <c r="B3581" s="87">
        <v>44739</v>
      </c>
      <c r="C3581" s="22">
        <v>515.70000000000005</v>
      </c>
    </row>
    <row r="3582" spans="2:3" x14ac:dyDescent="0.35">
      <c r="B3582" s="87">
        <v>44740</v>
      </c>
      <c r="C3582" s="22">
        <v>512.1</v>
      </c>
    </row>
    <row r="3583" spans="2:3" x14ac:dyDescent="0.35">
      <c r="B3583" s="87">
        <v>44741</v>
      </c>
      <c r="C3583" s="22">
        <v>501.2</v>
      </c>
    </row>
    <row r="3584" spans="2:3" x14ac:dyDescent="0.35">
      <c r="B3584" s="87">
        <v>44742</v>
      </c>
      <c r="C3584" s="22">
        <v>495.95</v>
      </c>
    </row>
    <row r="3585" spans="2:3" x14ac:dyDescent="0.35">
      <c r="B3585" s="87">
        <v>44743</v>
      </c>
      <c r="C3585" s="22">
        <v>511.25</v>
      </c>
    </row>
    <row r="3586" spans="2:3" x14ac:dyDescent="0.35">
      <c r="B3586" s="87">
        <v>44746</v>
      </c>
      <c r="C3586" s="22">
        <v>525</v>
      </c>
    </row>
    <row r="3587" spans="2:3" x14ac:dyDescent="0.35">
      <c r="B3587" s="87">
        <v>44747</v>
      </c>
      <c r="C3587" s="22">
        <v>530.70000000000005</v>
      </c>
    </row>
    <row r="3588" spans="2:3" x14ac:dyDescent="0.35">
      <c r="B3588" s="87">
        <v>44748</v>
      </c>
      <c r="C3588" s="22">
        <v>542.95000000000005</v>
      </c>
    </row>
    <row r="3589" spans="2:3" x14ac:dyDescent="0.35">
      <c r="B3589" s="87">
        <v>44749</v>
      </c>
      <c r="C3589" s="22">
        <v>543.54999999999995</v>
      </c>
    </row>
    <row r="3590" spans="2:3" x14ac:dyDescent="0.35">
      <c r="B3590" s="87">
        <v>44750</v>
      </c>
      <c r="C3590" s="22">
        <v>543.9</v>
      </c>
    </row>
    <row r="3591" spans="2:3" x14ac:dyDescent="0.35">
      <c r="B3591" s="87">
        <v>44753</v>
      </c>
      <c r="C3591" s="22">
        <v>545.4</v>
      </c>
    </row>
    <row r="3592" spans="2:3" x14ac:dyDescent="0.35">
      <c r="B3592" s="87">
        <v>44754</v>
      </c>
      <c r="C3592" s="22">
        <v>543.45000000000005</v>
      </c>
    </row>
    <row r="3593" spans="2:3" x14ac:dyDescent="0.35">
      <c r="B3593" s="87">
        <v>44755</v>
      </c>
      <c r="C3593" s="22">
        <v>545.29999999999995</v>
      </c>
    </row>
    <row r="3594" spans="2:3" x14ac:dyDescent="0.35">
      <c r="B3594" s="87">
        <v>44756</v>
      </c>
      <c r="C3594" s="22">
        <v>549.25</v>
      </c>
    </row>
    <row r="3595" spans="2:3" x14ac:dyDescent="0.35">
      <c r="B3595" s="87">
        <v>44757</v>
      </c>
      <c r="C3595" s="22">
        <v>548.35</v>
      </c>
    </row>
    <row r="3596" spans="2:3" x14ac:dyDescent="0.35">
      <c r="B3596" s="87">
        <v>44760</v>
      </c>
      <c r="C3596" s="22">
        <v>550.1</v>
      </c>
    </row>
    <row r="3597" spans="2:3" x14ac:dyDescent="0.35">
      <c r="B3597" s="87">
        <v>44761</v>
      </c>
      <c r="C3597" s="22">
        <v>549.45000000000005</v>
      </c>
    </row>
    <row r="3598" spans="2:3" x14ac:dyDescent="0.35">
      <c r="B3598" s="87">
        <v>44762</v>
      </c>
      <c r="C3598" s="22">
        <v>558.25</v>
      </c>
    </row>
    <row r="3599" spans="2:3" x14ac:dyDescent="0.35">
      <c r="B3599" s="87">
        <v>44763</v>
      </c>
      <c r="C3599" s="22">
        <v>571.95000000000005</v>
      </c>
    </row>
    <row r="3600" spans="2:3" x14ac:dyDescent="0.35">
      <c r="B3600" s="87">
        <v>44764</v>
      </c>
      <c r="C3600" s="22">
        <v>576.29999999999995</v>
      </c>
    </row>
    <row r="3601" spans="2:3" x14ac:dyDescent="0.35">
      <c r="B3601" s="87">
        <v>44767</v>
      </c>
      <c r="C3601" s="22">
        <v>567.9</v>
      </c>
    </row>
    <row r="3602" spans="2:3" x14ac:dyDescent="0.35">
      <c r="B3602" s="87">
        <v>44768</v>
      </c>
      <c r="C3602" s="22">
        <v>558.25</v>
      </c>
    </row>
    <row r="3603" spans="2:3" x14ac:dyDescent="0.35">
      <c r="B3603" s="87">
        <v>44769</v>
      </c>
      <c r="C3603" s="22">
        <v>567.75</v>
      </c>
    </row>
    <row r="3604" spans="2:3" x14ac:dyDescent="0.35">
      <c r="B3604" s="87">
        <v>44770</v>
      </c>
      <c r="C3604" s="22">
        <v>572.70000000000005</v>
      </c>
    </row>
    <row r="3605" spans="2:3" x14ac:dyDescent="0.35">
      <c r="B3605" s="87">
        <v>44771</v>
      </c>
      <c r="C3605" s="22">
        <v>584.1</v>
      </c>
    </row>
    <row r="3606" spans="2:3" x14ac:dyDescent="0.35">
      <c r="B3606" s="87">
        <v>44774</v>
      </c>
      <c r="C3606" s="22">
        <v>580.79999999999995</v>
      </c>
    </row>
    <row r="3607" spans="2:3" x14ac:dyDescent="0.35">
      <c r="B3607" s="87">
        <v>44775</v>
      </c>
      <c r="C3607" s="22">
        <v>578.25</v>
      </c>
    </row>
    <row r="3608" spans="2:3" x14ac:dyDescent="0.35">
      <c r="B3608" s="87">
        <v>44776</v>
      </c>
      <c r="C3608" s="22">
        <v>569.79999999999995</v>
      </c>
    </row>
    <row r="3609" spans="2:3" x14ac:dyDescent="0.35">
      <c r="B3609" s="87">
        <v>44777</v>
      </c>
      <c r="C3609" s="22">
        <v>573.9</v>
      </c>
    </row>
    <row r="3610" spans="2:3" x14ac:dyDescent="0.35">
      <c r="B3610" s="87">
        <v>44778</v>
      </c>
      <c r="C3610" s="22">
        <v>579.15</v>
      </c>
    </row>
    <row r="3611" spans="2:3" x14ac:dyDescent="0.35">
      <c r="B3611" s="87">
        <v>44781</v>
      </c>
      <c r="C3611" s="22">
        <v>586.5</v>
      </c>
    </row>
    <row r="3612" spans="2:3" x14ac:dyDescent="0.35">
      <c r="B3612" s="87">
        <v>44783</v>
      </c>
      <c r="C3612" s="22">
        <v>584.95000000000005</v>
      </c>
    </row>
    <row r="3613" spans="2:3" x14ac:dyDescent="0.35">
      <c r="B3613" s="87">
        <v>44784</v>
      </c>
      <c r="C3613" s="22">
        <v>582.70000000000005</v>
      </c>
    </row>
    <row r="3614" spans="2:3" x14ac:dyDescent="0.35">
      <c r="B3614" s="87">
        <v>44785</v>
      </c>
      <c r="C3614" s="22">
        <v>581.6</v>
      </c>
    </row>
    <row r="3615" spans="2:3" x14ac:dyDescent="0.35">
      <c r="B3615" s="87">
        <v>44789</v>
      </c>
      <c r="C3615" s="22">
        <v>579.6</v>
      </c>
    </row>
    <row r="3616" spans="2:3" x14ac:dyDescent="0.35">
      <c r="B3616" s="87">
        <v>44790</v>
      </c>
      <c r="C3616" s="22">
        <v>584.95000000000005</v>
      </c>
    </row>
    <row r="3617" spans="2:3" x14ac:dyDescent="0.35">
      <c r="B3617" s="87">
        <v>44791</v>
      </c>
      <c r="C3617" s="22">
        <v>594.6</v>
      </c>
    </row>
    <row r="3618" spans="2:3" x14ac:dyDescent="0.35">
      <c r="B3618" s="87">
        <v>44792</v>
      </c>
      <c r="C3618" s="22">
        <v>587.20000000000005</v>
      </c>
    </row>
    <row r="3619" spans="2:3" x14ac:dyDescent="0.35">
      <c r="B3619" s="87">
        <v>44795</v>
      </c>
      <c r="C3619" s="22">
        <v>584.20000000000005</v>
      </c>
    </row>
    <row r="3620" spans="2:3" x14ac:dyDescent="0.35">
      <c r="B3620" s="87">
        <v>44796</v>
      </c>
      <c r="C3620" s="22">
        <v>588.1</v>
      </c>
    </row>
    <row r="3621" spans="2:3" x14ac:dyDescent="0.35">
      <c r="B3621" s="87">
        <v>44797</v>
      </c>
      <c r="C3621" s="22">
        <v>587.1</v>
      </c>
    </row>
    <row r="3622" spans="2:3" x14ac:dyDescent="0.35">
      <c r="B3622" s="87">
        <v>44798</v>
      </c>
      <c r="C3622" s="22">
        <v>579.70000000000005</v>
      </c>
    </row>
    <row r="3623" spans="2:3" x14ac:dyDescent="0.35">
      <c r="B3623" s="87">
        <v>44799</v>
      </c>
      <c r="C3623" s="22">
        <v>572</v>
      </c>
    </row>
    <row r="3624" spans="2:3" x14ac:dyDescent="0.35">
      <c r="B3624" s="87">
        <v>44802</v>
      </c>
      <c r="C3624" s="22">
        <v>573.04999999999995</v>
      </c>
    </row>
    <row r="3625" spans="2:3" x14ac:dyDescent="0.35">
      <c r="B3625" s="87">
        <v>44803</v>
      </c>
      <c r="C3625" s="22">
        <v>583.6</v>
      </c>
    </row>
    <row r="3626" spans="2:3" x14ac:dyDescent="0.35">
      <c r="B3626" s="87">
        <v>44805</v>
      </c>
      <c r="C3626" s="22">
        <v>569.6</v>
      </c>
    </row>
    <row r="3627" spans="2:3" x14ac:dyDescent="0.35">
      <c r="B3627" s="87">
        <v>44806</v>
      </c>
      <c r="C3627" s="22">
        <v>570.70000000000005</v>
      </c>
    </row>
    <row r="3628" spans="2:3" x14ac:dyDescent="0.35">
      <c r="B3628" s="87">
        <v>44809</v>
      </c>
      <c r="C3628" s="22">
        <v>570.1</v>
      </c>
    </row>
    <row r="3629" spans="2:3" x14ac:dyDescent="0.35">
      <c r="B3629" s="87">
        <v>44810</v>
      </c>
      <c r="C3629" s="22">
        <v>571</v>
      </c>
    </row>
    <row r="3630" spans="2:3" x14ac:dyDescent="0.35">
      <c r="B3630" s="87">
        <v>44811</v>
      </c>
      <c r="C3630" s="22">
        <v>572.35</v>
      </c>
    </row>
    <row r="3631" spans="2:3" x14ac:dyDescent="0.35">
      <c r="B3631" s="87">
        <v>44812</v>
      </c>
      <c r="C3631" s="22">
        <v>570.4</v>
      </c>
    </row>
    <row r="3632" spans="2:3" x14ac:dyDescent="0.35">
      <c r="B3632" s="87">
        <v>44813</v>
      </c>
      <c r="C3632" s="22">
        <v>574.9</v>
      </c>
    </row>
    <row r="3633" spans="2:3" x14ac:dyDescent="0.35">
      <c r="B3633" s="87">
        <v>44816</v>
      </c>
      <c r="C3633" s="22">
        <v>570.4</v>
      </c>
    </row>
    <row r="3634" spans="2:3" x14ac:dyDescent="0.35">
      <c r="B3634" s="87">
        <v>44817</v>
      </c>
      <c r="C3634" s="22">
        <v>571</v>
      </c>
    </row>
    <row r="3635" spans="2:3" x14ac:dyDescent="0.35">
      <c r="B3635" s="87">
        <v>44818</v>
      </c>
      <c r="C3635" s="22">
        <v>567</v>
      </c>
    </row>
    <row r="3636" spans="2:3" x14ac:dyDescent="0.35">
      <c r="B3636" s="87">
        <v>44819</v>
      </c>
      <c r="C3636" s="22">
        <v>563.45000000000005</v>
      </c>
    </row>
    <row r="3637" spans="2:3" x14ac:dyDescent="0.35">
      <c r="B3637" s="87">
        <v>44820</v>
      </c>
      <c r="C3637" s="22">
        <v>546.4</v>
      </c>
    </row>
    <row r="3638" spans="2:3" x14ac:dyDescent="0.35">
      <c r="B3638" s="87">
        <v>44823</v>
      </c>
      <c r="C3638" s="22">
        <v>548.15</v>
      </c>
    </row>
    <row r="3639" spans="2:3" x14ac:dyDescent="0.35">
      <c r="B3639" s="87">
        <v>44824</v>
      </c>
      <c r="C3639" s="22">
        <v>556.79999999999995</v>
      </c>
    </row>
    <row r="3640" spans="2:3" x14ac:dyDescent="0.35">
      <c r="B3640" s="87">
        <v>44825</v>
      </c>
      <c r="C3640" s="22">
        <v>561.5</v>
      </c>
    </row>
    <row r="3641" spans="2:3" x14ac:dyDescent="0.35">
      <c r="B3641" s="87">
        <v>44826</v>
      </c>
      <c r="C3641" s="22">
        <v>575.65</v>
      </c>
    </row>
    <row r="3642" spans="2:3" x14ac:dyDescent="0.35">
      <c r="B3642" s="87">
        <v>44827</v>
      </c>
      <c r="C3642" s="22">
        <v>568.54999999999995</v>
      </c>
    </row>
    <row r="3643" spans="2:3" x14ac:dyDescent="0.35">
      <c r="B3643" s="87">
        <v>44830</v>
      </c>
      <c r="C3643" s="22">
        <v>556.20000000000005</v>
      </c>
    </row>
    <row r="3644" spans="2:3" x14ac:dyDescent="0.35">
      <c r="B3644" s="87">
        <v>44831</v>
      </c>
      <c r="C3644" s="22">
        <v>560.5</v>
      </c>
    </row>
    <row r="3645" spans="2:3" x14ac:dyDescent="0.35">
      <c r="B3645" s="87">
        <v>44832</v>
      </c>
      <c r="C3645" s="22">
        <v>564.04999999999995</v>
      </c>
    </row>
    <row r="3646" spans="2:3" x14ac:dyDescent="0.35">
      <c r="B3646" s="87">
        <v>44833</v>
      </c>
      <c r="C3646" s="22">
        <v>575.75</v>
      </c>
    </row>
    <row r="3647" spans="2:3" x14ac:dyDescent="0.35">
      <c r="B3647" s="87">
        <v>44834</v>
      </c>
      <c r="C3647" s="22">
        <v>572.95000000000005</v>
      </c>
    </row>
    <row r="3648" spans="2:3" x14ac:dyDescent="0.35">
      <c r="B3648" s="87">
        <v>44837</v>
      </c>
      <c r="C3648" s="22">
        <v>557.15</v>
      </c>
    </row>
    <row r="3649" spans="2:3" x14ac:dyDescent="0.35">
      <c r="B3649" s="87">
        <v>44838</v>
      </c>
      <c r="C3649" s="22">
        <v>553.79999999999995</v>
      </c>
    </row>
    <row r="3650" spans="2:3" x14ac:dyDescent="0.35">
      <c r="B3650" s="87">
        <v>44840</v>
      </c>
      <c r="C3650" s="22">
        <v>546.4</v>
      </c>
    </row>
    <row r="3651" spans="2:3" x14ac:dyDescent="0.35">
      <c r="B3651" s="87">
        <v>44841</v>
      </c>
      <c r="C3651" s="22">
        <v>540.15</v>
      </c>
    </row>
    <row r="3652" spans="2:3" x14ac:dyDescent="0.35">
      <c r="B3652" s="87">
        <v>44844</v>
      </c>
      <c r="C3652" s="22">
        <v>529.1</v>
      </c>
    </row>
    <row r="3653" spans="2:3" x14ac:dyDescent="0.35">
      <c r="B3653" s="87">
        <v>44845</v>
      </c>
      <c r="C3653" s="22">
        <v>518.95000000000005</v>
      </c>
    </row>
    <row r="3654" spans="2:3" x14ac:dyDescent="0.35">
      <c r="B3654" s="87">
        <v>44846</v>
      </c>
      <c r="C3654" s="22">
        <v>533.6</v>
      </c>
    </row>
    <row r="3655" spans="2:3" x14ac:dyDescent="0.35">
      <c r="B3655" s="87">
        <v>44847</v>
      </c>
      <c r="C3655" s="22">
        <v>530</v>
      </c>
    </row>
    <row r="3656" spans="2:3" x14ac:dyDescent="0.35">
      <c r="B3656" s="87">
        <v>44848</v>
      </c>
      <c r="C3656" s="22">
        <v>531.35</v>
      </c>
    </row>
    <row r="3657" spans="2:3" x14ac:dyDescent="0.35">
      <c r="B3657" s="87">
        <v>44851</v>
      </c>
      <c r="C3657" s="22">
        <v>529.95000000000005</v>
      </c>
    </row>
    <row r="3658" spans="2:3" x14ac:dyDescent="0.35">
      <c r="B3658" s="87">
        <v>44852</v>
      </c>
      <c r="C3658" s="22">
        <v>531.35</v>
      </c>
    </row>
    <row r="3659" spans="2:3" x14ac:dyDescent="0.35">
      <c r="B3659" s="87">
        <v>44853</v>
      </c>
      <c r="C3659" s="22">
        <v>526.1</v>
      </c>
    </row>
    <row r="3660" spans="2:3" x14ac:dyDescent="0.35">
      <c r="B3660" s="87">
        <v>44854</v>
      </c>
      <c r="C3660" s="22">
        <v>535.95000000000005</v>
      </c>
    </row>
    <row r="3661" spans="2:3" x14ac:dyDescent="0.35">
      <c r="B3661" s="87">
        <v>44855</v>
      </c>
      <c r="C3661" s="22">
        <v>537.95000000000005</v>
      </c>
    </row>
    <row r="3662" spans="2:3" x14ac:dyDescent="0.35">
      <c r="B3662" s="87">
        <v>44858</v>
      </c>
      <c r="C3662" s="22">
        <v>536.85</v>
      </c>
    </row>
    <row r="3663" spans="2:3" x14ac:dyDescent="0.35">
      <c r="B3663" s="87">
        <v>44859</v>
      </c>
      <c r="C3663" s="22">
        <v>532.15</v>
      </c>
    </row>
    <row r="3664" spans="2:3" x14ac:dyDescent="0.35">
      <c r="B3664" s="87">
        <v>44861</v>
      </c>
      <c r="C3664" s="22">
        <v>549.04999999999995</v>
      </c>
    </row>
    <row r="3665" spans="2:3" x14ac:dyDescent="0.35">
      <c r="B3665" s="87">
        <v>44862</v>
      </c>
      <c r="C3665" s="22">
        <v>551.04999999999995</v>
      </c>
    </row>
    <row r="3666" spans="2:3" x14ac:dyDescent="0.35">
      <c r="B3666" s="87">
        <v>44865</v>
      </c>
      <c r="C3666" s="22">
        <v>554.70000000000005</v>
      </c>
    </row>
    <row r="3667" spans="2:3" x14ac:dyDescent="0.35">
      <c r="B3667" s="87">
        <v>44866</v>
      </c>
      <c r="C3667" s="22">
        <v>563.79999999999995</v>
      </c>
    </row>
    <row r="3668" spans="2:3" x14ac:dyDescent="0.35">
      <c r="B3668" s="87">
        <v>44867</v>
      </c>
      <c r="C3668" s="22">
        <v>562.25</v>
      </c>
    </row>
    <row r="3669" spans="2:3" x14ac:dyDescent="0.35">
      <c r="B3669" s="87">
        <v>44868</v>
      </c>
      <c r="C3669" s="22">
        <v>555.9</v>
      </c>
    </row>
    <row r="3670" spans="2:3" x14ac:dyDescent="0.35">
      <c r="B3670" s="87">
        <v>44869</v>
      </c>
      <c r="C3670" s="22">
        <v>557.5</v>
      </c>
    </row>
    <row r="3671" spans="2:3" x14ac:dyDescent="0.35">
      <c r="B3671" s="87">
        <v>44872</v>
      </c>
      <c r="C3671" s="22">
        <v>553.6</v>
      </c>
    </row>
    <row r="3672" spans="2:3" x14ac:dyDescent="0.35">
      <c r="B3672" s="87">
        <v>44874</v>
      </c>
      <c r="C3672" s="22">
        <v>554.15</v>
      </c>
    </row>
    <row r="3673" spans="2:3" x14ac:dyDescent="0.35">
      <c r="B3673" s="87">
        <v>44875</v>
      </c>
      <c r="C3673" s="22">
        <v>553.9</v>
      </c>
    </row>
    <row r="3674" spans="2:3" x14ac:dyDescent="0.35">
      <c r="B3674" s="87">
        <v>44876</v>
      </c>
      <c r="C3674" s="22">
        <v>553.1</v>
      </c>
    </row>
    <row r="3675" spans="2:3" x14ac:dyDescent="0.35">
      <c r="B3675" s="87">
        <v>44879</v>
      </c>
      <c r="C3675" s="22">
        <v>553.20000000000005</v>
      </c>
    </row>
    <row r="3676" spans="2:3" x14ac:dyDescent="0.35">
      <c r="B3676" s="87">
        <v>44880</v>
      </c>
      <c r="C3676" s="22">
        <v>550.75</v>
      </c>
    </row>
    <row r="3677" spans="2:3" x14ac:dyDescent="0.35">
      <c r="B3677" s="87">
        <v>44881</v>
      </c>
      <c r="C3677" s="22">
        <v>550.04999999999995</v>
      </c>
    </row>
    <row r="3678" spans="2:3" x14ac:dyDescent="0.35">
      <c r="B3678" s="87">
        <v>44882</v>
      </c>
      <c r="C3678" s="22">
        <v>551.9</v>
      </c>
    </row>
    <row r="3679" spans="2:3" x14ac:dyDescent="0.35">
      <c r="B3679" s="87">
        <v>44883</v>
      </c>
      <c r="C3679" s="22">
        <v>548.5</v>
      </c>
    </row>
    <row r="3680" spans="2:3" x14ac:dyDescent="0.35">
      <c r="B3680" s="87">
        <v>44886</v>
      </c>
      <c r="C3680" s="22">
        <v>550.79999999999995</v>
      </c>
    </row>
    <row r="3681" spans="2:3" x14ac:dyDescent="0.35">
      <c r="B3681" s="87">
        <v>44887</v>
      </c>
      <c r="C3681" s="22">
        <v>546.45000000000005</v>
      </c>
    </row>
    <row r="3682" spans="2:3" x14ac:dyDescent="0.35">
      <c r="B3682" s="87">
        <v>44888</v>
      </c>
      <c r="C3682" s="22">
        <v>551.4</v>
      </c>
    </row>
    <row r="3683" spans="2:3" x14ac:dyDescent="0.35">
      <c r="B3683" s="87">
        <v>44889</v>
      </c>
      <c r="C3683" s="22">
        <v>553.6</v>
      </c>
    </row>
    <row r="3684" spans="2:3" x14ac:dyDescent="0.35">
      <c r="B3684" s="87">
        <v>44890</v>
      </c>
      <c r="C3684" s="22">
        <v>556.54999999999995</v>
      </c>
    </row>
    <row r="3685" spans="2:3" x14ac:dyDescent="0.35">
      <c r="B3685" s="87">
        <v>44893</v>
      </c>
      <c r="C3685" s="22">
        <v>558.6</v>
      </c>
    </row>
    <row r="3686" spans="2:3" x14ac:dyDescent="0.35">
      <c r="B3686" s="87">
        <v>44894</v>
      </c>
      <c r="C3686" s="22">
        <v>593.1</v>
      </c>
    </row>
    <row r="3687" spans="2:3" x14ac:dyDescent="0.35">
      <c r="B3687" s="87">
        <v>44895</v>
      </c>
      <c r="C3687" s="22">
        <v>588.35</v>
      </c>
    </row>
    <row r="3688" spans="2:3" x14ac:dyDescent="0.35">
      <c r="B3688" s="87">
        <v>44896</v>
      </c>
      <c r="C3688" s="22">
        <v>586.79999999999995</v>
      </c>
    </row>
    <row r="3689" spans="2:3" x14ac:dyDescent="0.35">
      <c r="B3689" s="87">
        <v>44897</v>
      </c>
      <c r="C3689" s="22">
        <v>591.15</v>
      </c>
    </row>
    <row r="3690" spans="2:3" x14ac:dyDescent="0.35">
      <c r="B3690" s="87">
        <v>44900</v>
      </c>
      <c r="C3690" s="22">
        <v>587.1</v>
      </c>
    </row>
    <row r="3691" spans="2:3" x14ac:dyDescent="0.35">
      <c r="B3691" s="87">
        <v>44901</v>
      </c>
      <c r="C3691" s="22">
        <v>592.6</v>
      </c>
    </row>
    <row r="3692" spans="2:3" x14ac:dyDescent="0.35">
      <c r="B3692" s="87">
        <v>44902</v>
      </c>
      <c r="C3692" s="22">
        <v>602.25</v>
      </c>
    </row>
    <row r="3693" spans="2:3" x14ac:dyDescent="0.35">
      <c r="B3693" s="87">
        <v>44903</v>
      </c>
      <c r="C3693" s="22">
        <v>604.4</v>
      </c>
    </row>
    <row r="3694" spans="2:3" x14ac:dyDescent="0.35">
      <c r="B3694" s="87">
        <v>44904</v>
      </c>
      <c r="C3694" s="22">
        <v>598.75</v>
      </c>
    </row>
    <row r="3695" spans="2:3" x14ac:dyDescent="0.35">
      <c r="B3695" s="87">
        <v>44907</v>
      </c>
      <c r="C3695" s="22">
        <v>602.45000000000005</v>
      </c>
    </row>
    <row r="3696" spans="2:3" x14ac:dyDescent="0.35">
      <c r="B3696" s="87">
        <v>44908</v>
      </c>
      <c r="C3696" s="22">
        <v>594.20000000000005</v>
      </c>
    </row>
    <row r="3697" spans="2:3" x14ac:dyDescent="0.35">
      <c r="B3697" s="87">
        <v>44909</v>
      </c>
      <c r="C3697" s="22">
        <v>587.1</v>
      </c>
    </row>
    <row r="3698" spans="2:3" x14ac:dyDescent="0.35">
      <c r="B3698" s="87">
        <v>44910</v>
      </c>
      <c r="C3698" s="22">
        <v>586.9</v>
      </c>
    </row>
    <row r="3699" spans="2:3" x14ac:dyDescent="0.35">
      <c r="B3699" s="87">
        <v>44911</v>
      </c>
      <c r="C3699" s="22">
        <v>579.75</v>
      </c>
    </row>
    <row r="3700" spans="2:3" x14ac:dyDescent="0.35">
      <c r="B3700" s="87">
        <v>44914</v>
      </c>
      <c r="C3700" s="22">
        <v>589.04999999999995</v>
      </c>
    </row>
    <row r="3701" spans="2:3" x14ac:dyDescent="0.35">
      <c r="B3701" s="87">
        <v>44915</v>
      </c>
      <c r="C3701" s="22">
        <v>579.5</v>
      </c>
    </row>
    <row r="3702" spans="2:3" x14ac:dyDescent="0.35">
      <c r="B3702" s="87">
        <v>44916</v>
      </c>
      <c r="C3702" s="22">
        <v>577.25</v>
      </c>
    </row>
    <row r="3703" spans="2:3" x14ac:dyDescent="0.35">
      <c r="B3703" s="87">
        <v>44917</v>
      </c>
      <c r="C3703" s="22">
        <v>577.75</v>
      </c>
    </row>
    <row r="3704" spans="2:3" x14ac:dyDescent="0.35">
      <c r="B3704" s="87">
        <v>44918</v>
      </c>
      <c r="C3704" s="22">
        <v>565.85</v>
      </c>
    </row>
    <row r="3705" spans="2:3" x14ac:dyDescent="0.35">
      <c r="B3705" s="87">
        <v>44921</v>
      </c>
      <c r="C3705" s="22">
        <v>566.1</v>
      </c>
    </row>
    <row r="3706" spans="2:3" x14ac:dyDescent="0.35">
      <c r="B3706" s="87">
        <v>44922</v>
      </c>
      <c r="C3706" s="22">
        <v>573.5</v>
      </c>
    </row>
    <row r="3707" spans="2:3" x14ac:dyDescent="0.35">
      <c r="B3707" s="87">
        <v>44923</v>
      </c>
      <c r="C3707" s="22">
        <v>569.15</v>
      </c>
    </row>
    <row r="3708" spans="2:3" x14ac:dyDescent="0.35">
      <c r="B3708" s="87">
        <v>44924</v>
      </c>
      <c r="C3708" s="22">
        <v>560.95000000000005</v>
      </c>
    </row>
    <row r="3709" spans="2:3" x14ac:dyDescent="0.35">
      <c r="B3709" s="87">
        <v>44925</v>
      </c>
      <c r="C3709" s="22">
        <v>561.45000000000005</v>
      </c>
    </row>
    <row r="3710" spans="2:3" x14ac:dyDescent="0.35">
      <c r="B3710" s="87">
        <v>44928</v>
      </c>
      <c r="C3710" s="22">
        <v>561.54999999999995</v>
      </c>
    </row>
    <row r="3711" spans="2:3" x14ac:dyDescent="0.35">
      <c r="B3711" s="87">
        <v>44929</v>
      </c>
      <c r="C3711" s="22">
        <v>560.85</v>
      </c>
    </row>
    <row r="3712" spans="2:3" x14ac:dyDescent="0.35">
      <c r="B3712" s="87">
        <v>44930</v>
      </c>
      <c r="C3712" s="22">
        <v>559.85</v>
      </c>
    </row>
    <row r="3713" spans="2:3" x14ac:dyDescent="0.35">
      <c r="B3713" s="87">
        <v>44931</v>
      </c>
      <c r="C3713" s="22">
        <v>572.75</v>
      </c>
    </row>
    <row r="3714" spans="2:3" x14ac:dyDescent="0.35">
      <c r="B3714" s="87">
        <v>44932</v>
      </c>
      <c r="C3714" s="22">
        <v>552.85</v>
      </c>
    </row>
    <row r="3715" spans="2:3" x14ac:dyDescent="0.35">
      <c r="B3715" s="87">
        <v>44935</v>
      </c>
      <c r="C3715" s="22">
        <v>549.54999999999995</v>
      </c>
    </row>
    <row r="3716" spans="2:3" x14ac:dyDescent="0.35">
      <c r="B3716" s="87">
        <v>44936</v>
      </c>
      <c r="C3716" s="22">
        <v>554.6</v>
      </c>
    </row>
    <row r="3717" spans="2:3" x14ac:dyDescent="0.35">
      <c r="B3717" s="87">
        <v>44937</v>
      </c>
      <c r="C3717" s="22">
        <v>548.35</v>
      </c>
    </row>
    <row r="3718" spans="2:3" x14ac:dyDescent="0.35">
      <c r="B3718" s="87">
        <v>44938</v>
      </c>
      <c r="C3718" s="22">
        <v>544.95000000000005</v>
      </c>
    </row>
    <row r="3719" spans="2:3" x14ac:dyDescent="0.35">
      <c r="B3719" s="87">
        <v>44939</v>
      </c>
      <c r="C3719" s="22">
        <v>543.70000000000005</v>
      </c>
    </row>
    <row r="3720" spans="2:3" x14ac:dyDescent="0.35">
      <c r="B3720" s="87">
        <v>44942</v>
      </c>
      <c r="C3720" s="22">
        <v>553.04999999999995</v>
      </c>
    </row>
    <row r="3721" spans="2:3" x14ac:dyDescent="0.35">
      <c r="B3721" s="87">
        <v>44943</v>
      </c>
      <c r="C3721" s="22">
        <v>556.54999999999995</v>
      </c>
    </row>
    <row r="3722" spans="2:3" x14ac:dyDescent="0.35">
      <c r="B3722" s="87">
        <v>44944</v>
      </c>
      <c r="C3722" s="22">
        <v>557.6</v>
      </c>
    </row>
    <row r="3723" spans="2:3" x14ac:dyDescent="0.35">
      <c r="B3723" s="87">
        <v>44945</v>
      </c>
      <c r="C3723" s="22">
        <v>554.95000000000005</v>
      </c>
    </row>
    <row r="3724" spans="2:3" x14ac:dyDescent="0.35">
      <c r="B3724" s="87">
        <v>44946</v>
      </c>
      <c r="C3724" s="22">
        <v>566</v>
      </c>
    </row>
    <row r="3725" spans="2:3" x14ac:dyDescent="0.35">
      <c r="B3725" s="87">
        <v>44949</v>
      </c>
      <c r="C3725" s="22">
        <v>564.4</v>
      </c>
    </row>
    <row r="3726" spans="2:3" x14ac:dyDescent="0.35">
      <c r="B3726" s="87">
        <v>44950</v>
      </c>
      <c r="C3726" s="22">
        <v>566.95000000000005</v>
      </c>
    </row>
    <row r="3727" spans="2:3" x14ac:dyDescent="0.35">
      <c r="B3727" s="87">
        <v>44951</v>
      </c>
      <c r="C3727" s="22">
        <v>563.29999999999995</v>
      </c>
    </row>
    <row r="3728" spans="2:3" x14ac:dyDescent="0.35">
      <c r="B3728" s="87">
        <v>44953</v>
      </c>
      <c r="C3728" s="22">
        <v>562.04999999999995</v>
      </c>
    </row>
    <row r="3729" spans="2:3" x14ac:dyDescent="0.35">
      <c r="B3729" s="87">
        <v>44956</v>
      </c>
      <c r="C3729" s="22">
        <v>558.04999999999995</v>
      </c>
    </row>
    <row r="3730" spans="2:3" x14ac:dyDescent="0.35">
      <c r="B3730" s="87">
        <v>44957</v>
      </c>
      <c r="C3730" s="22">
        <v>557.75</v>
      </c>
    </row>
    <row r="3731" spans="2:3" x14ac:dyDescent="0.35">
      <c r="B3731" s="87">
        <v>44958</v>
      </c>
      <c r="C3731" s="22">
        <v>561.95000000000005</v>
      </c>
    </row>
    <row r="3732" spans="2:3" x14ac:dyDescent="0.35">
      <c r="B3732" s="87">
        <v>44959</v>
      </c>
      <c r="C3732" s="22">
        <v>554.45000000000005</v>
      </c>
    </row>
    <row r="3733" spans="2:3" x14ac:dyDescent="0.35">
      <c r="B3733" s="87">
        <v>44960</v>
      </c>
      <c r="C3733" s="22">
        <v>533.70000000000005</v>
      </c>
    </row>
    <row r="3734" spans="2:3" x14ac:dyDescent="0.35">
      <c r="B3734" s="87">
        <v>44963</v>
      </c>
      <c r="C3734" s="22">
        <v>544.70000000000005</v>
      </c>
    </row>
    <row r="3735" spans="2:3" x14ac:dyDescent="0.35">
      <c r="B3735" s="87">
        <v>44964</v>
      </c>
      <c r="C3735" s="22">
        <v>535.65</v>
      </c>
    </row>
    <row r="3736" spans="2:3" x14ac:dyDescent="0.35">
      <c r="B3736" s="87">
        <v>44965</v>
      </c>
      <c r="C3736" s="22">
        <v>533.95000000000005</v>
      </c>
    </row>
    <row r="3737" spans="2:3" x14ac:dyDescent="0.35">
      <c r="B3737" s="87">
        <v>44966</v>
      </c>
      <c r="C3737" s="22">
        <v>533.25</v>
      </c>
    </row>
    <row r="3738" spans="2:3" x14ac:dyDescent="0.35">
      <c r="B3738" s="87">
        <v>44967</v>
      </c>
      <c r="C3738" s="22">
        <v>532.4</v>
      </c>
    </row>
    <row r="3739" spans="2:3" x14ac:dyDescent="0.35">
      <c r="B3739" s="87">
        <v>44970</v>
      </c>
      <c r="C3739" s="22">
        <v>534.45000000000005</v>
      </c>
    </row>
    <row r="3740" spans="2:3" x14ac:dyDescent="0.35">
      <c r="B3740" s="87">
        <v>44971</v>
      </c>
      <c r="C3740" s="22">
        <v>530</v>
      </c>
    </row>
    <row r="3741" spans="2:3" x14ac:dyDescent="0.35">
      <c r="B3741" s="87">
        <v>44972</v>
      </c>
      <c r="C3741" s="22">
        <v>534.85</v>
      </c>
    </row>
    <row r="3742" spans="2:3" x14ac:dyDescent="0.35">
      <c r="B3742" s="87">
        <v>44973</v>
      </c>
      <c r="C3742" s="22">
        <v>535.6</v>
      </c>
    </row>
    <row r="3743" spans="2:3" x14ac:dyDescent="0.35">
      <c r="B3743" s="87">
        <v>44974</v>
      </c>
      <c r="C3743" s="22">
        <v>534.5</v>
      </c>
    </row>
    <row r="3744" spans="2:3" x14ac:dyDescent="0.35">
      <c r="B3744" s="87">
        <v>44977</v>
      </c>
      <c r="C3744" s="22">
        <v>535</v>
      </c>
    </row>
    <row r="3745" spans="2:3" x14ac:dyDescent="0.35">
      <c r="B3745" s="87">
        <v>44978</v>
      </c>
      <c r="C3745" s="22">
        <v>535.15</v>
      </c>
    </row>
    <row r="3746" spans="2:3" x14ac:dyDescent="0.35">
      <c r="B3746" s="87">
        <v>44979</v>
      </c>
      <c r="C3746" s="22">
        <v>533.20000000000005</v>
      </c>
    </row>
    <row r="3747" spans="2:3" x14ac:dyDescent="0.35">
      <c r="B3747" s="87">
        <v>44980</v>
      </c>
      <c r="C3747" s="22">
        <v>539.75</v>
      </c>
    </row>
    <row r="3748" spans="2:3" x14ac:dyDescent="0.35">
      <c r="B3748" s="87">
        <v>44981</v>
      </c>
      <c r="C3748" s="22">
        <v>534.9</v>
      </c>
    </row>
    <row r="3749" spans="2:3" x14ac:dyDescent="0.35">
      <c r="B3749" s="87">
        <v>44984</v>
      </c>
      <c r="C3749" s="22">
        <v>526.20000000000005</v>
      </c>
    </row>
    <row r="3750" spans="2:3" x14ac:dyDescent="0.35">
      <c r="B3750" s="87">
        <v>44985</v>
      </c>
      <c r="C3750" s="22">
        <v>532.6</v>
      </c>
    </row>
    <row r="3751" spans="2:3" x14ac:dyDescent="0.35">
      <c r="B3751" s="87">
        <v>44986</v>
      </c>
      <c r="C3751" s="22">
        <v>527.25</v>
      </c>
    </row>
    <row r="3752" spans="2:3" x14ac:dyDescent="0.35">
      <c r="B3752" s="87">
        <v>44987</v>
      </c>
      <c r="C3752" s="22">
        <v>530.1</v>
      </c>
    </row>
    <row r="3753" spans="2:3" x14ac:dyDescent="0.35">
      <c r="B3753" s="87">
        <v>44988</v>
      </c>
      <c r="C3753" s="22">
        <v>534.79999999999995</v>
      </c>
    </row>
    <row r="3754" spans="2:3" x14ac:dyDescent="0.35">
      <c r="B3754" s="87">
        <v>44991</v>
      </c>
      <c r="C3754" s="22">
        <v>537</v>
      </c>
    </row>
    <row r="3755" spans="2:3" x14ac:dyDescent="0.35">
      <c r="B3755" s="87">
        <v>44993</v>
      </c>
      <c r="C3755" s="22">
        <v>531.85</v>
      </c>
    </row>
    <row r="3756" spans="2:3" x14ac:dyDescent="0.35">
      <c r="B3756" s="87">
        <v>44994</v>
      </c>
      <c r="C3756" s="22">
        <v>526.65</v>
      </c>
    </row>
    <row r="3757" spans="2:3" x14ac:dyDescent="0.35">
      <c r="B3757" s="87">
        <v>44995</v>
      </c>
      <c r="C3757" s="22">
        <v>529.95000000000005</v>
      </c>
    </row>
    <row r="3758" spans="2:3" x14ac:dyDescent="0.35">
      <c r="B3758" s="87">
        <v>44998</v>
      </c>
      <c r="C3758" s="22">
        <v>523.54999999999995</v>
      </c>
    </row>
    <row r="3759" spans="2:3" x14ac:dyDescent="0.35">
      <c r="B3759" s="87">
        <v>44999</v>
      </c>
      <c r="C3759" s="22">
        <v>526.5</v>
      </c>
    </row>
    <row r="3760" spans="2:3" x14ac:dyDescent="0.35">
      <c r="B3760" s="87">
        <v>45000</v>
      </c>
      <c r="C3760" s="22">
        <v>521.85</v>
      </c>
    </row>
    <row r="3761" spans="2:3" x14ac:dyDescent="0.35">
      <c r="B3761" s="87">
        <v>45001</v>
      </c>
      <c r="C3761" s="22">
        <v>534.5</v>
      </c>
    </row>
    <row r="3762" spans="2:3" x14ac:dyDescent="0.35">
      <c r="B3762" s="87">
        <v>45002</v>
      </c>
      <c r="C3762" s="22">
        <v>536.15</v>
      </c>
    </row>
    <row r="3763" spans="2:3" x14ac:dyDescent="0.35">
      <c r="B3763" s="87">
        <v>45005</v>
      </c>
      <c r="C3763" s="22">
        <v>537.1</v>
      </c>
    </row>
    <row r="3764" spans="2:3" x14ac:dyDescent="0.35">
      <c r="B3764" s="87">
        <v>45006</v>
      </c>
      <c r="C3764" s="22">
        <v>532.29999999999995</v>
      </c>
    </row>
    <row r="3765" spans="2:3" x14ac:dyDescent="0.35">
      <c r="B3765" s="87">
        <v>45007</v>
      </c>
      <c r="C3765" s="22">
        <v>540.15</v>
      </c>
    </row>
    <row r="3766" spans="2:3" x14ac:dyDescent="0.35">
      <c r="B3766" s="87">
        <v>45008</v>
      </c>
      <c r="C3766" s="22">
        <v>539.4</v>
      </c>
    </row>
    <row r="3767" spans="2:3" x14ac:dyDescent="0.35">
      <c r="B3767" s="87">
        <v>45009</v>
      </c>
      <c r="C3767" s="22">
        <v>536.4</v>
      </c>
    </row>
    <row r="3768" spans="2:3" x14ac:dyDescent="0.35">
      <c r="B3768" s="87">
        <v>45012</v>
      </c>
      <c r="C3768" s="22">
        <v>541.45000000000005</v>
      </c>
    </row>
    <row r="3769" spans="2:3" x14ac:dyDescent="0.35">
      <c r="B3769" s="87">
        <v>45013</v>
      </c>
      <c r="C3769" s="22">
        <v>533.79999999999995</v>
      </c>
    </row>
    <row r="3770" spans="2:3" x14ac:dyDescent="0.35">
      <c r="B3770" s="87">
        <v>45014</v>
      </c>
      <c r="C3770" s="22">
        <v>535.65</v>
      </c>
    </row>
    <row r="3771" spans="2:3" x14ac:dyDescent="0.35">
      <c r="B3771" s="87">
        <v>45016</v>
      </c>
      <c r="C3771" s="22">
        <v>544.9</v>
      </c>
    </row>
    <row r="3772" spans="2:3" x14ac:dyDescent="0.35">
      <c r="B3772" s="87">
        <v>45019</v>
      </c>
      <c r="C3772" s="22">
        <v>547.6</v>
      </c>
    </row>
    <row r="3773" spans="2:3" x14ac:dyDescent="0.35">
      <c r="B3773" s="87">
        <v>45021</v>
      </c>
      <c r="C3773" s="22">
        <v>548.04999999999995</v>
      </c>
    </row>
    <row r="3774" spans="2:3" x14ac:dyDescent="0.35">
      <c r="B3774" s="87">
        <v>45022</v>
      </c>
      <c r="C3774" s="22">
        <v>525.9</v>
      </c>
    </row>
    <row r="3775" spans="2:3" x14ac:dyDescent="0.35">
      <c r="B3775" s="87">
        <v>45026</v>
      </c>
      <c r="C3775" s="22">
        <v>523.20000000000005</v>
      </c>
    </row>
    <row r="3776" spans="2:3" x14ac:dyDescent="0.35">
      <c r="B3776" s="87">
        <v>45027</v>
      </c>
      <c r="C3776" s="22">
        <v>521.85</v>
      </c>
    </row>
    <row r="3777" spans="2:3" x14ac:dyDescent="0.35">
      <c r="B3777" s="87">
        <v>45028</v>
      </c>
      <c r="C3777" s="22">
        <v>517.65</v>
      </c>
    </row>
    <row r="3778" spans="2:3" x14ac:dyDescent="0.35">
      <c r="B3778" s="87">
        <v>45029</v>
      </c>
      <c r="C3778" s="22">
        <v>527.15</v>
      </c>
    </row>
    <row r="3779" spans="2:3" x14ac:dyDescent="0.35">
      <c r="B3779" s="87">
        <v>45033</v>
      </c>
      <c r="C3779" s="22">
        <v>524.1</v>
      </c>
    </row>
    <row r="3780" spans="2:3" x14ac:dyDescent="0.35">
      <c r="B3780" s="87">
        <v>45034</v>
      </c>
      <c r="C3780" s="22">
        <v>520.9</v>
      </c>
    </row>
    <row r="3781" spans="2:3" x14ac:dyDescent="0.35">
      <c r="B3781" s="87">
        <v>45035</v>
      </c>
      <c r="C3781" s="22">
        <v>520.04999999999995</v>
      </c>
    </row>
    <row r="3782" spans="2:3" x14ac:dyDescent="0.35">
      <c r="B3782" s="87">
        <v>45036</v>
      </c>
      <c r="C3782" s="22">
        <v>525.29999999999995</v>
      </c>
    </row>
    <row r="3783" spans="2:3" x14ac:dyDescent="0.35">
      <c r="B3783" s="87">
        <v>45037</v>
      </c>
      <c r="C3783" s="22">
        <v>525.15</v>
      </c>
    </row>
    <row r="3784" spans="2:3" x14ac:dyDescent="0.35">
      <c r="B3784" s="87">
        <v>45040</v>
      </c>
      <c r="C3784" s="22">
        <v>524.85</v>
      </c>
    </row>
    <row r="3785" spans="2:3" x14ac:dyDescent="0.35">
      <c r="B3785" s="87">
        <v>45041</v>
      </c>
      <c r="C3785" s="22">
        <v>526.4</v>
      </c>
    </row>
    <row r="3786" spans="2:3" x14ac:dyDescent="0.35">
      <c r="B3786" s="87">
        <v>45042</v>
      </c>
      <c r="C3786" s="22">
        <v>533.65</v>
      </c>
    </row>
    <row r="3787" spans="2:3" x14ac:dyDescent="0.35">
      <c r="B3787" s="87">
        <v>45043</v>
      </c>
      <c r="C3787" s="22">
        <v>530.4</v>
      </c>
    </row>
    <row r="3788" spans="2:3" x14ac:dyDescent="0.35">
      <c r="B3788" s="87">
        <v>45044</v>
      </c>
      <c r="C3788" s="22">
        <v>532.9</v>
      </c>
    </row>
    <row r="3789" spans="2:3" x14ac:dyDescent="0.35">
      <c r="B3789" s="87">
        <v>45048</v>
      </c>
      <c r="C3789" s="22">
        <v>536.45000000000005</v>
      </c>
    </row>
    <row r="3790" spans="2:3" x14ac:dyDescent="0.35">
      <c r="B3790" s="87">
        <v>45049</v>
      </c>
      <c r="C3790" s="22">
        <v>537.95000000000005</v>
      </c>
    </row>
    <row r="3791" spans="2:3" x14ac:dyDescent="0.35">
      <c r="B3791" s="87">
        <v>45050</v>
      </c>
      <c r="C3791" s="22">
        <v>530.4</v>
      </c>
    </row>
    <row r="3792" spans="2:3" x14ac:dyDescent="0.35">
      <c r="B3792" s="87">
        <v>45051</v>
      </c>
      <c r="C3792" s="22">
        <v>505</v>
      </c>
    </row>
    <row r="3793" spans="2:3" x14ac:dyDescent="0.35">
      <c r="B3793" s="87">
        <v>45054</v>
      </c>
      <c r="C3793" s="22">
        <v>513.9</v>
      </c>
    </row>
    <row r="3794" spans="2:3" x14ac:dyDescent="0.35">
      <c r="B3794" s="87">
        <v>45055</v>
      </c>
      <c r="C3794" s="22">
        <v>517.9</v>
      </c>
    </row>
    <row r="3795" spans="2:3" x14ac:dyDescent="0.35">
      <c r="B3795" s="87">
        <v>45056</v>
      </c>
      <c r="C3795" s="22">
        <v>514.29999999999995</v>
      </c>
    </row>
    <row r="3796" spans="2:3" x14ac:dyDescent="0.35">
      <c r="B3796" s="87">
        <v>45057</v>
      </c>
      <c r="C3796" s="22">
        <v>520.20000000000005</v>
      </c>
    </row>
    <row r="3797" spans="2:3" x14ac:dyDescent="0.35">
      <c r="B3797" s="87">
        <v>45058</v>
      </c>
      <c r="C3797" s="22">
        <v>518.35</v>
      </c>
    </row>
    <row r="3798" spans="2:3" x14ac:dyDescent="0.35">
      <c r="B3798" s="87">
        <v>45061</v>
      </c>
      <c r="C3798" s="22">
        <v>533.04999999999995</v>
      </c>
    </row>
    <row r="3799" spans="2:3" x14ac:dyDescent="0.35">
      <c r="B3799" s="87">
        <v>45062</v>
      </c>
      <c r="C3799" s="22">
        <v>530.75</v>
      </c>
    </row>
    <row r="3800" spans="2:3" x14ac:dyDescent="0.35">
      <c r="B3800" s="87">
        <v>45063</v>
      </c>
      <c r="C3800" s="22">
        <v>523.95000000000005</v>
      </c>
    </row>
    <row r="3801" spans="2:3" x14ac:dyDescent="0.35">
      <c r="B3801" s="87">
        <v>45064</v>
      </c>
      <c r="C3801" s="22">
        <v>523.45000000000005</v>
      </c>
    </row>
    <row r="3802" spans="2:3" x14ac:dyDescent="0.35">
      <c r="B3802" s="87">
        <v>45065</v>
      </c>
      <c r="C3802" s="22">
        <v>519.1</v>
      </c>
    </row>
    <row r="3803" spans="2:3" x14ac:dyDescent="0.35">
      <c r="B3803" s="87">
        <v>45068</v>
      </c>
      <c r="C3803" s="22">
        <v>522.25</v>
      </c>
    </row>
    <row r="3804" spans="2:3" x14ac:dyDescent="0.35">
      <c r="B3804" s="87">
        <v>45069</v>
      </c>
      <c r="C3804" s="22">
        <v>525.75</v>
      </c>
    </row>
    <row r="3805" spans="2:3" x14ac:dyDescent="0.35">
      <c r="B3805" s="87">
        <v>45070</v>
      </c>
      <c r="C3805" s="22">
        <v>526.70000000000005</v>
      </c>
    </row>
    <row r="3806" spans="2:3" x14ac:dyDescent="0.35">
      <c r="B3806" s="87">
        <v>45071</v>
      </c>
      <c r="C3806" s="22">
        <v>530.15</v>
      </c>
    </row>
    <row r="3807" spans="2:3" x14ac:dyDescent="0.35">
      <c r="B3807" s="87">
        <v>45072</v>
      </c>
      <c r="C3807" s="22">
        <v>542.1</v>
      </c>
    </row>
    <row r="3808" spans="2:3" x14ac:dyDescent="0.35">
      <c r="B3808" s="87">
        <v>45075</v>
      </c>
      <c r="C3808" s="22">
        <v>548.35</v>
      </c>
    </row>
    <row r="3809" spans="2:3" x14ac:dyDescent="0.35">
      <c r="B3809" s="87">
        <v>45076</v>
      </c>
      <c r="C3809" s="22">
        <v>549.9</v>
      </c>
    </row>
    <row r="3810" spans="2:3" x14ac:dyDescent="0.35">
      <c r="B3810" s="87">
        <v>45077</v>
      </c>
      <c r="C3810" s="22">
        <v>555.4</v>
      </c>
    </row>
    <row r="3811" spans="2:3" x14ac:dyDescent="0.35">
      <c r="B3811" s="87">
        <v>45078</v>
      </c>
      <c r="C3811" s="22">
        <v>556.9</v>
      </c>
    </row>
    <row r="3812" spans="2:3" x14ac:dyDescent="0.35">
      <c r="B3812" s="87">
        <v>45079</v>
      </c>
      <c r="C3812" s="22">
        <v>557.20000000000005</v>
      </c>
    </row>
    <row r="3813" spans="2:3" x14ac:dyDescent="0.35">
      <c r="B3813" s="87">
        <v>45082</v>
      </c>
      <c r="C3813" s="22">
        <v>552.25</v>
      </c>
    </row>
    <row r="3814" spans="2:3" x14ac:dyDescent="0.35">
      <c r="B3814" s="87">
        <v>45083</v>
      </c>
      <c r="C3814" s="22">
        <v>547.5</v>
      </c>
    </row>
    <row r="3815" spans="2:3" x14ac:dyDescent="0.35">
      <c r="B3815" s="87">
        <v>45084</v>
      </c>
      <c r="C3815" s="22">
        <v>556.5</v>
      </c>
    </row>
    <row r="3816" spans="2:3" x14ac:dyDescent="0.35">
      <c r="B3816" s="87">
        <v>45085</v>
      </c>
      <c r="C3816" s="22">
        <v>552.1</v>
      </c>
    </row>
    <row r="3817" spans="2:3" x14ac:dyDescent="0.35">
      <c r="B3817" s="87">
        <v>45086</v>
      </c>
      <c r="C3817" s="22">
        <v>549.95000000000005</v>
      </c>
    </row>
    <row r="3818" spans="2:3" x14ac:dyDescent="0.35">
      <c r="B3818" s="87">
        <v>45089</v>
      </c>
      <c r="C3818" s="22">
        <v>553.6</v>
      </c>
    </row>
    <row r="3819" spans="2:3" x14ac:dyDescent="0.35">
      <c r="B3819" s="87">
        <v>45090</v>
      </c>
      <c r="C3819" s="22">
        <v>560.45000000000005</v>
      </c>
    </row>
    <row r="3820" spans="2:3" x14ac:dyDescent="0.35">
      <c r="B3820" s="87">
        <v>45091</v>
      </c>
      <c r="C3820" s="22">
        <v>562.35</v>
      </c>
    </row>
    <row r="3821" spans="2:3" x14ac:dyDescent="0.35">
      <c r="B3821" s="87">
        <v>45092</v>
      </c>
      <c r="C3821" s="22">
        <v>569.04999999999995</v>
      </c>
    </row>
    <row r="3822" spans="2:3" x14ac:dyDescent="0.35">
      <c r="B3822" s="87">
        <v>45093</v>
      </c>
      <c r="C3822" s="22">
        <v>570.9</v>
      </c>
    </row>
    <row r="3823" spans="2:3" x14ac:dyDescent="0.35">
      <c r="B3823" s="87">
        <v>45096</v>
      </c>
      <c r="C3823" s="22">
        <v>569.15</v>
      </c>
    </row>
    <row r="3824" spans="2:3" x14ac:dyDescent="0.35">
      <c r="B3824" s="87">
        <v>45097</v>
      </c>
      <c r="C3824" s="22">
        <v>572.1</v>
      </c>
    </row>
    <row r="3825" spans="2:3" x14ac:dyDescent="0.35">
      <c r="B3825" s="87">
        <v>45098</v>
      </c>
      <c r="C3825" s="22">
        <v>567.1</v>
      </c>
    </row>
    <row r="3826" spans="2:3" x14ac:dyDescent="0.35">
      <c r="B3826" s="87">
        <v>45099</v>
      </c>
      <c r="C3826" s="22">
        <v>562.65</v>
      </c>
    </row>
    <row r="3827" spans="2:3" x14ac:dyDescent="0.35">
      <c r="B3827" s="87">
        <v>45100</v>
      </c>
      <c r="C3827" s="22">
        <v>563.35</v>
      </c>
    </row>
    <row r="3828" spans="2:3" x14ac:dyDescent="0.35">
      <c r="B3828" s="87">
        <v>45103</v>
      </c>
      <c r="C3828" s="22">
        <v>569.54999999999995</v>
      </c>
    </row>
    <row r="3829" spans="2:3" x14ac:dyDescent="0.35">
      <c r="B3829" s="87">
        <v>45104</v>
      </c>
      <c r="C3829" s="22">
        <v>570.6</v>
      </c>
    </row>
    <row r="3830" spans="2:3" x14ac:dyDescent="0.35">
      <c r="B3830" s="87">
        <v>45105</v>
      </c>
      <c r="C3830" s="22">
        <v>574.1</v>
      </c>
    </row>
    <row r="3831" spans="2:3" x14ac:dyDescent="0.35">
      <c r="B3831" s="87">
        <v>45107</v>
      </c>
      <c r="C3831" s="22">
        <v>572.95000000000005</v>
      </c>
    </row>
    <row r="3832" spans="2:3" x14ac:dyDescent="0.35">
      <c r="B3832" s="87">
        <v>45110</v>
      </c>
      <c r="C3832" s="22">
        <v>582.25</v>
      </c>
    </row>
    <row r="3833" spans="2:3" x14ac:dyDescent="0.35">
      <c r="B3833" s="87">
        <v>45111</v>
      </c>
      <c r="C3833" s="22">
        <v>579.65</v>
      </c>
    </row>
    <row r="3834" spans="2:3" x14ac:dyDescent="0.35">
      <c r="B3834" s="87">
        <v>45112</v>
      </c>
      <c r="C3834" s="22">
        <v>592.45000000000005</v>
      </c>
    </row>
    <row r="3835" spans="2:3" x14ac:dyDescent="0.35">
      <c r="B3835" s="87">
        <v>45113</v>
      </c>
      <c r="C3835" s="22">
        <v>591.95000000000005</v>
      </c>
    </row>
    <row r="3836" spans="2:3" x14ac:dyDescent="0.35">
      <c r="B3836" s="87">
        <v>45114</v>
      </c>
      <c r="C3836" s="22">
        <v>572.20000000000005</v>
      </c>
    </row>
    <row r="3837" spans="2:3" x14ac:dyDescent="0.35">
      <c r="B3837" s="87">
        <v>45117</v>
      </c>
      <c r="C3837" s="22">
        <v>572.70000000000005</v>
      </c>
    </row>
    <row r="3838" spans="2:3" x14ac:dyDescent="0.35">
      <c r="B3838" s="87">
        <v>45118</v>
      </c>
      <c r="C3838" s="22">
        <v>581.65</v>
      </c>
    </row>
    <row r="3839" spans="2:3" x14ac:dyDescent="0.35">
      <c r="B3839" s="87">
        <v>45119</v>
      </c>
      <c r="C3839" s="22">
        <v>583.4</v>
      </c>
    </row>
    <row r="3840" spans="2:3" x14ac:dyDescent="0.35">
      <c r="B3840" s="87">
        <v>45120</v>
      </c>
      <c r="C3840" s="22">
        <v>577.70000000000005</v>
      </c>
    </row>
    <row r="3841" spans="2:3" x14ac:dyDescent="0.35">
      <c r="B3841" s="87">
        <v>45121</v>
      </c>
      <c r="C3841" s="22">
        <v>586.5</v>
      </c>
    </row>
    <row r="3842" spans="2:3" x14ac:dyDescent="0.35">
      <c r="B3842" s="87">
        <v>45124</v>
      </c>
      <c r="C3842" s="22">
        <v>582.25</v>
      </c>
    </row>
    <row r="3843" spans="2:3" x14ac:dyDescent="0.35">
      <c r="B3843" s="87">
        <v>45125</v>
      </c>
      <c r="C3843" s="22">
        <v>577</v>
      </c>
    </row>
    <row r="3844" spans="2:3" x14ac:dyDescent="0.35">
      <c r="B3844" s="87">
        <v>45126</v>
      </c>
      <c r="C3844" s="22">
        <v>574.54999999999995</v>
      </c>
    </row>
    <row r="3845" spans="2:3" x14ac:dyDescent="0.35">
      <c r="B3845" s="87">
        <v>45127</v>
      </c>
      <c r="C3845" s="22">
        <v>578.5</v>
      </c>
    </row>
    <row r="3846" spans="2:3" x14ac:dyDescent="0.35">
      <c r="B3846" s="87">
        <v>45128</v>
      </c>
      <c r="C3846" s="22">
        <v>565.20000000000005</v>
      </c>
    </row>
    <row r="3847" spans="2:3" x14ac:dyDescent="0.35">
      <c r="B3847" s="87">
        <v>45131</v>
      </c>
      <c r="C3847" s="22">
        <v>565.29999999999995</v>
      </c>
    </row>
    <row r="3848" spans="2:3" x14ac:dyDescent="0.35">
      <c r="B3848" s="87">
        <v>45132</v>
      </c>
      <c r="C3848" s="22">
        <v>568.35</v>
      </c>
    </row>
    <row r="3849" spans="2:3" x14ac:dyDescent="0.35">
      <c r="B3849" s="87">
        <v>45133</v>
      </c>
      <c r="C3849" s="22">
        <v>575</v>
      </c>
    </row>
    <row r="3850" spans="2:3" x14ac:dyDescent="0.35">
      <c r="B3850" s="87">
        <v>45134</v>
      </c>
      <c r="C3850" s="22">
        <v>573.79999999999995</v>
      </c>
    </row>
    <row r="3851" spans="2:3" x14ac:dyDescent="0.35">
      <c r="B3851" s="87">
        <v>45135</v>
      </c>
      <c r="C3851" s="22">
        <v>581.70000000000005</v>
      </c>
    </row>
    <row r="3852" spans="2:3" x14ac:dyDescent="0.35">
      <c r="B3852" s="87">
        <v>45138</v>
      </c>
      <c r="C3852" s="22">
        <v>575.6</v>
      </c>
    </row>
    <row r="3853" spans="2:3" x14ac:dyDescent="0.35">
      <c r="B3853" s="87">
        <v>45139</v>
      </c>
      <c r="C3853" s="22">
        <v>568.75</v>
      </c>
    </row>
    <row r="3854" spans="2:3" x14ac:dyDescent="0.35">
      <c r="B3854" s="87">
        <v>45140</v>
      </c>
      <c r="C3854" s="22">
        <v>565.65</v>
      </c>
    </row>
    <row r="3855" spans="2:3" x14ac:dyDescent="0.35">
      <c r="B3855" s="87">
        <v>45141</v>
      </c>
      <c r="C3855" s="22">
        <v>555.04999999999995</v>
      </c>
    </row>
    <row r="3856" spans="2:3" x14ac:dyDescent="0.35">
      <c r="B3856" s="87">
        <v>45142</v>
      </c>
      <c r="C3856" s="22">
        <v>569.70000000000005</v>
      </c>
    </row>
    <row r="3857" spans="2:3" x14ac:dyDescent="0.35">
      <c r="B3857" s="87">
        <v>45145</v>
      </c>
      <c r="C3857" s="22">
        <v>565.29999999999995</v>
      </c>
    </row>
    <row r="3858" spans="2:3" x14ac:dyDescent="0.35">
      <c r="B3858" s="87">
        <v>45146</v>
      </c>
      <c r="C3858" s="22">
        <v>562.4</v>
      </c>
    </row>
    <row r="3859" spans="2:3" x14ac:dyDescent="0.35">
      <c r="B3859" s="87">
        <v>45147</v>
      </c>
      <c r="C3859" s="22">
        <v>572.15</v>
      </c>
    </row>
    <row r="3860" spans="2:3" x14ac:dyDescent="0.35">
      <c r="B3860" s="87">
        <v>45148</v>
      </c>
      <c r="C3860" s="22">
        <v>571.54999999999995</v>
      </c>
    </row>
    <row r="3861" spans="2:3" x14ac:dyDescent="0.35">
      <c r="B3861" s="87">
        <v>45149</v>
      </c>
      <c r="C3861" s="22">
        <v>563.15</v>
      </c>
    </row>
    <row r="3862" spans="2:3" x14ac:dyDescent="0.35">
      <c r="B3862" s="87">
        <v>45152</v>
      </c>
      <c r="C3862" s="22">
        <v>564.85</v>
      </c>
    </row>
    <row r="3863" spans="2:3" x14ac:dyDescent="0.35">
      <c r="B3863" s="87">
        <v>45154</v>
      </c>
      <c r="C3863" s="22">
        <v>565.35</v>
      </c>
    </row>
    <row r="3864" spans="2:3" x14ac:dyDescent="0.35">
      <c r="B3864" s="87">
        <v>45155</v>
      </c>
      <c r="C3864" s="22">
        <v>561.20000000000005</v>
      </c>
    </row>
    <row r="3865" spans="2:3" x14ac:dyDescent="0.35">
      <c r="B3865" s="87">
        <v>45156</v>
      </c>
      <c r="C3865" s="22">
        <v>565.5</v>
      </c>
    </row>
    <row r="3866" spans="2:3" x14ac:dyDescent="0.35">
      <c r="B3866" s="87">
        <v>45159</v>
      </c>
      <c r="C3866" s="22">
        <v>567.75</v>
      </c>
    </row>
    <row r="3867" spans="2:3" x14ac:dyDescent="0.35">
      <c r="B3867" s="87">
        <v>45160</v>
      </c>
      <c r="C3867" s="22">
        <v>574.75</v>
      </c>
    </row>
    <row r="3868" spans="2:3" x14ac:dyDescent="0.35">
      <c r="B3868" s="87">
        <v>45161</v>
      </c>
      <c r="C3868" s="22">
        <v>567.29999999999995</v>
      </c>
    </row>
    <row r="3869" spans="2:3" x14ac:dyDescent="0.35">
      <c r="B3869" s="87">
        <v>45162</v>
      </c>
      <c r="C3869" s="22">
        <v>564.9</v>
      </c>
    </row>
    <row r="3870" spans="2:3" x14ac:dyDescent="0.35">
      <c r="B3870" s="87">
        <v>45163</v>
      </c>
      <c r="C3870" s="22">
        <v>558.04999999999995</v>
      </c>
    </row>
    <row r="3871" spans="2:3" x14ac:dyDescent="0.35">
      <c r="B3871" s="87">
        <v>45166</v>
      </c>
      <c r="C3871" s="22">
        <v>554.15</v>
      </c>
    </row>
    <row r="3872" spans="2:3" x14ac:dyDescent="0.35">
      <c r="B3872" s="87">
        <v>45167</v>
      </c>
      <c r="C3872" s="22">
        <v>550.15</v>
      </c>
    </row>
    <row r="3873" spans="2:3" x14ac:dyDescent="0.35">
      <c r="B3873" s="87">
        <v>45168</v>
      </c>
      <c r="C3873" s="22">
        <v>554.9</v>
      </c>
    </row>
    <row r="3874" spans="2:3" x14ac:dyDescent="0.35">
      <c r="B3874" s="87">
        <v>45169</v>
      </c>
      <c r="C3874" s="22">
        <v>553.1</v>
      </c>
    </row>
    <row r="3875" spans="2:3" x14ac:dyDescent="0.35">
      <c r="B3875" s="87">
        <v>45170</v>
      </c>
      <c r="C3875" s="22">
        <v>553.35</v>
      </c>
    </row>
    <row r="3876" spans="2:3" x14ac:dyDescent="0.35">
      <c r="B3876" s="87">
        <v>45173</v>
      </c>
      <c r="C3876" s="22">
        <v>557.9</v>
      </c>
    </row>
    <row r="3877" spans="2:3" x14ac:dyDescent="0.35">
      <c r="B3877" s="87">
        <v>45174</v>
      </c>
      <c r="C3877" s="22">
        <v>559.85</v>
      </c>
    </row>
    <row r="3878" spans="2:3" x14ac:dyDescent="0.35">
      <c r="B3878" s="87">
        <v>45175</v>
      </c>
      <c r="C3878" s="22">
        <v>561.54999999999995</v>
      </c>
    </row>
    <row r="3879" spans="2:3" x14ac:dyDescent="0.35">
      <c r="B3879" s="87">
        <v>45176</v>
      </c>
      <c r="C3879" s="22">
        <v>566</v>
      </c>
    </row>
    <row r="3880" spans="2:3" x14ac:dyDescent="0.35">
      <c r="B3880" s="87">
        <v>45177</v>
      </c>
      <c r="C3880" s="22">
        <v>567.1</v>
      </c>
    </row>
    <row r="3881" spans="2:3" x14ac:dyDescent="0.35">
      <c r="B3881" s="87">
        <v>45180</v>
      </c>
      <c r="C3881" s="22">
        <v>569.70000000000005</v>
      </c>
    </row>
    <row r="3882" spans="2:3" x14ac:dyDescent="0.35">
      <c r="B3882" s="87">
        <v>45181</v>
      </c>
      <c r="C3882" s="22">
        <v>565.70000000000005</v>
      </c>
    </row>
    <row r="3883" spans="2:3" x14ac:dyDescent="0.35">
      <c r="B3883" s="87">
        <v>45182</v>
      </c>
      <c r="C3883" s="22">
        <v>565.5</v>
      </c>
    </row>
    <row r="3884" spans="2:3" x14ac:dyDescent="0.35">
      <c r="B3884" s="87">
        <v>45183</v>
      </c>
      <c r="C3884" s="22">
        <v>567.45000000000005</v>
      </c>
    </row>
    <row r="3885" spans="2:3" x14ac:dyDescent="0.35">
      <c r="B3885" s="87">
        <v>45184</v>
      </c>
      <c r="C3885" s="22">
        <v>565.5</v>
      </c>
    </row>
    <row r="3886" spans="2:3" x14ac:dyDescent="0.35">
      <c r="B3886" s="87">
        <v>45187</v>
      </c>
      <c r="C3886" s="22">
        <v>565.65</v>
      </c>
    </row>
    <row r="3887" spans="2:3" x14ac:dyDescent="0.35">
      <c r="B3887" s="87">
        <v>45189</v>
      </c>
      <c r="C3887" s="22">
        <v>561.15</v>
      </c>
    </row>
    <row r="3888" spans="2:3" x14ac:dyDescent="0.35">
      <c r="B3888" s="87">
        <v>45190</v>
      </c>
      <c r="C3888" s="22">
        <v>560.15</v>
      </c>
    </row>
    <row r="3889" spans="2:3" x14ac:dyDescent="0.35">
      <c r="B3889" s="87">
        <v>45191</v>
      </c>
      <c r="C3889" s="22">
        <v>561.29999999999995</v>
      </c>
    </row>
    <row r="3890" spans="2:3" x14ac:dyDescent="0.35">
      <c r="B3890" s="87">
        <v>45194</v>
      </c>
      <c r="C3890" s="22">
        <v>554.29999999999995</v>
      </c>
    </row>
    <row r="3891" spans="2:3" x14ac:dyDescent="0.35">
      <c r="B3891" s="87">
        <v>45195</v>
      </c>
      <c r="C3891" s="22">
        <v>555.45000000000005</v>
      </c>
    </row>
    <row r="3892" spans="2:3" x14ac:dyDescent="0.35">
      <c r="B3892" s="87">
        <v>45196</v>
      </c>
      <c r="C3892" s="22">
        <v>561</v>
      </c>
    </row>
    <row r="3893" spans="2:3" x14ac:dyDescent="0.35">
      <c r="B3893" s="87">
        <v>45197</v>
      </c>
      <c r="C3893" s="22">
        <v>547.25</v>
      </c>
    </row>
    <row r="3894" spans="2:3" x14ac:dyDescent="0.35">
      <c r="B3894" s="87">
        <v>45198</v>
      </c>
      <c r="C3894" s="22">
        <v>551.6</v>
      </c>
    </row>
    <row r="3895" spans="2:3" x14ac:dyDescent="0.35">
      <c r="B3895" s="87">
        <v>45202</v>
      </c>
      <c r="C3895" s="22">
        <v>553.6</v>
      </c>
    </row>
    <row r="3896" spans="2:3" x14ac:dyDescent="0.35">
      <c r="B3896" s="87">
        <v>45203</v>
      </c>
      <c r="C3896" s="22">
        <v>555.35</v>
      </c>
    </row>
    <row r="3897" spans="2:3" x14ac:dyDescent="0.35">
      <c r="B3897" s="87">
        <v>45204</v>
      </c>
      <c r="C3897" s="22">
        <v>550.75</v>
      </c>
    </row>
    <row r="3898" spans="2:3" x14ac:dyDescent="0.35">
      <c r="B3898" s="87">
        <v>45205</v>
      </c>
      <c r="C3898" s="22">
        <v>547.15</v>
      </c>
    </row>
    <row r="3899" spans="2:3" x14ac:dyDescent="0.35">
      <c r="B3899" s="87">
        <v>45208</v>
      </c>
      <c r="C3899" s="22">
        <v>541.75</v>
      </c>
    </row>
    <row r="3900" spans="2:3" x14ac:dyDescent="0.35">
      <c r="B3900" s="87">
        <v>45209</v>
      </c>
      <c r="C3900" s="22">
        <v>543.85</v>
      </c>
    </row>
    <row r="3901" spans="2:3" x14ac:dyDescent="0.35">
      <c r="B3901" s="87">
        <v>45210</v>
      </c>
      <c r="C3901" s="22">
        <v>543.75</v>
      </c>
    </row>
    <row r="3902" spans="2:3" x14ac:dyDescent="0.35">
      <c r="B3902" s="87">
        <v>45211</v>
      </c>
      <c r="C3902" s="22">
        <v>541</v>
      </c>
    </row>
    <row r="3903" spans="2:3" x14ac:dyDescent="0.35">
      <c r="B3903" s="87">
        <v>45212</v>
      </c>
      <c r="C3903" s="22">
        <v>538.85</v>
      </c>
    </row>
    <row r="3904" spans="2:3" x14ac:dyDescent="0.35">
      <c r="B3904" s="87">
        <v>45215</v>
      </c>
      <c r="C3904" s="22">
        <v>536.95000000000005</v>
      </c>
    </row>
    <row r="3905" spans="2:3" x14ac:dyDescent="0.35">
      <c r="B3905" s="87">
        <v>45216</v>
      </c>
      <c r="C3905" s="22">
        <v>540.25</v>
      </c>
    </row>
    <row r="3906" spans="2:3" x14ac:dyDescent="0.35">
      <c r="B3906" s="87">
        <v>45217</v>
      </c>
      <c r="C3906" s="22">
        <v>534</v>
      </c>
    </row>
    <row r="3907" spans="2:3" x14ac:dyDescent="0.35">
      <c r="B3907" s="87">
        <v>45218</v>
      </c>
      <c r="C3907" s="22">
        <v>525.65</v>
      </c>
    </row>
    <row r="3908" spans="2:3" x14ac:dyDescent="0.35">
      <c r="B3908" s="87">
        <v>45219</v>
      </c>
      <c r="C3908" s="22">
        <v>524.79999999999995</v>
      </c>
    </row>
    <row r="3909" spans="2:3" x14ac:dyDescent="0.35">
      <c r="B3909" s="87">
        <v>45222</v>
      </c>
      <c r="C3909" s="22">
        <v>521.35</v>
      </c>
    </row>
    <row r="3910" spans="2:3" x14ac:dyDescent="0.35">
      <c r="B3910" s="87">
        <v>45224</v>
      </c>
      <c r="C3910" s="22">
        <v>517.9</v>
      </c>
    </row>
    <row r="3911" spans="2:3" x14ac:dyDescent="0.35">
      <c r="B3911" s="87">
        <v>45225</v>
      </c>
      <c r="C3911" s="22">
        <v>508.45</v>
      </c>
    </row>
    <row r="3912" spans="2:3" x14ac:dyDescent="0.35">
      <c r="B3912" s="87">
        <v>45226</v>
      </c>
      <c r="C3912" s="22">
        <v>524.54999999999995</v>
      </c>
    </row>
    <row r="3913" spans="2:3" x14ac:dyDescent="0.35">
      <c r="B3913" s="87">
        <v>45229</v>
      </c>
      <c r="C3913" s="22">
        <v>523.45000000000005</v>
      </c>
    </row>
    <row r="3914" spans="2:3" x14ac:dyDescent="0.35">
      <c r="B3914" s="87">
        <v>45230</v>
      </c>
      <c r="C3914" s="22">
        <v>528.9</v>
      </c>
    </row>
    <row r="3915" spans="2:3" x14ac:dyDescent="0.35">
      <c r="B3915" s="87">
        <v>45231</v>
      </c>
      <c r="C3915" s="22">
        <v>517.1</v>
      </c>
    </row>
    <row r="3916" spans="2:3" x14ac:dyDescent="0.35">
      <c r="B3916" s="87">
        <v>45232</v>
      </c>
      <c r="C3916" s="22">
        <v>530.4</v>
      </c>
    </row>
    <row r="3917" spans="2:3" x14ac:dyDescent="0.35">
      <c r="B3917" s="87">
        <v>45233</v>
      </c>
      <c r="C3917" s="22">
        <v>535.5</v>
      </c>
    </row>
    <row r="3918" spans="2:3" x14ac:dyDescent="0.35">
      <c r="B3918" s="87">
        <v>45236</v>
      </c>
      <c r="C3918" s="22">
        <v>537.95000000000005</v>
      </c>
    </row>
    <row r="3919" spans="2:3" x14ac:dyDescent="0.35">
      <c r="B3919" s="87">
        <v>45237</v>
      </c>
      <c r="C3919" s="22">
        <v>536.1</v>
      </c>
    </row>
    <row r="3920" spans="2:3" x14ac:dyDescent="0.35">
      <c r="B3920" s="87">
        <v>45238</v>
      </c>
      <c r="C3920" s="22">
        <v>539.25</v>
      </c>
    </row>
    <row r="3921" spans="2:3" x14ac:dyDescent="0.35">
      <c r="B3921" s="87">
        <v>45239</v>
      </c>
      <c r="C3921" s="22">
        <v>534.85</v>
      </c>
    </row>
    <row r="3922" spans="2:3" x14ac:dyDescent="0.35">
      <c r="B3922" s="87">
        <v>45240</v>
      </c>
      <c r="C3922" s="22">
        <v>533.35</v>
      </c>
    </row>
    <row r="3923" spans="2:3" x14ac:dyDescent="0.35">
      <c r="B3923" s="87">
        <v>45242</v>
      </c>
      <c r="C3923" s="22">
        <v>535.6</v>
      </c>
    </row>
    <row r="3924" spans="2:3" x14ac:dyDescent="0.35">
      <c r="B3924" s="87">
        <v>45243</v>
      </c>
      <c r="C3924" s="22">
        <v>530.1</v>
      </c>
    </row>
    <row r="3925" spans="2:3" x14ac:dyDescent="0.35">
      <c r="B3925" s="87">
        <v>45245</v>
      </c>
      <c r="C3925" s="22">
        <v>526</v>
      </c>
    </row>
    <row r="3926" spans="2:3" x14ac:dyDescent="0.35">
      <c r="B3926" s="87">
        <v>45246</v>
      </c>
      <c r="C3926" s="22">
        <v>534.9</v>
      </c>
    </row>
    <row r="3927" spans="2:3" x14ac:dyDescent="0.35">
      <c r="B3927" s="87">
        <v>45247</v>
      </c>
      <c r="C3927" s="22">
        <v>540.70000000000005</v>
      </c>
    </row>
    <row r="3928" spans="2:3" x14ac:dyDescent="0.35">
      <c r="B3928" s="87">
        <v>45250</v>
      </c>
      <c r="C3928" s="22">
        <v>543.20000000000005</v>
      </c>
    </row>
    <row r="3929" spans="2:3" x14ac:dyDescent="0.35">
      <c r="B3929" s="87">
        <v>45251</v>
      </c>
      <c r="C3929" s="22">
        <v>540.85</v>
      </c>
    </row>
    <row r="3930" spans="2:3" x14ac:dyDescent="0.35">
      <c r="B3930" s="87">
        <v>45252</v>
      </c>
      <c r="C3930" s="22">
        <v>541</v>
      </c>
    </row>
    <row r="3931" spans="2:3" x14ac:dyDescent="0.35">
      <c r="B3931" s="87">
        <v>45253</v>
      </c>
      <c r="C3931" s="22">
        <v>540.35</v>
      </c>
    </row>
    <row r="3932" spans="2:3" x14ac:dyDescent="0.35">
      <c r="B3932" s="87">
        <v>45254</v>
      </c>
      <c r="C3932" s="22">
        <v>537.35</v>
      </c>
    </row>
    <row r="3933" spans="2:3" x14ac:dyDescent="0.35">
      <c r="B3933" s="87">
        <v>45258</v>
      </c>
      <c r="C3933" s="22">
        <v>533.79999999999995</v>
      </c>
    </row>
    <row r="3934" spans="2:3" x14ac:dyDescent="0.35">
      <c r="B3934" s="87">
        <v>45259</v>
      </c>
      <c r="C3934" s="22">
        <v>534.6</v>
      </c>
    </row>
    <row r="3935" spans="2:3" x14ac:dyDescent="0.35">
      <c r="B3935" s="87">
        <v>45260</v>
      </c>
      <c r="C3935" s="22">
        <v>538.04999999999995</v>
      </c>
    </row>
    <row r="3936" spans="2:3" x14ac:dyDescent="0.35">
      <c r="B3936" s="87">
        <v>45261</v>
      </c>
      <c r="C3936" s="22">
        <v>541.15</v>
      </c>
    </row>
    <row r="3937" spans="2:3" x14ac:dyDescent="0.35">
      <c r="B3937" s="87">
        <v>45264</v>
      </c>
      <c r="C3937" s="22">
        <v>547</v>
      </c>
    </row>
    <row r="3938" spans="2:3" x14ac:dyDescent="0.35">
      <c r="B3938" s="87">
        <v>45265</v>
      </c>
      <c r="C3938" s="22">
        <v>552</v>
      </c>
    </row>
    <row r="3939" spans="2:3" x14ac:dyDescent="0.35">
      <c r="B3939" s="87">
        <v>45266</v>
      </c>
      <c r="C3939" s="22">
        <v>550.04999999999995</v>
      </c>
    </row>
    <row r="3940" spans="2:3" x14ac:dyDescent="0.35">
      <c r="B3940" s="87">
        <v>45267</v>
      </c>
      <c r="C3940" s="22">
        <v>545.79999999999995</v>
      </c>
    </row>
    <row r="3941" spans="2:3" x14ac:dyDescent="0.35">
      <c r="B3941" s="87">
        <v>45268</v>
      </c>
      <c r="C3941" s="22">
        <v>547.5</v>
      </c>
    </row>
    <row r="3942" spans="2:3" x14ac:dyDescent="0.35">
      <c r="B3942" s="87">
        <v>45271</v>
      </c>
      <c r="C3942" s="22">
        <v>550.5</v>
      </c>
    </row>
    <row r="3943" spans="2:3" x14ac:dyDescent="0.35">
      <c r="B3943" s="87">
        <v>45272</v>
      </c>
      <c r="C3943" s="22">
        <v>549</v>
      </c>
    </row>
    <row r="3944" spans="2:3" x14ac:dyDescent="0.35">
      <c r="B3944" s="87">
        <v>45273</v>
      </c>
      <c r="C3944" s="22">
        <v>547.54999999999995</v>
      </c>
    </row>
    <row r="3945" spans="2:3" x14ac:dyDescent="0.35">
      <c r="B3945" s="87">
        <v>45274</v>
      </c>
      <c r="C3945" s="22">
        <v>547.45000000000005</v>
      </c>
    </row>
    <row r="3946" spans="2:3" x14ac:dyDescent="0.35">
      <c r="B3946" s="87">
        <v>45275</v>
      </c>
      <c r="C3946" s="22">
        <v>539.70000000000005</v>
      </c>
    </row>
    <row r="3947" spans="2:3" x14ac:dyDescent="0.35">
      <c r="B3947" s="87">
        <v>45278</v>
      </c>
      <c r="C3947" s="22">
        <v>540.5</v>
      </c>
    </row>
    <row r="3948" spans="2:3" x14ac:dyDescent="0.35">
      <c r="B3948" s="87">
        <v>45279</v>
      </c>
      <c r="C3948" s="22">
        <v>548.20000000000005</v>
      </c>
    </row>
    <row r="3949" spans="2:3" x14ac:dyDescent="0.35">
      <c r="B3949" s="87">
        <v>45280</v>
      </c>
      <c r="C3949" s="22">
        <v>534.95000000000005</v>
      </c>
    </row>
    <row r="3950" spans="2:3" x14ac:dyDescent="0.35">
      <c r="B3950" s="87">
        <v>45281</v>
      </c>
      <c r="C3950" s="22">
        <v>530.25</v>
      </c>
    </row>
    <row r="3951" spans="2:3" x14ac:dyDescent="0.35">
      <c r="B3951" s="87">
        <v>45282</v>
      </c>
      <c r="C3951" s="22">
        <v>529.29999999999995</v>
      </c>
    </row>
    <row r="3952" spans="2:3" x14ac:dyDescent="0.35">
      <c r="B3952" s="87">
        <v>45286</v>
      </c>
      <c r="C3952" s="22">
        <v>530.6</v>
      </c>
    </row>
    <row r="3953" spans="2:3" x14ac:dyDescent="0.35">
      <c r="B3953" s="87">
        <v>45287</v>
      </c>
      <c r="C3953" s="22">
        <v>534.35</v>
      </c>
    </row>
    <row r="3954" spans="2:3" x14ac:dyDescent="0.35">
      <c r="B3954" s="87">
        <v>45288</v>
      </c>
      <c r="C3954" s="22">
        <v>543.1</v>
      </c>
    </row>
    <row r="3955" spans="2:3" x14ac:dyDescent="0.35">
      <c r="B3955" s="87">
        <v>45289</v>
      </c>
      <c r="C3955" s="22">
        <v>557.20000000000005</v>
      </c>
    </row>
    <row r="3956" spans="2:3" x14ac:dyDescent="0.35">
      <c r="B3956" s="87">
        <v>45292</v>
      </c>
      <c r="C3956" s="22">
        <v>557.45000000000005</v>
      </c>
    </row>
    <row r="3957" spans="2:3" x14ac:dyDescent="0.35">
      <c r="B3957" s="87">
        <v>45293</v>
      </c>
      <c r="C3957" s="22">
        <v>556.85</v>
      </c>
    </row>
    <row r="3958" spans="2:3" x14ac:dyDescent="0.35">
      <c r="B3958" s="87">
        <v>45294</v>
      </c>
      <c r="C3958" s="22">
        <v>551.1</v>
      </c>
    </row>
    <row r="3959" spans="2:3" x14ac:dyDescent="0.35">
      <c r="B3959" s="87">
        <v>45295</v>
      </c>
      <c r="C3959" s="22">
        <v>566.25</v>
      </c>
    </row>
    <row r="3960" spans="2:3" x14ac:dyDescent="0.35">
      <c r="B3960" s="87">
        <v>45296</v>
      </c>
      <c r="C3960" s="22">
        <v>569.04999999999995</v>
      </c>
    </row>
    <row r="3961" spans="2:3" x14ac:dyDescent="0.35">
      <c r="B3961" s="87">
        <v>45299</v>
      </c>
      <c r="C3961" s="22">
        <v>553.25</v>
      </c>
    </row>
    <row r="3962" spans="2:3" x14ac:dyDescent="0.35">
      <c r="B3962" s="87">
        <v>45300</v>
      </c>
      <c r="C3962" s="22">
        <v>547.85</v>
      </c>
    </row>
    <row r="3963" spans="2:3" x14ac:dyDescent="0.35">
      <c r="B3963" s="87">
        <v>45301</v>
      </c>
      <c r="C3963" s="22">
        <v>547.35</v>
      </c>
    </row>
    <row r="3964" spans="2:3" x14ac:dyDescent="0.35">
      <c r="B3964" s="87">
        <v>45302</v>
      </c>
      <c r="C3964" s="22">
        <v>552</v>
      </c>
    </row>
    <row r="3965" spans="2:3" x14ac:dyDescent="0.35">
      <c r="B3965" s="87">
        <v>45303</v>
      </c>
      <c r="C3965" s="22">
        <v>549.70000000000005</v>
      </c>
    </row>
    <row r="3966" spans="2:3" x14ac:dyDescent="0.35">
      <c r="B3966" s="87">
        <v>45306</v>
      </c>
      <c r="C3966" s="22">
        <v>554.15</v>
      </c>
    </row>
    <row r="3967" spans="2:3" x14ac:dyDescent="0.35">
      <c r="B3967" s="87">
        <v>45307</v>
      </c>
      <c r="C3967" s="22">
        <v>558.79999999999995</v>
      </c>
    </row>
    <row r="3968" spans="2:3" x14ac:dyDescent="0.35">
      <c r="B3968" s="87">
        <v>45308</v>
      </c>
      <c r="C3968" s="22">
        <v>549.45000000000005</v>
      </c>
    </row>
    <row r="3969" spans="2:3" x14ac:dyDescent="0.35">
      <c r="B3969" s="87">
        <v>45309</v>
      </c>
      <c r="C3969" s="22">
        <v>539.45000000000005</v>
      </c>
    </row>
    <row r="3970" spans="2:3" x14ac:dyDescent="0.35">
      <c r="B3970" s="87">
        <v>45310</v>
      </c>
      <c r="C3970" s="22">
        <v>542.29999999999995</v>
      </c>
    </row>
    <row r="3971" spans="2:3" x14ac:dyDescent="0.35">
      <c r="B3971" s="87">
        <v>45311</v>
      </c>
      <c r="C3971" s="22">
        <v>538.4</v>
      </c>
    </row>
    <row r="3972" spans="2:3" x14ac:dyDescent="0.35">
      <c r="B3972" s="87">
        <v>45314</v>
      </c>
      <c r="C3972" s="22">
        <v>524.79999999999995</v>
      </c>
    </row>
    <row r="3973" spans="2:3" x14ac:dyDescent="0.35">
      <c r="B3973" s="87">
        <v>45315</v>
      </c>
      <c r="C3973" s="22">
        <v>536.6</v>
      </c>
    </row>
    <row r="3974" spans="2:3" x14ac:dyDescent="0.35">
      <c r="B3974" s="87">
        <v>45316</v>
      </c>
      <c r="C3974" s="22">
        <v>531.6</v>
      </c>
    </row>
    <row r="3975" spans="2:3" x14ac:dyDescent="0.35">
      <c r="B3975" s="87">
        <v>45320</v>
      </c>
      <c r="C3975" s="22">
        <v>534.25</v>
      </c>
    </row>
    <row r="3976" spans="2:3" x14ac:dyDescent="0.35">
      <c r="B3976" s="87">
        <v>45321</v>
      </c>
      <c r="C3976" s="22">
        <v>535.95000000000005</v>
      </c>
    </row>
    <row r="3977" spans="2:3" x14ac:dyDescent="0.35">
      <c r="B3977" s="87">
        <v>45322</v>
      </c>
      <c r="C3977" s="22">
        <v>539.6</v>
      </c>
    </row>
    <row r="3978" spans="2:3" x14ac:dyDescent="0.35">
      <c r="B3978" s="87">
        <v>45323</v>
      </c>
      <c r="C3978" s="22">
        <v>554.4</v>
      </c>
    </row>
    <row r="3979" spans="2:3" x14ac:dyDescent="0.35">
      <c r="B3979" s="87">
        <v>45324</v>
      </c>
      <c r="C3979" s="22">
        <v>544.65</v>
      </c>
    </row>
    <row r="3980" spans="2:3" x14ac:dyDescent="0.35">
      <c r="B3980" s="87">
        <v>45327</v>
      </c>
      <c r="C3980" s="22">
        <v>533.65</v>
      </c>
    </row>
    <row r="3981" spans="2:3" x14ac:dyDescent="0.35">
      <c r="B3981" s="87">
        <v>45328</v>
      </c>
      <c r="C3981" s="22">
        <v>532.70000000000005</v>
      </c>
    </row>
    <row r="3982" spans="2:3" x14ac:dyDescent="0.35">
      <c r="B3982" s="87">
        <v>45329</v>
      </c>
      <c r="C3982" s="22">
        <v>537.4</v>
      </c>
    </row>
    <row r="3983" spans="2:3" x14ac:dyDescent="0.35">
      <c r="B3983" s="87">
        <v>45330</v>
      </c>
      <c r="C3983" s="22">
        <v>533.95000000000005</v>
      </c>
    </row>
    <row r="3984" spans="2:3" x14ac:dyDescent="0.35">
      <c r="B3984" s="87">
        <v>45331</v>
      </c>
      <c r="C3984" s="22">
        <v>539.20000000000005</v>
      </c>
    </row>
    <row r="3985" spans="2:3" x14ac:dyDescent="0.35">
      <c r="B3985" s="87">
        <v>45334</v>
      </c>
      <c r="C3985" s="22">
        <v>536.54999999999995</v>
      </c>
    </row>
    <row r="3986" spans="2:3" x14ac:dyDescent="0.35">
      <c r="B3986" s="87">
        <v>45335</v>
      </c>
      <c r="C3986" s="22">
        <v>538.75</v>
      </c>
    </row>
    <row r="3987" spans="2:3" x14ac:dyDescent="0.35">
      <c r="B3987" s="87">
        <v>45336</v>
      </c>
      <c r="C3987" s="22">
        <v>544.29999999999995</v>
      </c>
    </row>
    <row r="3988" spans="2:3" x14ac:dyDescent="0.35">
      <c r="B3988" s="87">
        <v>45337</v>
      </c>
      <c r="C3988" s="22">
        <v>544.20000000000005</v>
      </c>
    </row>
    <row r="3989" spans="2:3" x14ac:dyDescent="0.35">
      <c r="B3989" s="87">
        <v>45338</v>
      </c>
      <c r="C3989" s="22">
        <v>544.5</v>
      </c>
    </row>
    <row r="3990" spans="2:3" x14ac:dyDescent="0.35">
      <c r="B3990" s="87">
        <v>45341</v>
      </c>
      <c r="C3990" s="22">
        <v>547.65</v>
      </c>
    </row>
    <row r="3991" spans="2:3" x14ac:dyDescent="0.35">
      <c r="B3991" s="87">
        <v>45342</v>
      </c>
      <c r="C3991" s="22">
        <v>547.54999999999995</v>
      </c>
    </row>
    <row r="3992" spans="2:3" x14ac:dyDescent="0.35">
      <c r="B3992" s="87">
        <v>45343</v>
      </c>
      <c r="C3992" s="22">
        <v>546.29999999999995</v>
      </c>
    </row>
    <row r="3993" spans="2:3" x14ac:dyDescent="0.35">
      <c r="B3993" s="87">
        <v>45344</v>
      </c>
      <c r="C3993" s="22">
        <v>541.6</v>
      </c>
    </row>
    <row r="3994" spans="2:3" x14ac:dyDescent="0.35">
      <c r="B3994" s="87">
        <v>45345</v>
      </c>
      <c r="C3994" s="22">
        <v>535.29999999999995</v>
      </c>
    </row>
    <row r="3995" spans="2:3" x14ac:dyDescent="0.35">
      <c r="B3995" s="87">
        <v>45348</v>
      </c>
      <c r="C3995" s="22">
        <v>529.25</v>
      </c>
    </row>
    <row r="3996" spans="2:3" x14ac:dyDescent="0.35">
      <c r="B3996" s="87">
        <v>45349</v>
      </c>
      <c r="C3996" s="22">
        <v>535.6</v>
      </c>
    </row>
    <row r="3997" spans="2:3" x14ac:dyDescent="0.35">
      <c r="B3997" s="87">
        <v>45350</v>
      </c>
      <c r="C3997" s="22">
        <v>536.25</v>
      </c>
    </row>
    <row r="3998" spans="2:3" x14ac:dyDescent="0.35">
      <c r="B3998" s="87">
        <v>45351</v>
      </c>
      <c r="C3998" s="22">
        <v>538.15</v>
      </c>
    </row>
    <row r="3999" spans="2:3" x14ac:dyDescent="0.35">
      <c r="B3999" s="87">
        <v>45352</v>
      </c>
      <c r="C3999" s="22">
        <v>541.1</v>
      </c>
    </row>
    <row r="4000" spans="2:3" x14ac:dyDescent="0.35">
      <c r="B4000" s="87">
        <v>45353</v>
      </c>
      <c r="C4000" s="22">
        <v>538.6</v>
      </c>
    </row>
    <row r="4001" spans="2:3" x14ac:dyDescent="0.35">
      <c r="B4001" s="87">
        <v>45355</v>
      </c>
      <c r="C4001" s="22">
        <v>537.29999999999995</v>
      </c>
    </row>
    <row r="4002" spans="2:3" x14ac:dyDescent="0.35">
      <c r="B4002" s="87">
        <v>45356</v>
      </c>
      <c r="C4002" s="22">
        <v>534.75</v>
      </c>
    </row>
    <row r="4003" spans="2:3" x14ac:dyDescent="0.35">
      <c r="B4003" s="87">
        <v>45357</v>
      </c>
      <c r="C4003" s="22">
        <v>531.5</v>
      </c>
    </row>
    <row r="4004" spans="2:3" x14ac:dyDescent="0.35">
      <c r="B4004" s="87">
        <v>45358</v>
      </c>
      <c r="C4004" s="22">
        <v>535.25</v>
      </c>
    </row>
    <row r="4005" spans="2:3" x14ac:dyDescent="0.35">
      <c r="B4005" s="87">
        <v>45362</v>
      </c>
      <c r="C4005" s="22">
        <v>533.4</v>
      </c>
    </row>
    <row r="4006" spans="2:3" x14ac:dyDescent="0.35">
      <c r="B4006" s="87">
        <v>45363</v>
      </c>
      <c r="C4006" s="22">
        <v>529</v>
      </c>
    </row>
    <row r="4007" spans="2:3" x14ac:dyDescent="0.35">
      <c r="B4007" s="87">
        <v>45364</v>
      </c>
      <c r="C4007" s="22">
        <v>519.95000000000005</v>
      </c>
    </row>
    <row r="4008" spans="2:3" x14ac:dyDescent="0.35">
      <c r="B4008" s="87">
        <v>45365</v>
      </c>
      <c r="C4008" s="22">
        <v>529.65</v>
      </c>
    </row>
    <row r="4009" spans="2:3" x14ac:dyDescent="0.35">
      <c r="B4009" s="87">
        <v>45366</v>
      </c>
      <c r="C4009" s="22">
        <v>526.54999999999995</v>
      </c>
    </row>
    <row r="4010" spans="2:3" x14ac:dyDescent="0.35">
      <c r="B4010" s="87">
        <v>45369</v>
      </c>
      <c r="C4010" s="22">
        <v>523.6</v>
      </c>
    </row>
    <row r="4011" spans="2:3" x14ac:dyDescent="0.35">
      <c r="B4011" s="87">
        <v>45370</v>
      </c>
      <c r="C4011" s="22">
        <v>518.35</v>
      </c>
    </row>
    <row r="4012" spans="2:3" x14ac:dyDescent="0.35">
      <c r="B4012" s="87">
        <v>45371</v>
      </c>
      <c r="C4012" s="22">
        <v>520.20000000000005</v>
      </c>
    </row>
    <row r="4013" spans="2:3" x14ac:dyDescent="0.35">
      <c r="B4013" s="87">
        <v>45372</v>
      </c>
      <c r="C4013" s="22">
        <v>523.95000000000005</v>
      </c>
    </row>
    <row r="4014" spans="2:3" x14ac:dyDescent="0.35">
      <c r="B4014" s="87">
        <v>45373</v>
      </c>
      <c r="C4014" s="22">
        <v>520.79999999999995</v>
      </c>
    </row>
    <row r="4015" spans="2:3" x14ac:dyDescent="0.35">
      <c r="B4015" s="87">
        <v>45377</v>
      </c>
      <c r="C4015" s="22">
        <v>521.1</v>
      </c>
    </row>
    <row r="4016" spans="2:3" x14ac:dyDescent="0.35">
      <c r="B4016" s="87">
        <v>45378</v>
      </c>
      <c r="C4016" s="22">
        <v>521.65</v>
      </c>
    </row>
    <row r="4017" spans="2:3" x14ac:dyDescent="0.35">
      <c r="B4017" s="87">
        <v>45379</v>
      </c>
      <c r="C4017" s="22">
        <v>523.15</v>
      </c>
    </row>
    <row r="4018" spans="2:3" x14ac:dyDescent="0.35">
      <c r="B4018" s="87">
        <v>45383</v>
      </c>
      <c r="C4018" s="22">
        <v>529.15</v>
      </c>
    </row>
    <row r="4019" spans="2:3" x14ac:dyDescent="0.35">
      <c r="B4019" s="87">
        <v>45384</v>
      </c>
      <c r="C4019" s="22">
        <v>531.6</v>
      </c>
    </row>
    <row r="4020" spans="2:3" x14ac:dyDescent="0.35">
      <c r="B4020" s="87">
        <v>45385</v>
      </c>
      <c r="C4020" s="22">
        <v>531</v>
      </c>
    </row>
    <row r="4021" spans="2:3" x14ac:dyDescent="0.35">
      <c r="B4021" s="87">
        <v>45386</v>
      </c>
      <c r="C4021" s="22">
        <v>506.05</v>
      </c>
    </row>
    <row r="4022" spans="2:3" x14ac:dyDescent="0.35">
      <c r="B4022" s="87">
        <v>45387</v>
      </c>
      <c r="C4022" s="22">
        <v>507.9</v>
      </c>
    </row>
    <row r="4023" spans="2:3" x14ac:dyDescent="0.35">
      <c r="B4023" s="87">
        <v>45390</v>
      </c>
      <c r="C4023" s="22">
        <v>503.05</v>
      </c>
    </row>
    <row r="4024" spans="2:3" x14ac:dyDescent="0.35">
      <c r="B4024" s="87">
        <v>45391</v>
      </c>
      <c r="C4024" s="22">
        <v>503.15</v>
      </c>
    </row>
    <row r="4025" spans="2:3" x14ac:dyDescent="0.35">
      <c r="B4025" s="87">
        <v>45392</v>
      </c>
      <c r="C4025" s="22">
        <v>506.25</v>
      </c>
    </row>
    <row r="4026" spans="2:3" x14ac:dyDescent="0.35">
      <c r="B4026" s="87">
        <v>45394</v>
      </c>
      <c r="C4026" s="22">
        <v>500.6</v>
      </c>
    </row>
    <row r="4027" spans="2:3" x14ac:dyDescent="0.35">
      <c r="B4027" s="87">
        <v>45397</v>
      </c>
      <c r="C4027" s="22">
        <v>495.2</v>
      </c>
    </row>
    <row r="4028" spans="2:3" x14ac:dyDescent="0.35">
      <c r="B4028" s="87">
        <v>45398</v>
      </c>
      <c r="C4028" s="22">
        <v>503.9</v>
      </c>
    </row>
    <row r="4029" spans="2:3" x14ac:dyDescent="0.35">
      <c r="B4029" s="87">
        <v>45400</v>
      </c>
      <c r="C4029" s="22">
        <v>503.85</v>
      </c>
    </row>
    <row r="4030" spans="2:3" x14ac:dyDescent="0.35">
      <c r="B4030" s="87">
        <v>45401</v>
      </c>
      <c r="C4030" s="22">
        <v>504.2</v>
      </c>
    </row>
    <row r="4031" spans="2:3" x14ac:dyDescent="0.35">
      <c r="B4031" s="87">
        <v>45404</v>
      </c>
      <c r="C4031" s="22">
        <v>506.15</v>
      </c>
    </row>
    <row r="4032" spans="2:3" x14ac:dyDescent="0.35">
      <c r="B4032" s="87">
        <v>45405</v>
      </c>
      <c r="C4032" s="22">
        <v>507.15</v>
      </c>
    </row>
    <row r="4033" spans="2:3" x14ac:dyDescent="0.35">
      <c r="B4033" s="87">
        <v>45406</v>
      </c>
      <c r="C4033" s="22">
        <v>509.45</v>
      </c>
    </row>
    <row r="4034" spans="2:3" x14ac:dyDescent="0.35">
      <c r="B4034" s="87">
        <v>45407</v>
      </c>
      <c r="C4034" s="22">
        <v>506.45</v>
      </c>
    </row>
    <row r="4035" spans="2:3" x14ac:dyDescent="0.35">
      <c r="B4035" s="87">
        <v>45408</v>
      </c>
      <c r="C4035" s="22">
        <v>509</v>
      </c>
    </row>
    <row r="4036" spans="2:3" x14ac:dyDescent="0.35">
      <c r="B4036" s="87">
        <v>45411</v>
      </c>
      <c r="C4036" s="22">
        <v>506.7</v>
      </c>
    </row>
    <row r="4037" spans="2:3" x14ac:dyDescent="0.35">
      <c r="B4037" s="87">
        <v>45412</v>
      </c>
      <c r="C4037" s="22">
        <v>507.75</v>
      </c>
    </row>
    <row r="4038" spans="2:3" x14ac:dyDescent="0.35">
      <c r="B4038" s="87">
        <v>45414</v>
      </c>
      <c r="C4038" s="22">
        <v>525.29999999999995</v>
      </c>
    </row>
    <row r="4039" spans="2:3" x14ac:dyDescent="0.35">
      <c r="B4039" s="87">
        <v>45415</v>
      </c>
      <c r="C4039" s="22">
        <v>531.75</v>
      </c>
    </row>
    <row r="4040" spans="2:3" x14ac:dyDescent="0.35">
      <c r="B4040" s="87">
        <v>45418</v>
      </c>
      <c r="C4040" s="22">
        <v>530.79999999999995</v>
      </c>
    </row>
    <row r="4041" spans="2:3" x14ac:dyDescent="0.35">
      <c r="B4041" s="87">
        <v>45419</v>
      </c>
      <c r="C4041" s="22">
        <v>558.45000000000005</v>
      </c>
    </row>
    <row r="4042" spans="2:3" x14ac:dyDescent="0.35">
      <c r="B4042" s="87">
        <v>45420</v>
      </c>
      <c r="C4042" s="22">
        <v>556.6</v>
      </c>
    </row>
    <row r="4043" spans="2:3" x14ac:dyDescent="0.35">
      <c r="B4043" s="87">
        <v>45421</v>
      </c>
      <c r="C4043" s="22">
        <v>552.79999999999995</v>
      </c>
    </row>
    <row r="4044" spans="2:3" x14ac:dyDescent="0.35">
      <c r="B4044" s="87">
        <v>45422</v>
      </c>
      <c r="C4044" s="22">
        <v>550.79999999999995</v>
      </c>
    </row>
    <row r="4045" spans="2:3" x14ac:dyDescent="0.35">
      <c r="B4045" s="87">
        <v>45425</v>
      </c>
      <c r="C4045" s="22">
        <v>550.25</v>
      </c>
    </row>
    <row r="4046" spans="2:3" x14ac:dyDescent="0.35">
      <c r="B4046" s="87">
        <v>45426</v>
      </c>
      <c r="C4046" s="22">
        <v>554.54999999999995</v>
      </c>
    </row>
    <row r="4047" spans="2:3" x14ac:dyDescent="0.35">
      <c r="B4047" s="87">
        <v>45427</v>
      </c>
      <c r="C4047" s="22">
        <v>545.85</v>
      </c>
    </row>
    <row r="4048" spans="2:3" x14ac:dyDescent="0.35">
      <c r="B4048" s="87">
        <v>45428</v>
      </c>
      <c r="C4048" s="22">
        <v>542.04999999999995</v>
      </c>
    </row>
    <row r="4049" spans="2:3" x14ac:dyDescent="0.35">
      <c r="B4049" s="87">
        <v>45429</v>
      </c>
      <c r="C4049" s="22">
        <v>535.79999999999995</v>
      </c>
    </row>
    <row r="4050" spans="2:3" x14ac:dyDescent="0.35">
      <c r="B4050" s="87">
        <v>45430</v>
      </c>
      <c r="C4050" s="22">
        <v>540</v>
      </c>
    </row>
    <row r="4051" spans="2:3" x14ac:dyDescent="0.35">
      <c r="B4051" s="87">
        <v>45433</v>
      </c>
      <c r="C4051" s="22">
        <v>539.35</v>
      </c>
    </row>
    <row r="4052" spans="2:3" x14ac:dyDescent="0.35">
      <c r="B4052" s="87">
        <v>45434</v>
      </c>
      <c r="C4052" s="22">
        <v>554</v>
      </c>
    </row>
    <row r="4053" spans="2:3" x14ac:dyDescent="0.35">
      <c r="B4053" s="87">
        <v>45435</v>
      </c>
      <c r="C4053" s="22">
        <v>559.95000000000005</v>
      </c>
    </row>
    <row r="4054" spans="2:3" x14ac:dyDescent="0.35">
      <c r="B4054" s="87">
        <v>45436</v>
      </c>
      <c r="C4054" s="22">
        <v>558.1</v>
      </c>
    </row>
    <row r="4055" spans="2:3" x14ac:dyDescent="0.35">
      <c r="B4055" s="87">
        <v>45439</v>
      </c>
      <c r="C4055" s="22">
        <v>567.4</v>
      </c>
    </row>
    <row r="4056" spans="2:3" x14ac:dyDescent="0.35">
      <c r="B4056" s="87">
        <v>45440</v>
      </c>
      <c r="C4056" s="22">
        <v>570.79999999999995</v>
      </c>
    </row>
    <row r="4057" spans="2:3" x14ac:dyDescent="0.35">
      <c r="B4057" s="87">
        <v>45441</v>
      </c>
      <c r="C4057" s="22">
        <v>555.45000000000005</v>
      </c>
    </row>
    <row r="4058" spans="2:3" x14ac:dyDescent="0.35">
      <c r="B4058" s="87">
        <v>45442</v>
      </c>
      <c r="C4058" s="22">
        <v>551.15</v>
      </c>
    </row>
    <row r="4059" spans="2:3" x14ac:dyDescent="0.35">
      <c r="B4059" s="87">
        <v>45443</v>
      </c>
      <c r="C4059" s="22">
        <v>545.1</v>
      </c>
    </row>
    <row r="4060" spans="2:3" x14ac:dyDescent="0.35">
      <c r="B4060" s="87">
        <v>45446</v>
      </c>
      <c r="C4060" s="22">
        <v>544.79999999999995</v>
      </c>
    </row>
    <row r="4061" spans="2:3" x14ac:dyDescent="0.35">
      <c r="B4061" s="87">
        <v>45447</v>
      </c>
      <c r="C4061" s="22">
        <v>578.20000000000005</v>
      </c>
    </row>
    <row r="4062" spans="2:3" x14ac:dyDescent="0.35">
      <c r="B4062" s="87">
        <v>45448</v>
      </c>
      <c r="C4062" s="22">
        <v>600.25</v>
      </c>
    </row>
    <row r="4063" spans="2:3" x14ac:dyDescent="0.35">
      <c r="B4063" s="87">
        <v>45449</v>
      </c>
      <c r="C4063" s="22">
        <v>597.20000000000005</v>
      </c>
    </row>
    <row r="4064" spans="2:3" x14ac:dyDescent="0.35">
      <c r="B4064" s="87">
        <v>45450</v>
      </c>
      <c r="C4064" s="22">
        <v>613.1</v>
      </c>
    </row>
    <row r="4065" spans="2:3" x14ac:dyDescent="0.35">
      <c r="B4065" s="87">
        <v>45453</v>
      </c>
      <c r="C4065" s="22">
        <v>619.85</v>
      </c>
    </row>
    <row r="4066" spans="2:3" x14ac:dyDescent="0.35">
      <c r="B4066" s="87">
        <v>45454</v>
      </c>
      <c r="C4066" s="22">
        <v>613.45000000000005</v>
      </c>
    </row>
    <row r="4067" spans="2:3" x14ac:dyDescent="0.35">
      <c r="B4067" s="87">
        <v>45455</v>
      </c>
      <c r="C4067" s="22">
        <v>619.5</v>
      </c>
    </row>
    <row r="4068" spans="2:3" x14ac:dyDescent="0.35">
      <c r="B4068" s="87">
        <v>45456</v>
      </c>
      <c r="C4068" s="22">
        <v>609.65</v>
      </c>
    </row>
    <row r="4069" spans="2:3" x14ac:dyDescent="0.35">
      <c r="B4069" s="87">
        <v>45457</v>
      </c>
      <c r="C4069" s="22">
        <v>608.65</v>
      </c>
    </row>
    <row r="4070" spans="2:3" x14ac:dyDescent="0.35">
      <c r="B4070" s="87">
        <v>45461</v>
      </c>
      <c r="C4070" s="22">
        <v>600.20000000000005</v>
      </c>
    </row>
    <row r="4071" spans="2:3" x14ac:dyDescent="0.35">
      <c r="B4071" s="87">
        <v>45462</v>
      </c>
      <c r="C4071" s="22">
        <v>598.54999999999995</v>
      </c>
    </row>
    <row r="4072" spans="2:3" x14ac:dyDescent="0.35">
      <c r="B4072" s="87">
        <v>45463</v>
      </c>
      <c r="C4072" s="22">
        <v>600.75</v>
      </c>
    </row>
    <row r="4073" spans="2:3" x14ac:dyDescent="0.35">
      <c r="B4073" s="87">
        <v>45464</v>
      </c>
      <c r="C4073" s="22">
        <v>589.95000000000005</v>
      </c>
    </row>
    <row r="4074" spans="2:3" x14ac:dyDescent="0.35">
      <c r="B4074" s="87">
        <v>45467</v>
      </c>
      <c r="C4074" s="22">
        <v>599.75</v>
      </c>
    </row>
    <row r="4075" spans="2:3" x14ac:dyDescent="0.35">
      <c r="B4075" s="87">
        <v>45468</v>
      </c>
      <c r="C4075" s="22">
        <v>593.35</v>
      </c>
    </row>
    <row r="4076" spans="2:3" x14ac:dyDescent="0.35">
      <c r="B4076" s="87">
        <v>45469</v>
      </c>
      <c r="C4076" s="22">
        <v>601.79999999999995</v>
      </c>
    </row>
    <row r="4077" spans="2:3" x14ac:dyDescent="0.35">
      <c r="B4077" s="87">
        <v>45470</v>
      </c>
      <c r="C4077" s="22">
        <v>599.29999999999995</v>
      </c>
    </row>
    <row r="4078" spans="2:3" x14ac:dyDescent="0.35">
      <c r="B4078" s="87">
        <v>45471</v>
      </c>
      <c r="C4078" s="22">
        <v>600.70000000000005</v>
      </c>
    </row>
    <row r="4079" spans="2:3" x14ac:dyDescent="0.35">
      <c r="B4079" s="87">
        <v>45474</v>
      </c>
      <c r="C4079" s="22">
        <v>610.95000000000005</v>
      </c>
    </row>
    <row r="4080" spans="2:3" x14ac:dyDescent="0.35">
      <c r="B4080" s="87">
        <v>45475</v>
      </c>
      <c r="C4080" s="22">
        <v>602.79999999999995</v>
      </c>
    </row>
    <row r="4081" spans="2:3" x14ac:dyDescent="0.35">
      <c r="B4081" s="87">
        <v>45476</v>
      </c>
      <c r="C4081" s="22">
        <v>609.70000000000005</v>
      </c>
    </row>
    <row r="4082" spans="2:3" x14ac:dyDescent="0.35">
      <c r="B4082" s="87">
        <v>45477</v>
      </c>
      <c r="C4082" s="22">
        <v>605.95000000000005</v>
      </c>
    </row>
    <row r="4083" spans="2:3" x14ac:dyDescent="0.35">
      <c r="B4083" s="87">
        <v>45478</v>
      </c>
      <c r="C4083" s="22">
        <v>606.45000000000005</v>
      </c>
    </row>
    <row r="4084" spans="2:3" x14ac:dyDescent="0.35">
      <c r="B4084" s="87">
        <v>45481</v>
      </c>
      <c r="C4084" s="22">
        <v>623.45000000000005</v>
      </c>
    </row>
    <row r="4085" spans="2:3" x14ac:dyDescent="0.35">
      <c r="B4085" s="87">
        <v>45482</v>
      </c>
      <c r="C4085" s="22">
        <v>630.20000000000005</v>
      </c>
    </row>
    <row r="4086" spans="2:3" x14ac:dyDescent="0.35">
      <c r="B4086" s="87">
        <v>45483</v>
      </c>
      <c r="C4086" s="22">
        <v>631.70000000000005</v>
      </c>
    </row>
    <row r="4087" spans="2:3" x14ac:dyDescent="0.35">
      <c r="B4087" s="87">
        <v>45484</v>
      </c>
      <c r="C4087" s="22">
        <v>629.35</v>
      </c>
    </row>
    <row r="4088" spans="2:3" x14ac:dyDescent="0.35">
      <c r="B4088" s="87">
        <v>45485</v>
      </c>
      <c r="C4088" s="22">
        <v>630</v>
      </c>
    </row>
    <row r="4089" spans="2:3" x14ac:dyDescent="0.35">
      <c r="B4089" s="87">
        <v>45488</v>
      </c>
      <c r="C4089" s="22">
        <v>632.4</v>
      </c>
    </row>
    <row r="4090" spans="2:3" x14ac:dyDescent="0.35">
      <c r="B4090" s="87">
        <v>45489</v>
      </c>
      <c r="C4090" s="22">
        <v>640.95000000000005</v>
      </c>
    </row>
    <row r="4091" spans="2:3" x14ac:dyDescent="0.35">
      <c r="B4091" s="87">
        <v>45491</v>
      </c>
      <c r="C4091" s="22">
        <v>644.85</v>
      </c>
    </row>
    <row r="4092" spans="2:3" x14ac:dyDescent="0.35">
      <c r="B4092" s="87">
        <v>45492</v>
      </c>
      <c r="C4092" s="22">
        <v>632.9</v>
      </c>
    </row>
    <row r="4093" spans="2:3" x14ac:dyDescent="0.35">
      <c r="B4093" s="87">
        <v>45495</v>
      </c>
      <c r="C4093" s="22">
        <v>636.65</v>
      </c>
    </row>
    <row r="4094" spans="2:3" x14ac:dyDescent="0.35">
      <c r="B4094" s="87">
        <v>45496</v>
      </c>
      <c r="C4094" s="22">
        <v>652.29999999999995</v>
      </c>
    </row>
    <row r="4095" spans="2:3" x14ac:dyDescent="0.35">
      <c r="B4095" s="87">
        <v>45497</v>
      </c>
      <c r="C4095" s="22">
        <v>634.15</v>
      </c>
    </row>
    <row r="4096" spans="2:3" x14ac:dyDescent="0.35">
      <c r="B4096" s="87">
        <v>45498</v>
      </c>
      <c r="C4096" s="22">
        <v>631.20000000000005</v>
      </c>
    </row>
    <row r="4097" spans="2:3" x14ac:dyDescent="0.35">
      <c r="B4097" s="87">
        <v>45499</v>
      </c>
      <c r="C4097" s="22">
        <v>632.45000000000005</v>
      </c>
    </row>
    <row r="4098" spans="2:3" x14ac:dyDescent="0.35">
      <c r="B4098" s="87">
        <v>45502</v>
      </c>
      <c r="C4098" s="22">
        <v>641.1</v>
      </c>
    </row>
    <row r="4099" spans="2:3" x14ac:dyDescent="0.35">
      <c r="B4099" s="87">
        <v>45503</v>
      </c>
      <c r="C4099" s="22">
        <v>633.9</v>
      </c>
    </row>
    <row r="4100" spans="2:3" x14ac:dyDescent="0.35">
      <c r="B4100" s="87">
        <v>45504</v>
      </c>
      <c r="C4100" s="22">
        <v>635.70000000000005</v>
      </c>
    </row>
    <row r="4101" spans="2:3" x14ac:dyDescent="0.35">
      <c r="B4101" s="87">
        <v>45505</v>
      </c>
      <c r="C4101" s="22">
        <v>643.5</v>
      </c>
    </row>
    <row r="4102" spans="2:3" x14ac:dyDescent="0.35">
      <c r="B4102" s="87">
        <v>45506</v>
      </c>
      <c r="C4102" s="22">
        <v>627.54999999999995</v>
      </c>
    </row>
    <row r="4103" spans="2:3" x14ac:dyDescent="0.35">
      <c r="B4103" s="87">
        <v>45509</v>
      </c>
      <c r="C4103" s="22">
        <v>634</v>
      </c>
    </row>
    <row r="4104" spans="2:3" x14ac:dyDescent="0.35">
      <c r="B4104" s="87">
        <v>45510</v>
      </c>
      <c r="C4104" s="22">
        <v>629.15</v>
      </c>
    </row>
    <row r="4105" spans="2:3" x14ac:dyDescent="0.35">
      <c r="B4105" s="87">
        <v>45511</v>
      </c>
      <c r="C4105" s="22">
        <v>639.25</v>
      </c>
    </row>
    <row r="4106" spans="2:3" x14ac:dyDescent="0.35">
      <c r="B4106" s="87">
        <v>45512</v>
      </c>
      <c r="C4106" s="22">
        <v>637.45000000000005</v>
      </c>
    </row>
    <row r="4107" spans="2:3" x14ac:dyDescent="0.35">
      <c r="B4107" s="87">
        <v>45513</v>
      </c>
      <c r="C4107" s="22">
        <v>623.95000000000005</v>
      </c>
    </row>
    <row r="4108" spans="2:3" x14ac:dyDescent="0.35">
      <c r="B4108" s="87">
        <v>45516</v>
      </c>
      <c r="C4108" s="22">
        <v>620.35</v>
      </c>
    </row>
    <row r="4109" spans="2:3" x14ac:dyDescent="0.35">
      <c r="B4109" s="87">
        <v>45517</v>
      </c>
      <c r="C4109" s="22">
        <v>605.85</v>
      </c>
    </row>
    <row r="4110" spans="2:3" x14ac:dyDescent="0.35">
      <c r="B4110" s="87">
        <v>45518</v>
      </c>
      <c r="C4110" s="22">
        <v>604.4</v>
      </c>
    </row>
    <row r="4111" spans="2:3" x14ac:dyDescent="0.35">
      <c r="B4111" s="87">
        <v>45520</v>
      </c>
      <c r="C4111" s="22">
        <v>617.6</v>
      </c>
    </row>
    <row r="4112" spans="2:3" x14ac:dyDescent="0.35">
      <c r="B4112" s="87">
        <v>45523</v>
      </c>
      <c r="C4112" s="22">
        <v>621.29999999999995</v>
      </c>
    </row>
    <row r="4113" spans="2:3" x14ac:dyDescent="0.35">
      <c r="B4113" s="87">
        <v>45524</v>
      </c>
      <c r="C4113" s="22">
        <v>623.1</v>
      </c>
    </row>
    <row r="4114" spans="2:3" x14ac:dyDescent="0.35">
      <c r="B4114" s="87">
        <v>45525</v>
      </c>
      <c r="C4114" s="22">
        <v>634.35</v>
      </c>
    </row>
    <row r="4115" spans="2:3" x14ac:dyDescent="0.35">
      <c r="B4115" s="87">
        <v>45526</v>
      </c>
      <c r="C4115" s="22">
        <v>646.15</v>
      </c>
    </row>
    <row r="4116" spans="2:3" x14ac:dyDescent="0.35">
      <c r="B4116" s="87">
        <v>45527</v>
      </c>
      <c r="C4116" s="22">
        <v>643.25</v>
      </c>
    </row>
    <row r="4117" spans="2:3" x14ac:dyDescent="0.35">
      <c r="B4117" s="87">
        <v>45530</v>
      </c>
      <c r="C4117" s="22">
        <v>654.54999999999995</v>
      </c>
    </row>
    <row r="4118" spans="2:3" x14ac:dyDescent="0.35">
      <c r="B4118" s="87">
        <v>45531</v>
      </c>
      <c r="C4118" s="22">
        <v>643.4</v>
      </c>
    </row>
    <row r="4119" spans="2:3" x14ac:dyDescent="0.35">
      <c r="B4119" s="87">
        <v>45532</v>
      </c>
      <c r="C4119" s="22">
        <v>644.4</v>
      </c>
    </row>
    <row r="4120" spans="2:3" x14ac:dyDescent="0.35">
      <c r="B4120" s="87">
        <v>45533</v>
      </c>
      <c r="C4120" s="22">
        <v>644.15</v>
      </c>
    </row>
    <row r="4121" spans="2:3" x14ac:dyDescent="0.35">
      <c r="B4121" s="87">
        <v>45534</v>
      </c>
      <c r="C4121" s="22">
        <v>637.15</v>
      </c>
    </row>
    <row r="4122" spans="2:3" x14ac:dyDescent="0.35">
      <c r="B4122" s="87">
        <v>45537</v>
      </c>
      <c r="C4122" s="22">
        <v>636.65</v>
      </c>
    </row>
    <row r="4123" spans="2:3" x14ac:dyDescent="0.35">
      <c r="B4123" s="87">
        <v>45538</v>
      </c>
      <c r="C4123" s="22">
        <v>638.20000000000005</v>
      </c>
    </row>
    <row r="4124" spans="2:3" x14ac:dyDescent="0.35">
      <c r="B4124" s="87">
        <v>45539</v>
      </c>
      <c r="C4124" s="22">
        <v>650.04999999999995</v>
      </c>
    </row>
    <row r="4125" spans="2:3" x14ac:dyDescent="0.35">
      <c r="B4125" s="87">
        <v>45540</v>
      </c>
      <c r="C4125" s="22">
        <v>644.79999999999995</v>
      </c>
    </row>
    <row r="4126" spans="2:3" x14ac:dyDescent="0.35">
      <c r="B4126" s="87">
        <v>45541</v>
      </c>
      <c r="C4126" s="22">
        <v>644.4</v>
      </c>
    </row>
    <row r="4127" spans="2:3" x14ac:dyDescent="0.35">
      <c r="B4127" s="87">
        <v>45544</v>
      </c>
      <c r="C4127" s="22">
        <v>662.35</v>
      </c>
    </row>
    <row r="4128" spans="2:3" x14ac:dyDescent="0.35">
      <c r="B4128" s="87">
        <v>45545</v>
      </c>
      <c r="C4128" s="22">
        <v>665.25</v>
      </c>
    </row>
    <row r="4129" spans="2:3" x14ac:dyDescent="0.35">
      <c r="B4129" s="87">
        <v>45546</v>
      </c>
      <c r="C4129" s="22">
        <v>663.9</v>
      </c>
    </row>
    <row r="4130" spans="2:3" x14ac:dyDescent="0.35">
      <c r="B4130" s="87">
        <v>45547</v>
      </c>
      <c r="C4130" s="22">
        <v>664.75</v>
      </c>
    </row>
    <row r="4131" spans="2:3" x14ac:dyDescent="0.35">
      <c r="B4131" s="87">
        <v>45548</v>
      </c>
      <c r="C4131" s="22">
        <v>660.9</v>
      </c>
    </row>
    <row r="4132" spans="2:3" x14ac:dyDescent="0.35">
      <c r="B4132" s="87">
        <v>45551</v>
      </c>
      <c r="C4132" s="22">
        <v>661.35</v>
      </c>
    </row>
    <row r="4133" spans="2:3" x14ac:dyDescent="0.35">
      <c r="B4133" s="87">
        <v>45552</v>
      </c>
      <c r="C4133" s="22">
        <v>660.15</v>
      </c>
    </row>
    <row r="4134" spans="2:3" x14ac:dyDescent="0.35">
      <c r="B4134" s="87">
        <v>45553</v>
      </c>
      <c r="C4134" s="22">
        <v>654.4</v>
      </c>
    </row>
    <row r="4135" spans="2:3" x14ac:dyDescent="0.35">
      <c r="B4135" s="87">
        <v>45554</v>
      </c>
      <c r="C4135" s="22">
        <v>664.7</v>
      </c>
    </row>
    <row r="4136" spans="2:3" x14ac:dyDescent="0.35">
      <c r="B4136" s="87">
        <v>45555</v>
      </c>
      <c r="C4136" s="22">
        <v>667.55</v>
      </c>
    </row>
    <row r="4137" spans="2:3" x14ac:dyDescent="0.35">
      <c r="B4137" s="87">
        <v>45558</v>
      </c>
      <c r="C4137" s="22">
        <v>661.05</v>
      </c>
    </row>
    <row r="4138" spans="2:3" x14ac:dyDescent="0.35">
      <c r="B4138" s="87">
        <v>45559</v>
      </c>
      <c r="C4138" s="22">
        <v>655.85</v>
      </c>
    </row>
    <row r="4139" spans="2:3" x14ac:dyDescent="0.35">
      <c r="B4139" s="87">
        <v>45560</v>
      </c>
      <c r="C4139" s="22">
        <v>627</v>
      </c>
    </row>
    <row r="4140" spans="2:3" x14ac:dyDescent="0.35">
      <c r="B4140" s="87">
        <v>45561</v>
      </c>
      <c r="C4140" s="22">
        <v>625.75</v>
      </c>
    </row>
    <row r="4141" spans="2:3" x14ac:dyDescent="0.35">
      <c r="B4141" s="87">
        <v>45562</v>
      </c>
      <c r="C4141" s="22">
        <v>633</v>
      </c>
    </row>
    <row r="4142" spans="2:3" x14ac:dyDescent="0.35">
      <c r="B4142" s="87">
        <v>45565</v>
      </c>
      <c r="C4142" s="22">
        <v>625.20000000000005</v>
      </c>
    </row>
    <row r="4143" spans="2:3" x14ac:dyDescent="0.35">
      <c r="B4143" s="87">
        <v>45566</v>
      </c>
      <c r="C4143" s="22">
        <v>619</v>
      </c>
    </row>
    <row r="4144" spans="2:3" x14ac:dyDescent="0.35">
      <c r="B4144" s="87">
        <v>45568</v>
      </c>
      <c r="C4144" s="22">
        <v>580.20000000000005</v>
      </c>
    </row>
    <row r="4145" spans="2:3" x14ac:dyDescent="0.35">
      <c r="B4145" s="87">
        <v>45569</v>
      </c>
      <c r="C4145" s="22">
        <v>572.45000000000005</v>
      </c>
    </row>
    <row r="4146" spans="2:3" x14ac:dyDescent="0.35">
      <c r="B4146" s="87">
        <v>45572</v>
      </c>
      <c r="C4146" s="22">
        <v>569.4</v>
      </c>
    </row>
    <row r="4147" spans="2:3" x14ac:dyDescent="0.35">
      <c r="B4147" s="87">
        <v>45573</v>
      </c>
      <c r="C4147" s="22">
        <v>567.35</v>
      </c>
    </row>
    <row r="4148" spans="2:3" x14ac:dyDescent="0.35">
      <c r="B4148" s="87">
        <v>45574</v>
      </c>
      <c r="C4148" s="22">
        <v>565.04999999999995</v>
      </c>
    </row>
    <row r="4149" spans="2:3" x14ac:dyDescent="0.35">
      <c r="B4149" s="87">
        <v>45575</v>
      </c>
      <c r="C4149" s="22">
        <v>571.70000000000005</v>
      </c>
    </row>
    <row r="4150" spans="2:3" x14ac:dyDescent="0.35">
      <c r="B4150" s="87">
        <v>45576</v>
      </c>
      <c r="C4150" s="22">
        <v>570.85</v>
      </c>
    </row>
    <row r="4151" spans="2:3" x14ac:dyDescent="0.35">
      <c r="B4151" s="87">
        <v>45579</v>
      </c>
      <c r="C4151" s="22">
        <v>567.29999999999995</v>
      </c>
    </row>
    <row r="4152" spans="2:3" x14ac:dyDescent="0.35">
      <c r="B4152" s="87">
        <v>45580</v>
      </c>
      <c r="C4152" s="22">
        <v>571</v>
      </c>
    </row>
    <row r="4153" spans="2:3" x14ac:dyDescent="0.35">
      <c r="B4153" s="87">
        <v>45581</v>
      </c>
      <c r="C4153" s="22">
        <v>578.29999999999995</v>
      </c>
    </row>
    <row r="4154" spans="2:3" x14ac:dyDescent="0.35">
      <c r="B4154" s="87">
        <v>45582</v>
      </c>
      <c r="C4154" s="22">
        <v>572.54999999999995</v>
      </c>
    </row>
    <row r="4155" spans="2:3" x14ac:dyDescent="0.35">
      <c r="B4155" s="87">
        <v>45583</v>
      </c>
      <c r="C4155" s="22">
        <v>571.4</v>
      </c>
    </row>
    <row r="4156" spans="2:3" x14ac:dyDescent="0.35">
      <c r="B4156" s="87">
        <v>45586</v>
      </c>
      <c r="C4156" s="22">
        <v>568.20000000000005</v>
      </c>
    </row>
    <row r="4157" spans="2:3" x14ac:dyDescent="0.35">
      <c r="B4157" s="87">
        <v>45587</v>
      </c>
      <c r="C4157" s="22">
        <v>559.1</v>
      </c>
    </row>
    <row r="4158" spans="2:3" x14ac:dyDescent="0.35">
      <c r="B4158" s="87">
        <v>45588</v>
      </c>
      <c r="C4158" s="22">
        <v>558.70000000000005</v>
      </c>
    </row>
    <row r="4159" spans="2:3" x14ac:dyDescent="0.35">
      <c r="B4159" s="87">
        <v>45589</v>
      </c>
      <c r="C4159" s="22">
        <v>541</v>
      </c>
    </row>
    <row r="4160" spans="2:3" x14ac:dyDescent="0.35">
      <c r="B4160" s="87">
        <v>45590</v>
      </c>
      <c r="C4160" s="22">
        <v>538.70000000000005</v>
      </c>
    </row>
    <row r="4161" spans="2:3" x14ac:dyDescent="0.35">
      <c r="B4161" s="87">
        <v>45593</v>
      </c>
      <c r="C4161" s="22">
        <v>553.70000000000005</v>
      </c>
    </row>
    <row r="4162" spans="2:3" x14ac:dyDescent="0.35">
      <c r="B4162" s="87">
        <v>45594</v>
      </c>
      <c r="C4162" s="22">
        <v>535.85</v>
      </c>
    </row>
    <row r="4163" spans="2:3" x14ac:dyDescent="0.35">
      <c r="B4163" s="87">
        <v>45595</v>
      </c>
      <c r="C4163" s="22">
        <v>546.65</v>
      </c>
    </row>
    <row r="4164" spans="2:3" x14ac:dyDescent="0.35">
      <c r="B4164" s="87">
        <v>45596</v>
      </c>
      <c r="C4164" s="22">
        <v>540</v>
      </c>
    </row>
    <row r="4165" spans="2:3" x14ac:dyDescent="0.35">
      <c r="B4165" s="87">
        <v>45597</v>
      </c>
      <c r="C4165" s="22">
        <v>542.54999999999995</v>
      </c>
    </row>
    <row r="4166" spans="2:3" x14ac:dyDescent="0.35">
      <c r="B4166" s="87">
        <v>45600</v>
      </c>
      <c r="C4166" s="22">
        <v>534.95000000000005</v>
      </c>
    </row>
    <row r="4167" spans="2:3" x14ac:dyDescent="0.35">
      <c r="B4167" s="87">
        <v>45601</v>
      </c>
      <c r="C4167" s="22">
        <v>534.85</v>
      </c>
    </row>
    <row r="4168" spans="2:3" x14ac:dyDescent="0.35">
      <c r="B4168" s="87">
        <v>45602</v>
      </c>
      <c r="C4168" s="22">
        <v>539.6</v>
      </c>
    </row>
    <row r="4169" spans="2:3" x14ac:dyDescent="0.35">
      <c r="B4169" s="87">
        <v>45603</v>
      </c>
      <c r="C4169" s="22">
        <v>534.5</v>
      </c>
    </row>
    <row r="4170" spans="2:3" x14ac:dyDescent="0.35">
      <c r="B4170" s="87">
        <v>45604</v>
      </c>
      <c r="C4170" s="22">
        <v>531.5</v>
      </c>
    </row>
    <row r="4171" spans="2:3" x14ac:dyDescent="0.35">
      <c r="B4171" s="87">
        <v>45607</v>
      </c>
      <c r="C4171" s="22">
        <v>522.75</v>
      </c>
    </row>
    <row r="4172" spans="2:3" x14ac:dyDescent="0.35">
      <c r="B4172" s="87">
        <v>45608</v>
      </c>
      <c r="C4172" s="22">
        <v>510.5</v>
      </c>
    </row>
    <row r="4173" spans="2:3" x14ac:dyDescent="0.35">
      <c r="B4173" s="87">
        <v>45609</v>
      </c>
      <c r="C4173" s="22">
        <v>510.85</v>
      </c>
    </row>
    <row r="4174" spans="2:3" x14ac:dyDescent="0.35">
      <c r="B4174" s="87">
        <v>45610</v>
      </c>
      <c r="C4174" s="22">
        <v>508.1</v>
      </c>
    </row>
    <row r="4175" spans="2:3" x14ac:dyDescent="0.35">
      <c r="B4175" s="87">
        <v>45614</v>
      </c>
      <c r="C4175" s="22">
        <v>508.5</v>
      </c>
    </row>
    <row r="4176" spans="2:3" x14ac:dyDescent="0.35">
      <c r="B4176" s="87">
        <v>45615</v>
      </c>
      <c r="C4176" s="22">
        <v>508.2</v>
      </c>
    </row>
    <row r="4177" spans="2:3" x14ac:dyDescent="0.35">
      <c r="B4177" s="87">
        <v>45617</v>
      </c>
      <c r="C4177" s="22">
        <v>505.75</v>
      </c>
    </row>
    <row r="4178" spans="2:3" x14ac:dyDescent="0.35">
      <c r="B4178" s="87">
        <v>45618</v>
      </c>
      <c r="C4178" s="22">
        <v>513</v>
      </c>
    </row>
    <row r="4179" spans="2:3" x14ac:dyDescent="0.35">
      <c r="B4179" s="87">
        <v>45621</v>
      </c>
      <c r="C4179" s="22">
        <v>521.5</v>
      </c>
    </row>
    <row r="4180" spans="2:3" x14ac:dyDescent="0.35">
      <c r="B4180" s="87">
        <v>45622</v>
      </c>
      <c r="C4180" s="22">
        <v>525.35</v>
      </c>
    </row>
    <row r="4181" spans="2:3" x14ac:dyDescent="0.35">
      <c r="B4181" s="87">
        <v>45623</v>
      </c>
      <c r="C4181" s="22">
        <v>527.5</v>
      </c>
    </row>
    <row r="4182" spans="2:3" x14ac:dyDescent="0.35">
      <c r="B4182" s="87">
        <v>45624</v>
      </c>
      <c r="C4182" s="22">
        <v>526</v>
      </c>
    </row>
    <row r="4183" spans="2:3" x14ac:dyDescent="0.35">
      <c r="B4183" s="87">
        <v>45625</v>
      </c>
      <c r="C4183" s="22">
        <v>527.15</v>
      </c>
    </row>
    <row r="4184" spans="2:3" x14ac:dyDescent="0.35">
      <c r="B4184" s="87">
        <v>45628</v>
      </c>
      <c r="C4184" s="22">
        <v>523.9</v>
      </c>
    </row>
    <row r="4185" spans="2:3" x14ac:dyDescent="0.35">
      <c r="B4185" s="87">
        <v>45629</v>
      </c>
      <c r="C4185" s="22">
        <v>522.54999999999995</v>
      </c>
    </row>
    <row r="4186" spans="2:3" x14ac:dyDescent="0.35">
      <c r="B4186" s="87">
        <v>45630</v>
      </c>
      <c r="C4186" s="22">
        <v>522.79999999999995</v>
      </c>
    </row>
    <row r="4187" spans="2:3" x14ac:dyDescent="0.35">
      <c r="B4187" s="87">
        <v>45631</v>
      </c>
      <c r="C4187" s="22">
        <v>523.15</v>
      </c>
    </row>
    <row r="4188" spans="2:3" x14ac:dyDescent="0.35">
      <c r="B4188" s="87">
        <v>45632</v>
      </c>
      <c r="C4188" s="22">
        <v>523.79999999999995</v>
      </c>
    </row>
    <row r="4189" spans="2:3" x14ac:dyDescent="0.35">
      <c r="B4189" s="87">
        <v>45635</v>
      </c>
      <c r="C4189" s="22">
        <v>506.85</v>
      </c>
    </row>
    <row r="4190" spans="2:3" x14ac:dyDescent="0.35">
      <c r="B4190" s="87">
        <v>45636</v>
      </c>
      <c r="C4190" s="22">
        <v>506.95</v>
      </c>
    </row>
    <row r="4191" spans="2:3" x14ac:dyDescent="0.35">
      <c r="B4191" s="87">
        <v>45637</v>
      </c>
      <c r="C4191" s="22">
        <v>508.35</v>
      </c>
    </row>
    <row r="4192" spans="2:3" x14ac:dyDescent="0.35">
      <c r="B4192" s="87">
        <v>45638</v>
      </c>
      <c r="C4192" s="22">
        <v>506.65</v>
      </c>
    </row>
    <row r="4193" spans="2:3" x14ac:dyDescent="0.35">
      <c r="B4193" s="87">
        <v>45639</v>
      </c>
      <c r="C4193" s="22">
        <v>512.79999999999995</v>
      </c>
    </row>
    <row r="4194" spans="2:3" x14ac:dyDescent="0.35">
      <c r="B4194" s="87">
        <v>45642</v>
      </c>
      <c r="C4194" s="22">
        <v>509.95</v>
      </c>
    </row>
    <row r="4195" spans="2:3" x14ac:dyDescent="0.35">
      <c r="B4195" s="87">
        <v>45643</v>
      </c>
      <c r="C4195" s="22">
        <v>505.4</v>
      </c>
    </row>
    <row r="4196" spans="2:3" x14ac:dyDescent="0.35">
      <c r="B4196" s="87">
        <v>45644</v>
      </c>
      <c r="C4196" s="22">
        <v>505.4</v>
      </c>
    </row>
    <row r="4197" spans="2:3" x14ac:dyDescent="0.35">
      <c r="B4197" s="87">
        <v>45645</v>
      </c>
      <c r="C4197" s="22">
        <v>503.95</v>
      </c>
    </row>
    <row r="4198" spans="2:3" x14ac:dyDescent="0.35">
      <c r="B4198" s="87">
        <v>45646</v>
      </c>
      <c r="C4198" s="22">
        <v>502.55</v>
      </c>
    </row>
    <row r="4199" spans="2:3" x14ac:dyDescent="0.35">
      <c r="B4199" s="87">
        <v>45649</v>
      </c>
      <c r="C4199" s="22">
        <v>509.5</v>
      </c>
    </row>
    <row r="4200" spans="2:3" x14ac:dyDescent="0.35">
      <c r="B4200" s="87">
        <v>45650</v>
      </c>
      <c r="C4200" s="22">
        <v>509.95</v>
      </c>
    </row>
    <row r="4201" spans="2:3" x14ac:dyDescent="0.35">
      <c r="B4201" s="87">
        <v>45652</v>
      </c>
      <c r="C4201" s="22">
        <v>505.6</v>
      </c>
    </row>
    <row r="4202" spans="2:3" x14ac:dyDescent="0.35">
      <c r="B4202" s="87">
        <v>45653</v>
      </c>
      <c r="C4202" s="22">
        <v>507.15</v>
      </c>
    </row>
    <row r="4203" spans="2:3" x14ac:dyDescent="0.35">
      <c r="B4203" s="87">
        <v>45656</v>
      </c>
      <c r="C4203" s="22">
        <v>505.25</v>
      </c>
    </row>
    <row r="4204" spans="2:3" x14ac:dyDescent="0.35">
      <c r="B4204" s="87">
        <v>45657</v>
      </c>
      <c r="C4204" s="22">
        <v>507</v>
      </c>
    </row>
    <row r="4205" spans="2:3" x14ac:dyDescent="0.35">
      <c r="B4205" s="87">
        <v>45658</v>
      </c>
      <c r="C4205" s="22">
        <v>510.95</v>
      </c>
    </row>
    <row r="4206" spans="2:3" x14ac:dyDescent="0.35">
      <c r="B4206" s="87">
        <v>45659</v>
      </c>
      <c r="C4206" s="22">
        <v>513.35</v>
      </c>
    </row>
    <row r="4207" spans="2:3" x14ac:dyDescent="0.35">
      <c r="B4207" s="87">
        <v>45660</v>
      </c>
      <c r="C4207" s="22">
        <v>524.9</v>
      </c>
    </row>
    <row r="4208" spans="2:3" x14ac:dyDescent="0.35">
      <c r="B4208" s="87">
        <v>45663</v>
      </c>
      <c r="C4208" s="22">
        <v>504.85</v>
      </c>
    </row>
    <row r="4209" spans="2:3" x14ac:dyDescent="0.35">
      <c r="B4209" s="87">
        <v>45664</v>
      </c>
      <c r="C4209" s="22">
        <v>508.85</v>
      </c>
    </row>
    <row r="4210" spans="2:3" x14ac:dyDescent="0.35">
      <c r="B4210" s="87">
        <v>45665</v>
      </c>
      <c r="C4210" s="22">
        <v>513.75</v>
      </c>
    </row>
    <row r="4211" spans="2:3" x14ac:dyDescent="0.35">
      <c r="B4211" s="87">
        <v>45666</v>
      </c>
      <c r="C4211" s="22">
        <v>521.15</v>
      </c>
    </row>
    <row r="4212" spans="2:3" x14ac:dyDescent="0.35">
      <c r="B4212" s="87">
        <v>45667</v>
      </c>
      <c r="C4212" s="22">
        <v>517.9</v>
      </c>
    </row>
    <row r="4213" spans="2:3" x14ac:dyDescent="0.35">
      <c r="B4213" s="87">
        <v>45670</v>
      </c>
      <c r="C4213" s="22">
        <v>510.75</v>
      </c>
    </row>
    <row r="4214" spans="2:3" x14ac:dyDescent="0.35">
      <c r="B4214" s="87">
        <v>45671</v>
      </c>
      <c r="C4214" s="22">
        <v>512.5</v>
      </c>
    </row>
    <row r="4215" spans="2:3" x14ac:dyDescent="0.35">
      <c r="B4215" s="87">
        <v>45672</v>
      </c>
      <c r="C4215" s="22">
        <v>515.5</v>
      </c>
    </row>
    <row r="4216" spans="2:3" x14ac:dyDescent="0.35">
      <c r="B4216" s="87">
        <v>45673</v>
      </c>
      <c r="C4216" s="22">
        <v>522.4</v>
      </c>
    </row>
    <row r="4217" spans="2:3" x14ac:dyDescent="0.35">
      <c r="B4217" s="87">
        <v>45674</v>
      </c>
      <c r="C4217" s="22">
        <v>526.04999999999995</v>
      </c>
    </row>
    <row r="4218" spans="2:3" x14ac:dyDescent="0.35">
      <c r="B4218" s="87">
        <v>45677</v>
      </c>
      <c r="C4218" s="22">
        <v>521.6</v>
      </c>
    </row>
    <row r="4219" spans="2:3" x14ac:dyDescent="0.35">
      <c r="B4219" s="87">
        <v>45678</v>
      </c>
      <c r="C4219" s="22">
        <v>521.25</v>
      </c>
    </row>
    <row r="4220" spans="2:3" x14ac:dyDescent="0.35">
      <c r="B4220" s="87">
        <v>45679</v>
      </c>
      <c r="C4220" s="22">
        <v>520.5</v>
      </c>
    </row>
    <row r="4221" spans="2:3" x14ac:dyDescent="0.35">
      <c r="B4221" s="87">
        <v>45680</v>
      </c>
      <c r="C4221" s="22">
        <v>524.6</v>
      </c>
    </row>
    <row r="4222" spans="2:3" x14ac:dyDescent="0.35">
      <c r="B4222" s="87">
        <v>45681</v>
      </c>
      <c r="C4222" s="22">
        <v>521.65</v>
      </c>
    </row>
    <row r="4223" spans="2:3" x14ac:dyDescent="0.35">
      <c r="B4223" s="87">
        <v>45684</v>
      </c>
      <c r="C4223" s="22">
        <v>523.85</v>
      </c>
    </row>
    <row r="4224" spans="2:3" x14ac:dyDescent="0.35">
      <c r="B4224" s="87">
        <v>45685</v>
      </c>
      <c r="C4224" s="22">
        <v>525.35</v>
      </c>
    </row>
    <row r="4225" spans="2:3" x14ac:dyDescent="0.35">
      <c r="B4225" s="87">
        <v>45686</v>
      </c>
      <c r="C4225" s="22">
        <v>518.1</v>
      </c>
    </row>
    <row r="4226" spans="2:3" x14ac:dyDescent="0.35">
      <c r="B4226" s="87">
        <v>45687</v>
      </c>
      <c r="C4226" s="22">
        <v>533.70000000000005</v>
      </c>
    </row>
    <row r="4227" spans="2:3" x14ac:dyDescent="0.35">
      <c r="B4227" s="87">
        <v>45688</v>
      </c>
      <c r="C4227" s="22">
        <v>529.85</v>
      </c>
    </row>
    <row r="4228" spans="2:3" x14ac:dyDescent="0.35">
      <c r="B4228" s="87">
        <v>45689</v>
      </c>
      <c r="C4228" s="22">
        <v>539.1</v>
      </c>
    </row>
    <row r="4229" spans="2:3" x14ac:dyDescent="0.35">
      <c r="B4229" s="87">
        <v>45691</v>
      </c>
      <c r="C4229" s="22">
        <v>534.54999999999995</v>
      </c>
    </row>
    <row r="4230" spans="2:3" x14ac:dyDescent="0.35">
      <c r="B4230" s="87">
        <v>45692</v>
      </c>
      <c r="C4230" s="22">
        <v>541.04999999999995</v>
      </c>
    </row>
    <row r="4231" spans="2:3" x14ac:dyDescent="0.35">
      <c r="B4231" s="87">
        <v>45693</v>
      </c>
      <c r="C4231" s="22">
        <v>531.5</v>
      </c>
    </row>
    <row r="4232" spans="2:3" x14ac:dyDescent="0.35">
      <c r="B4232" s="87">
        <v>45694</v>
      </c>
      <c r="C4232" s="22">
        <v>526.20000000000005</v>
      </c>
    </row>
    <row r="4233" spans="2:3" x14ac:dyDescent="0.35">
      <c r="B4233" s="87">
        <v>45695</v>
      </c>
      <c r="C4233" s="22">
        <v>527.1</v>
      </c>
    </row>
    <row r="4234" spans="2:3" x14ac:dyDescent="0.35">
      <c r="B4234" s="87">
        <v>45698</v>
      </c>
      <c r="C4234" s="22">
        <v>528.1</v>
      </c>
    </row>
    <row r="4235" spans="2:3" x14ac:dyDescent="0.35">
      <c r="B4235" s="87">
        <v>45699</v>
      </c>
      <c r="C4235" s="22">
        <v>517.70000000000005</v>
      </c>
    </row>
    <row r="4236" spans="2:3" x14ac:dyDescent="0.35">
      <c r="B4236" s="87">
        <v>45700</v>
      </c>
      <c r="C4236" s="22">
        <v>525.75</v>
      </c>
    </row>
    <row r="4237" spans="2:3" x14ac:dyDescent="0.35">
      <c r="B4237" s="87">
        <v>45701</v>
      </c>
      <c r="C4237" s="22">
        <v>519.85</v>
      </c>
    </row>
    <row r="4238" spans="2:3" x14ac:dyDescent="0.35">
      <c r="B4238" s="87">
        <v>45702</v>
      </c>
      <c r="C4238" s="22">
        <v>519.9</v>
      </c>
    </row>
    <row r="4239" spans="2:3" x14ac:dyDescent="0.35">
      <c r="B4239" s="87">
        <v>45705</v>
      </c>
      <c r="C4239" s="22">
        <v>520.54999999999995</v>
      </c>
    </row>
    <row r="4240" spans="2:3" x14ac:dyDescent="0.35">
      <c r="B4240" s="87">
        <v>45706</v>
      </c>
      <c r="C4240" s="22">
        <v>515.15</v>
      </c>
    </row>
    <row r="4241" spans="2:3" x14ac:dyDescent="0.35">
      <c r="B4241" s="87">
        <v>45707</v>
      </c>
      <c r="C4241" s="22">
        <v>504.45</v>
      </c>
    </row>
    <row r="4242" spans="2:3" x14ac:dyDescent="0.35">
      <c r="B4242" s="87">
        <v>45708</v>
      </c>
      <c r="C4242" s="22">
        <v>510.35</v>
      </c>
    </row>
    <row r="4243" spans="2:3" x14ac:dyDescent="0.35">
      <c r="B4243" s="87">
        <v>45709</v>
      </c>
      <c r="C4243" s="22">
        <v>508.65</v>
      </c>
    </row>
    <row r="4244" spans="2:3" x14ac:dyDescent="0.35">
      <c r="B4244" s="87">
        <v>45712</v>
      </c>
      <c r="C4244" s="22">
        <v>505.7</v>
      </c>
    </row>
    <row r="4245" spans="2:3" x14ac:dyDescent="0.35">
      <c r="B4245" s="87">
        <v>45713</v>
      </c>
      <c r="C4245" s="22">
        <v>510.95</v>
      </c>
    </row>
    <row r="4246" spans="2:3" x14ac:dyDescent="0.35">
      <c r="B4246" s="87">
        <v>45715</v>
      </c>
      <c r="C4246" s="22">
        <v>503.25</v>
      </c>
    </row>
    <row r="4247" spans="2:3" x14ac:dyDescent="0.35">
      <c r="B4247" s="87">
        <v>45716</v>
      </c>
      <c r="C4247" s="22">
        <v>493.3</v>
      </c>
    </row>
    <row r="4248" spans="2:3" x14ac:dyDescent="0.35">
      <c r="B4248" s="87">
        <v>45719</v>
      </c>
      <c r="C4248" s="22">
        <v>491.75</v>
      </c>
    </row>
    <row r="4249" spans="2:3" x14ac:dyDescent="0.35">
      <c r="B4249" s="87">
        <v>45720</v>
      </c>
      <c r="C4249" s="22">
        <v>483.7</v>
      </c>
    </row>
    <row r="4250" spans="2:3" x14ac:dyDescent="0.35">
      <c r="B4250" s="87">
        <v>45721</v>
      </c>
      <c r="C4250" s="22">
        <v>487.7</v>
      </c>
    </row>
    <row r="4251" spans="2:3" x14ac:dyDescent="0.35">
      <c r="B4251" s="87">
        <v>45722</v>
      </c>
      <c r="C4251" s="22">
        <v>495</v>
      </c>
    </row>
    <row r="4252" spans="2:3" x14ac:dyDescent="0.35">
      <c r="B4252" s="87">
        <v>45723</v>
      </c>
      <c r="C4252" s="22">
        <v>495.8</v>
      </c>
    </row>
    <row r="4253" spans="2:3" x14ac:dyDescent="0.35">
      <c r="B4253" s="87">
        <v>45726</v>
      </c>
      <c r="C4253" s="22">
        <v>493.35</v>
      </c>
    </row>
    <row r="4254" spans="2:3" x14ac:dyDescent="0.35">
      <c r="B4254" s="87">
        <v>45727</v>
      </c>
      <c r="C4254" s="22">
        <v>497.55</v>
      </c>
    </row>
    <row r="4255" spans="2:3" x14ac:dyDescent="0.35">
      <c r="B4255" s="87">
        <v>45728</v>
      </c>
      <c r="C4255" s="22">
        <v>499.95</v>
      </c>
    </row>
    <row r="4256" spans="2:3" x14ac:dyDescent="0.35">
      <c r="B4256" s="87">
        <v>45729</v>
      </c>
      <c r="C4256" s="22">
        <v>500.95</v>
      </c>
    </row>
    <row r="4257" spans="2:3" x14ac:dyDescent="0.35">
      <c r="B4257" s="87">
        <v>45733</v>
      </c>
      <c r="C4257" s="22">
        <v>494.75</v>
      </c>
    </row>
    <row r="4258" spans="2:3" x14ac:dyDescent="0.35">
      <c r="B4258" s="87">
        <v>45734</v>
      </c>
      <c r="C4258" s="22">
        <v>498.75</v>
      </c>
    </row>
    <row r="4259" spans="2:3" x14ac:dyDescent="0.35">
      <c r="B4259" s="87">
        <v>45735</v>
      </c>
      <c r="C4259" s="22">
        <v>495.45</v>
      </c>
    </row>
    <row r="4260" spans="2:3" x14ac:dyDescent="0.35">
      <c r="B4260" s="87">
        <v>45736</v>
      </c>
      <c r="C4260" s="22">
        <v>499</v>
      </c>
    </row>
    <row r="4261" spans="2:3" x14ac:dyDescent="0.35">
      <c r="B4261" s="87">
        <v>45737</v>
      </c>
      <c r="C4261" s="22">
        <v>506.8</v>
      </c>
    </row>
    <row r="4262" spans="2:3" x14ac:dyDescent="0.35">
      <c r="B4262" s="87">
        <v>45740</v>
      </c>
      <c r="C4262" s="22">
        <v>507.2</v>
      </c>
    </row>
    <row r="4263" spans="2:3" x14ac:dyDescent="0.35">
      <c r="B4263" s="87">
        <v>45741</v>
      </c>
      <c r="C4263" s="22">
        <v>509.25</v>
      </c>
    </row>
    <row r="4264" spans="2:3" x14ac:dyDescent="0.35">
      <c r="B4264" s="87">
        <v>45742</v>
      </c>
      <c r="C4264" s="22">
        <v>508.85</v>
      </c>
    </row>
    <row r="4265" spans="2:3" x14ac:dyDescent="0.35">
      <c r="B4265" s="87">
        <v>45743</v>
      </c>
      <c r="C4265" s="22">
        <v>512.85</v>
      </c>
    </row>
    <row r="4266" spans="2:3" x14ac:dyDescent="0.35">
      <c r="B4266" s="87">
        <v>45744</v>
      </c>
      <c r="C4266" s="22">
        <v>506.5</v>
      </c>
    </row>
    <row r="4267" spans="2:3" x14ac:dyDescent="0.35">
      <c r="B4267" s="87">
        <v>45748</v>
      </c>
      <c r="C4267" s="22">
        <v>497.5</v>
      </c>
    </row>
    <row r="4268" spans="2:3" x14ac:dyDescent="0.35">
      <c r="B4268" s="87">
        <v>45749</v>
      </c>
      <c r="C4268" s="22">
        <v>495.75</v>
      </c>
    </row>
    <row r="4269" spans="2:3" x14ac:dyDescent="0.35">
      <c r="B4269" s="87">
        <v>45750</v>
      </c>
      <c r="C4269" s="22">
        <v>465.4</v>
      </c>
    </row>
    <row r="4270" spans="2:3" x14ac:dyDescent="0.35">
      <c r="B4270" s="87">
        <v>45751</v>
      </c>
      <c r="C4270" s="22">
        <v>461.75</v>
      </c>
    </row>
    <row r="4271" spans="2:3" x14ac:dyDescent="0.35">
      <c r="B4271" s="87">
        <v>45754</v>
      </c>
      <c r="C4271" s="22">
        <v>451.4</v>
      </c>
    </row>
    <row r="4272" spans="2:3" x14ac:dyDescent="0.35">
      <c r="B4272" s="87">
        <v>45755</v>
      </c>
      <c r="C4272" s="22">
        <v>459</v>
      </c>
    </row>
    <row r="4273" spans="2:3" x14ac:dyDescent="0.35">
      <c r="B4273" s="87">
        <v>45756</v>
      </c>
      <c r="C4273" s="22">
        <v>465.25</v>
      </c>
    </row>
    <row r="4274" spans="2:3" x14ac:dyDescent="0.35">
      <c r="B4274" s="87">
        <v>45758</v>
      </c>
      <c r="C4274" s="22">
        <v>461.3</v>
      </c>
    </row>
    <row r="4275" spans="2:3" x14ac:dyDescent="0.35">
      <c r="B4275" s="87">
        <v>45762</v>
      </c>
      <c r="C4275" s="22">
        <v>473.75</v>
      </c>
    </row>
    <row r="4276" spans="2:3" x14ac:dyDescent="0.35">
      <c r="B4276" s="87">
        <v>45763</v>
      </c>
      <c r="C4276" s="22">
        <v>481.35</v>
      </c>
    </row>
    <row r="4277" spans="2:3" x14ac:dyDescent="0.35">
      <c r="B4277" s="87">
        <v>45764</v>
      </c>
      <c r="C4277" s="22">
        <v>479.3</v>
      </c>
    </row>
    <row r="4278" spans="2:3" x14ac:dyDescent="0.35">
      <c r="B4278" s="87">
        <v>45768</v>
      </c>
      <c r="C4278" s="22">
        <v>475.55</v>
      </c>
    </row>
    <row r="4279" spans="2:3" x14ac:dyDescent="0.35">
      <c r="B4279" s="87">
        <v>45769</v>
      </c>
      <c r="C4279" s="22">
        <v>484.4</v>
      </c>
    </row>
    <row r="4280" spans="2:3" x14ac:dyDescent="0.35">
      <c r="B4280" s="87">
        <v>45770</v>
      </c>
      <c r="C4280" s="22">
        <v>486.2</v>
      </c>
    </row>
    <row r="4281" spans="2:3" x14ac:dyDescent="0.35">
      <c r="B4281" s="87">
        <v>45771</v>
      </c>
      <c r="C4281" s="22">
        <v>491.7</v>
      </c>
    </row>
    <row r="4282" spans="2:3" x14ac:dyDescent="0.35">
      <c r="B4282" s="87">
        <v>45772</v>
      </c>
      <c r="C4282" s="22">
        <v>484.6</v>
      </c>
    </row>
    <row r="4283" spans="2:3" x14ac:dyDescent="0.35">
      <c r="B4283" s="87">
        <v>45775</v>
      </c>
      <c r="C4283" s="22">
        <v>482.2</v>
      </c>
    </row>
    <row r="4284" spans="2:3" x14ac:dyDescent="0.35">
      <c r="B4284" s="87">
        <v>45776</v>
      </c>
      <c r="C4284" s="22">
        <v>483.65</v>
      </c>
    </row>
    <row r="4285" spans="2:3" x14ac:dyDescent="0.35">
      <c r="B4285" s="87">
        <v>45777</v>
      </c>
      <c r="C4285" s="22">
        <v>487.75</v>
      </c>
    </row>
    <row r="4286" spans="2:3" x14ac:dyDescent="0.35">
      <c r="B4286" s="87">
        <v>45779</v>
      </c>
      <c r="C4286" s="22">
        <v>480.5</v>
      </c>
    </row>
    <row r="4287" spans="2:3" x14ac:dyDescent="0.35">
      <c r="B4287" s="87">
        <v>45782</v>
      </c>
      <c r="C4287" s="22">
        <v>481.85</v>
      </c>
    </row>
    <row r="4288" spans="2:3" x14ac:dyDescent="0.35">
      <c r="B4288" s="87">
        <v>45783</v>
      </c>
      <c r="C4288" s="22">
        <v>480.6</v>
      </c>
    </row>
    <row r="4289" spans="2:3" x14ac:dyDescent="0.35">
      <c r="B4289" s="87">
        <v>45784</v>
      </c>
      <c r="C4289" s="22">
        <v>482.1</v>
      </c>
    </row>
    <row r="4290" spans="2:3" x14ac:dyDescent="0.35">
      <c r="B4290" s="87">
        <v>45785</v>
      </c>
      <c r="C4290" s="22">
        <v>468.7</v>
      </c>
    </row>
    <row r="4291" spans="2:3" x14ac:dyDescent="0.35">
      <c r="B4291" s="87">
        <v>45786</v>
      </c>
      <c r="C4291" s="22">
        <v>462.75</v>
      </c>
    </row>
    <row r="4292" spans="2:3" x14ac:dyDescent="0.35">
      <c r="B4292" s="87">
        <v>45789</v>
      </c>
      <c r="C4292" s="22">
        <v>475.05</v>
      </c>
    </row>
    <row r="4293" spans="2:3" x14ac:dyDescent="0.35">
      <c r="B4293" s="87">
        <v>45790</v>
      </c>
      <c r="C4293" s="22">
        <v>473.75</v>
      </c>
    </row>
    <row r="4294" spans="2:3" x14ac:dyDescent="0.35">
      <c r="B4294" s="87">
        <v>45791</v>
      </c>
      <c r="C4294" s="22">
        <v>468.95</v>
      </c>
    </row>
    <row r="4295" spans="2:3" x14ac:dyDescent="0.35">
      <c r="B4295" s="87">
        <v>45792</v>
      </c>
      <c r="C4295" s="22">
        <v>469</v>
      </c>
    </row>
    <row r="4296" spans="2:3" x14ac:dyDescent="0.35">
      <c r="B4296" s="87">
        <v>45793</v>
      </c>
      <c r="C4296" s="22">
        <v>476.65</v>
      </c>
    </row>
    <row r="4297" spans="2:3" x14ac:dyDescent="0.35">
      <c r="B4297" s="87">
        <v>45796</v>
      </c>
      <c r="C4297" s="22">
        <v>483.45</v>
      </c>
    </row>
    <row r="4298" spans="2:3" x14ac:dyDescent="0.35">
      <c r="B4298" s="87">
        <v>45797</v>
      </c>
      <c r="C4298" s="22">
        <v>475.65</v>
      </c>
    </row>
    <row r="4299" spans="2:3" x14ac:dyDescent="0.35">
      <c r="B4299" s="87">
        <v>45798</v>
      </c>
      <c r="C4299" s="22">
        <v>481.75</v>
      </c>
    </row>
    <row r="4300" spans="2:3" x14ac:dyDescent="0.35">
      <c r="B4300" s="87">
        <v>45799</v>
      </c>
      <c r="C4300" s="22">
        <v>477.05</v>
      </c>
    </row>
    <row r="4301" spans="2:3" x14ac:dyDescent="0.35">
      <c r="B4301" s="87">
        <v>45800</v>
      </c>
      <c r="C4301" s="22">
        <v>481.95</v>
      </c>
    </row>
    <row r="4302" spans="2:3" x14ac:dyDescent="0.35">
      <c r="B4302" s="87">
        <v>45803</v>
      </c>
      <c r="C4302" s="22">
        <v>480.3</v>
      </c>
    </row>
    <row r="4303" spans="2:3" x14ac:dyDescent="0.35">
      <c r="B4303" s="87">
        <v>45804</v>
      </c>
      <c r="C4303" s="22">
        <v>484.1</v>
      </c>
    </row>
    <row r="4304" spans="2:3" x14ac:dyDescent="0.35">
      <c r="B4304" s="87">
        <v>45805</v>
      </c>
      <c r="C4304" s="22">
        <v>484.7</v>
      </c>
    </row>
    <row r="4305" spans="2:3" x14ac:dyDescent="0.35">
      <c r="B4305" s="87">
        <v>45806</v>
      </c>
      <c r="C4305" s="22">
        <v>482.1</v>
      </c>
    </row>
    <row r="4306" spans="2:3" x14ac:dyDescent="0.35">
      <c r="B4306" s="87">
        <v>45807</v>
      </c>
      <c r="C4306" s="22">
        <v>482.95</v>
      </c>
    </row>
  </sheetData>
  <autoFilter ref="B2:C4306" xr:uid="{69BE7647-50E5-4882-9A4A-73AE430665F1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817E-DE77-49C5-A3D3-9DCA23C9B930}">
  <sheetPr>
    <tabColor theme="7" tint="-0.499984740745262"/>
  </sheetPr>
  <dimension ref="B2:M50"/>
  <sheetViews>
    <sheetView showGridLines="0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7" sqref="L7:L8"/>
    </sheetView>
  </sheetViews>
  <sheetFormatPr defaultRowHeight="14.5" x14ac:dyDescent="0.35"/>
  <cols>
    <col min="1" max="1" width="1.81640625" customWidth="1"/>
    <col min="2" max="2" width="23" bestFit="1" customWidth="1"/>
  </cols>
  <sheetData>
    <row r="2" spans="2:12" x14ac:dyDescent="0.35">
      <c r="B2" s="59" t="s">
        <v>303</v>
      </c>
      <c r="C2" s="129">
        <v>42430</v>
      </c>
      <c r="D2" s="129">
        <v>42795</v>
      </c>
      <c r="E2" s="129">
        <v>43160</v>
      </c>
      <c r="F2" s="129">
        <v>43525</v>
      </c>
      <c r="G2" s="129">
        <v>43891</v>
      </c>
      <c r="H2" s="129">
        <v>44256</v>
      </c>
      <c r="I2" s="129">
        <v>44621</v>
      </c>
      <c r="J2" s="129">
        <v>44986</v>
      </c>
      <c r="K2" s="129">
        <v>45352</v>
      </c>
      <c r="L2" s="129">
        <v>45717</v>
      </c>
    </row>
    <row r="3" spans="2:12" x14ac:dyDescent="0.35">
      <c r="B3" s="130"/>
      <c r="C3" s="131"/>
      <c r="D3" s="131"/>
      <c r="E3" s="131"/>
      <c r="F3" s="131"/>
      <c r="G3" s="131"/>
      <c r="H3" s="131"/>
      <c r="I3" s="131"/>
      <c r="J3" s="131"/>
      <c r="K3" s="131"/>
      <c r="L3" s="131"/>
    </row>
    <row r="4" spans="2:12" x14ac:dyDescent="0.35">
      <c r="B4" s="2" t="s">
        <v>274</v>
      </c>
      <c r="C4" s="136">
        <v>176</v>
      </c>
      <c r="D4" s="136">
        <v>176</v>
      </c>
      <c r="E4" s="136">
        <v>176</v>
      </c>
      <c r="F4" s="136">
        <v>177</v>
      </c>
      <c r="G4" s="136">
        <v>177</v>
      </c>
      <c r="H4" s="136">
        <v>177</v>
      </c>
      <c r="I4" s="136">
        <v>177</v>
      </c>
      <c r="J4" s="136">
        <v>177</v>
      </c>
      <c r="K4" s="136">
        <v>177</v>
      </c>
      <c r="L4" s="136">
        <v>177</v>
      </c>
    </row>
    <row r="5" spans="2:12" x14ac:dyDescent="0.35">
      <c r="B5" s="2" t="s">
        <v>11</v>
      </c>
      <c r="C5" s="136">
        <v>3995</v>
      </c>
      <c r="D5" s="136">
        <v>4671</v>
      </c>
      <c r="E5" s="136">
        <v>5530</v>
      </c>
      <c r="F5" s="136">
        <v>5455</v>
      </c>
      <c r="G5" s="136">
        <v>6429</v>
      </c>
      <c r="H5" s="136">
        <v>7487</v>
      </c>
      <c r="I5" s="136">
        <v>8205</v>
      </c>
      <c r="J5" s="136">
        <v>8796</v>
      </c>
      <c r="K5" s="136">
        <v>9689</v>
      </c>
      <c r="L5" s="136">
        <v>10623</v>
      </c>
    </row>
    <row r="6" spans="2:12" x14ac:dyDescent="0.35">
      <c r="B6" s="2" t="s">
        <v>275</v>
      </c>
      <c r="C6" s="136"/>
      <c r="D6" s="136"/>
      <c r="E6" s="136"/>
      <c r="F6" s="136"/>
      <c r="G6" s="136"/>
      <c r="H6" s="136"/>
      <c r="I6" s="136"/>
      <c r="J6" s="136"/>
      <c r="K6" s="136"/>
      <c r="L6" s="136"/>
    </row>
    <row r="7" spans="2:12" x14ac:dyDescent="0.35">
      <c r="B7" t="s">
        <v>276</v>
      </c>
      <c r="C7" s="136">
        <v>342</v>
      </c>
      <c r="D7" s="136">
        <v>470</v>
      </c>
      <c r="E7" s="136">
        <v>364</v>
      </c>
      <c r="F7" s="136">
        <v>26</v>
      </c>
      <c r="G7" s="136">
        <v>163</v>
      </c>
      <c r="H7" s="136">
        <v>1</v>
      </c>
      <c r="I7" s="136">
        <v>250</v>
      </c>
      <c r="J7" s="136">
        <v>299</v>
      </c>
      <c r="K7" s="136">
        <v>536</v>
      </c>
      <c r="L7" s="136">
        <v>304</v>
      </c>
    </row>
    <row r="8" spans="2:12" x14ac:dyDescent="0.35">
      <c r="B8" t="s">
        <v>277</v>
      </c>
      <c r="C8" s="136">
        <v>450</v>
      </c>
      <c r="D8" s="136">
        <v>440</v>
      </c>
      <c r="E8" s="136">
        <v>464</v>
      </c>
      <c r="F8" s="136">
        <v>498</v>
      </c>
      <c r="G8" s="136">
        <v>304</v>
      </c>
      <c r="H8" s="136">
        <v>349</v>
      </c>
      <c r="I8" s="136">
        <v>617</v>
      </c>
      <c r="J8" s="136">
        <v>700</v>
      </c>
      <c r="K8" s="136">
        <v>622</v>
      </c>
      <c r="L8" s="136">
        <v>426</v>
      </c>
    </row>
    <row r="9" spans="2:12" x14ac:dyDescent="0.35">
      <c r="B9" t="s">
        <v>278</v>
      </c>
      <c r="C9" s="136">
        <v>0</v>
      </c>
      <c r="D9" s="136">
        <v>0</v>
      </c>
      <c r="E9" s="136">
        <v>0</v>
      </c>
      <c r="F9" s="136">
        <v>0</v>
      </c>
      <c r="G9" s="136">
        <v>0</v>
      </c>
      <c r="H9" s="136">
        <v>159</v>
      </c>
      <c r="I9" s="136">
        <v>162</v>
      </c>
      <c r="J9" s="136">
        <v>175</v>
      </c>
      <c r="K9" s="136">
        <v>207</v>
      </c>
      <c r="L9" s="136">
        <v>220</v>
      </c>
    </row>
    <row r="10" spans="2:12" x14ac:dyDescent="0.35">
      <c r="B10" t="s">
        <v>279</v>
      </c>
      <c r="C10" s="136">
        <v>13</v>
      </c>
      <c r="D10" s="136">
        <v>64</v>
      </c>
      <c r="E10" s="136">
        <v>109</v>
      </c>
      <c r="F10" s="136">
        <v>175</v>
      </c>
      <c r="G10" s="136">
        <v>55</v>
      </c>
      <c r="H10" s="136">
        <v>0</v>
      </c>
      <c r="I10" s="136">
        <v>0</v>
      </c>
      <c r="J10" s="136">
        <v>0</v>
      </c>
      <c r="K10" s="136">
        <v>0</v>
      </c>
      <c r="L10" s="136"/>
    </row>
    <row r="11" spans="2:12" x14ac:dyDescent="0.35">
      <c r="B11" s="2" t="s">
        <v>280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</row>
    <row r="12" spans="2:12" x14ac:dyDescent="0.35">
      <c r="B12" t="s">
        <v>281</v>
      </c>
      <c r="C12" s="136">
        <v>22</v>
      </c>
      <c r="D12" s="136">
        <v>25</v>
      </c>
      <c r="E12" s="136">
        <v>27</v>
      </c>
      <c r="F12" s="136">
        <v>31</v>
      </c>
      <c r="G12" s="136">
        <v>36</v>
      </c>
      <c r="H12" s="136">
        <v>37</v>
      </c>
      <c r="I12" s="136">
        <v>41</v>
      </c>
      <c r="J12" s="136">
        <v>468</v>
      </c>
      <c r="K12" s="136">
        <v>437</v>
      </c>
      <c r="L12" s="136">
        <v>410</v>
      </c>
    </row>
    <row r="13" spans="2:12" x14ac:dyDescent="0.35">
      <c r="B13" t="s">
        <v>282</v>
      </c>
      <c r="C13" s="136">
        <v>1330</v>
      </c>
      <c r="D13" s="136">
        <v>1310</v>
      </c>
      <c r="E13" s="136">
        <v>1410</v>
      </c>
      <c r="F13" s="136">
        <v>1455</v>
      </c>
      <c r="G13" s="136">
        <v>1482</v>
      </c>
      <c r="H13" s="136">
        <v>1915</v>
      </c>
      <c r="I13" s="136">
        <v>2018</v>
      </c>
      <c r="J13" s="136">
        <v>2187</v>
      </c>
      <c r="K13" s="136">
        <v>2422</v>
      </c>
      <c r="L13" s="136">
        <v>2825</v>
      </c>
    </row>
    <row r="14" spans="2:12" x14ac:dyDescent="0.35">
      <c r="B14" t="s">
        <v>283</v>
      </c>
      <c r="C14" s="136">
        <v>35</v>
      </c>
      <c r="D14" s="136">
        <v>18</v>
      </c>
      <c r="E14" s="136">
        <v>25</v>
      </c>
      <c r="F14" s="136">
        <v>28</v>
      </c>
      <c r="G14" s="136">
        <v>30</v>
      </c>
      <c r="H14" s="136">
        <v>43</v>
      </c>
      <c r="I14" s="136">
        <v>37</v>
      </c>
      <c r="J14" s="136">
        <v>9</v>
      </c>
      <c r="K14" s="136">
        <v>33</v>
      </c>
      <c r="L14" s="136"/>
    </row>
    <row r="15" spans="2:12" x14ac:dyDescent="0.35">
      <c r="B15" t="s">
        <v>284</v>
      </c>
      <c r="C15" s="136">
        <v>569</v>
      </c>
      <c r="D15" s="136">
        <v>557</v>
      </c>
      <c r="E15" s="136">
        <v>596</v>
      </c>
      <c r="F15" s="136">
        <v>591</v>
      </c>
      <c r="G15" s="136">
        <v>660</v>
      </c>
      <c r="H15" s="136">
        <v>666</v>
      </c>
      <c r="I15" s="136">
        <v>777</v>
      </c>
      <c r="J15" s="136">
        <v>842</v>
      </c>
      <c r="K15" s="136">
        <v>994</v>
      </c>
      <c r="L15" s="136">
        <v>1246</v>
      </c>
    </row>
    <row r="16" spans="2:12" ht="15" thickBot="1" x14ac:dyDescent="0.4">
      <c r="B16" s="132" t="s">
        <v>82</v>
      </c>
      <c r="C16" s="137">
        <v>6932</v>
      </c>
      <c r="D16" s="137">
        <v>7732</v>
      </c>
      <c r="E16" s="137">
        <v>8702</v>
      </c>
      <c r="F16" s="137">
        <v>8437</v>
      </c>
      <c r="G16" s="137">
        <v>9337</v>
      </c>
      <c r="H16" s="137">
        <v>10833</v>
      </c>
      <c r="I16" s="137">
        <v>12284</v>
      </c>
      <c r="J16" s="137">
        <v>13652</v>
      </c>
      <c r="K16" s="137">
        <v>15116</v>
      </c>
      <c r="L16" s="137">
        <v>16232</v>
      </c>
    </row>
    <row r="17" spans="2:13" ht="15" thickTop="1" x14ac:dyDescent="0.35">
      <c r="B17" s="2"/>
      <c r="C17" s="134"/>
      <c r="D17" s="134"/>
      <c r="E17" s="134"/>
      <c r="F17" s="134"/>
      <c r="G17" s="134"/>
      <c r="H17" s="134"/>
      <c r="I17" s="134"/>
      <c r="J17" s="134"/>
      <c r="K17" s="134"/>
      <c r="L17" s="134"/>
    </row>
    <row r="18" spans="2:13" x14ac:dyDescent="0.35">
      <c r="B18" s="2" t="s">
        <v>285</v>
      </c>
      <c r="C18" s="133"/>
      <c r="D18" s="133"/>
      <c r="E18" s="133"/>
      <c r="F18" s="133"/>
      <c r="G18" s="133"/>
      <c r="H18" s="133"/>
      <c r="I18" s="133"/>
      <c r="J18" s="133"/>
      <c r="K18" s="133"/>
      <c r="L18" s="133"/>
    </row>
    <row r="19" spans="2:13" x14ac:dyDescent="0.35">
      <c r="B19" t="s">
        <v>286</v>
      </c>
      <c r="C19" s="140">
        <v>80</v>
      </c>
      <c r="D19" s="140">
        <v>98</v>
      </c>
      <c r="E19" s="140">
        <v>108</v>
      </c>
      <c r="F19" s="140">
        <v>108</v>
      </c>
      <c r="G19" s="140">
        <v>103</v>
      </c>
      <c r="H19" s="140">
        <v>93</v>
      </c>
      <c r="I19" s="140">
        <v>123</v>
      </c>
      <c r="J19" s="140">
        <v>141</v>
      </c>
      <c r="K19" s="140">
        <v>145</v>
      </c>
      <c r="L19" s="140"/>
    </row>
    <row r="20" spans="2:13" x14ac:dyDescent="0.35">
      <c r="B20" t="s">
        <v>287</v>
      </c>
      <c r="C20" s="140">
        <v>629</v>
      </c>
      <c r="D20" s="140">
        <v>714</v>
      </c>
      <c r="E20" s="140">
        <v>763</v>
      </c>
      <c r="F20" s="140">
        <v>788</v>
      </c>
      <c r="G20" s="140">
        <v>1054</v>
      </c>
      <c r="H20" s="140">
        <v>1057</v>
      </c>
      <c r="I20" s="140">
        <v>1144</v>
      </c>
      <c r="J20" s="140">
        <v>1279</v>
      </c>
      <c r="K20" s="140">
        <v>1513</v>
      </c>
      <c r="L20" s="140"/>
    </row>
    <row r="21" spans="2:13" x14ac:dyDescent="0.35">
      <c r="B21" t="s">
        <v>288</v>
      </c>
      <c r="C21" s="140">
        <v>1122</v>
      </c>
      <c r="D21" s="140">
        <v>1303</v>
      </c>
      <c r="E21" s="140">
        <v>1431</v>
      </c>
      <c r="F21" s="140">
        <v>1527</v>
      </c>
      <c r="G21" s="140">
        <v>1719</v>
      </c>
      <c r="H21" s="140">
        <v>1862</v>
      </c>
      <c r="I21" s="140">
        <v>2074</v>
      </c>
      <c r="J21" s="140">
        <v>2408</v>
      </c>
      <c r="K21" s="140">
        <v>2775</v>
      </c>
      <c r="L21" s="140"/>
    </row>
    <row r="22" spans="2:13" x14ac:dyDescent="0.35">
      <c r="B22" t="s">
        <v>289</v>
      </c>
      <c r="C22" s="140">
        <v>58</v>
      </c>
      <c r="D22" s="140">
        <v>62</v>
      </c>
      <c r="E22" s="140">
        <v>59</v>
      </c>
      <c r="F22" s="140">
        <v>68</v>
      </c>
      <c r="G22" s="140">
        <v>69</v>
      </c>
      <c r="H22" s="140">
        <v>73</v>
      </c>
      <c r="I22" s="140">
        <v>78</v>
      </c>
      <c r="J22" s="140">
        <v>88</v>
      </c>
      <c r="K22" s="140">
        <v>93</v>
      </c>
      <c r="L22" s="140"/>
    </row>
    <row r="23" spans="2:13" x14ac:dyDescent="0.35">
      <c r="B23" t="s">
        <v>290</v>
      </c>
      <c r="C23" s="140">
        <v>89</v>
      </c>
      <c r="D23" s="140">
        <v>94</v>
      </c>
      <c r="E23" s="140">
        <v>104</v>
      </c>
      <c r="F23" s="140">
        <v>113</v>
      </c>
      <c r="G23" s="140">
        <v>126</v>
      </c>
      <c r="H23" s="140">
        <v>129</v>
      </c>
      <c r="I23" s="140">
        <v>134</v>
      </c>
      <c r="J23" s="140">
        <v>148</v>
      </c>
      <c r="K23" s="140">
        <v>159</v>
      </c>
      <c r="L23" s="140"/>
    </row>
    <row r="24" spans="2:13" x14ac:dyDescent="0.35">
      <c r="B24" t="s">
        <v>291</v>
      </c>
      <c r="C24" s="140">
        <v>35</v>
      </c>
      <c r="D24" s="140">
        <v>35</v>
      </c>
      <c r="E24" s="140">
        <v>42</v>
      </c>
      <c r="F24" s="140">
        <v>44</v>
      </c>
      <c r="G24" s="140">
        <v>45</v>
      </c>
      <c r="H24" s="140">
        <v>45</v>
      </c>
      <c r="I24" s="140">
        <v>47</v>
      </c>
      <c r="J24" s="140">
        <v>43</v>
      </c>
      <c r="K24" s="140">
        <v>44</v>
      </c>
      <c r="L24" s="140"/>
    </row>
    <row r="25" spans="2:13" x14ac:dyDescent="0.35">
      <c r="B25" t="s">
        <v>292</v>
      </c>
      <c r="C25" s="140">
        <v>425</v>
      </c>
      <c r="D25" s="140">
        <v>425</v>
      </c>
      <c r="E25" s="140">
        <v>426</v>
      </c>
      <c r="F25" s="140">
        <v>367</v>
      </c>
      <c r="G25" s="140">
        <v>374</v>
      </c>
      <c r="H25" s="140">
        <v>375</v>
      </c>
      <c r="I25" s="140">
        <v>291</v>
      </c>
      <c r="J25" s="140">
        <v>1322</v>
      </c>
      <c r="K25" s="140">
        <v>1321</v>
      </c>
      <c r="L25" s="140">
        <v>1149</v>
      </c>
    </row>
    <row r="26" spans="2:13" x14ac:dyDescent="0.35">
      <c r="B26" t="s">
        <v>293</v>
      </c>
      <c r="C26" s="140">
        <v>46</v>
      </c>
      <c r="D26" s="140">
        <v>112</v>
      </c>
      <c r="E26" s="140">
        <v>113</v>
      </c>
      <c r="F26" s="140">
        <v>125</v>
      </c>
      <c r="G26" s="140">
        <v>139</v>
      </c>
      <c r="H26" s="140">
        <v>146</v>
      </c>
      <c r="I26" s="140">
        <v>149</v>
      </c>
      <c r="J26" s="140">
        <v>154</v>
      </c>
      <c r="K26" s="140">
        <v>164</v>
      </c>
      <c r="L26" s="140"/>
    </row>
    <row r="27" spans="2:13" x14ac:dyDescent="0.35">
      <c r="B27" s="2" t="s">
        <v>294</v>
      </c>
      <c r="C27" s="139">
        <v>2484</v>
      </c>
      <c r="D27" s="139">
        <v>2843</v>
      </c>
      <c r="E27" s="139">
        <v>3046</v>
      </c>
      <c r="F27" s="139">
        <v>3139</v>
      </c>
      <c r="G27" s="139">
        <v>3629</v>
      </c>
      <c r="H27" s="139">
        <v>3779</v>
      </c>
      <c r="I27" s="139">
        <v>4041</v>
      </c>
      <c r="J27" s="139">
        <v>5583</v>
      </c>
      <c r="K27" s="139">
        <v>6215</v>
      </c>
      <c r="L27" s="139"/>
    </row>
    <row r="28" spans="2:13" x14ac:dyDescent="0.35">
      <c r="B28" s="2" t="s">
        <v>295</v>
      </c>
      <c r="C28" s="140">
        <v>816</v>
      </c>
      <c r="D28" s="140">
        <v>884</v>
      </c>
      <c r="E28" s="140">
        <v>1018</v>
      </c>
      <c r="F28" s="140">
        <v>1170</v>
      </c>
      <c r="G28" s="140">
        <v>1377</v>
      </c>
      <c r="H28" s="140">
        <v>1536</v>
      </c>
      <c r="I28" s="140">
        <v>1733</v>
      </c>
      <c r="J28" s="140">
        <v>2004</v>
      </c>
      <c r="K28" s="140">
        <v>2400</v>
      </c>
      <c r="L28" s="140"/>
      <c r="M28" s="2"/>
    </row>
    <row r="29" spans="2:13" x14ac:dyDescent="0.35">
      <c r="B29" s="138" t="s">
        <v>13</v>
      </c>
      <c r="C29" s="134">
        <f>C27-C28</f>
        <v>1668</v>
      </c>
      <c r="D29" s="134">
        <f t="shared" ref="D29:L29" si="0">D27-D28</f>
        <v>1959</v>
      </c>
      <c r="E29" s="134">
        <f t="shared" si="0"/>
        <v>2028</v>
      </c>
      <c r="F29" s="134">
        <f t="shared" si="0"/>
        <v>1969</v>
      </c>
      <c r="G29" s="134">
        <f t="shared" si="0"/>
        <v>2252</v>
      </c>
      <c r="H29" s="134">
        <f t="shared" si="0"/>
        <v>2243</v>
      </c>
      <c r="I29" s="134">
        <f t="shared" si="0"/>
        <v>2308</v>
      </c>
      <c r="J29" s="134">
        <f t="shared" si="0"/>
        <v>3579</v>
      </c>
      <c r="K29" s="134">
        <f t="shared" si="0"/>
        <v>3815</v>
      </c>
      <c r="L29" s="134">
        <f t="shared" si="0"/>
        <v>0</v>
      </c>
      <c r="M29" s="2"/>
    </row>
    <row r="30" spans="2:13" x14ac:dyDescent="0.35">
      <c r="B30" s="2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2"/>
    </row>
    <row r="31" spans="2:13" x14ac:dyDescent="0.35">
      <c r="B31" s="2" t="s">
        <v>296</v>
      </c>
      <c r="C31" s="139">
        <v>45</v>
      </c>
      <c r="D31" s="139">
        <v>42</v>
      </c>
      <c r="E31" s="139">
        <v>42</v>
      </c>
      <c r="F31" s="139">
        <v>64</v>
      </c>
      <c r="G31" s="139">
        <v>147</v>
      </c>
      <c r="H31" s="139">
        <v>147</v>
      </c>
      <c r="I31" s="139">
        <v>168</v>
      </c>
      <c r="J31" s="139">
        <v>175</v>
      </c>
      <c r="K31" s="139">
        <v>232</v>
      </c>
      <c r="L31" s="139">
        <v>166</v>
      </c>
    </row>
    <row r="32" spans="2:13" x14ac:dyDescent="0.35">
      <c r="B32" s="2" t="s">
        <v>15</v>
      </c>
      <c r="C32" s="139">
        <v>2691</v>
      </c>
      <c r="D32" s="139">
        <v>3240</v>
      </c>
      <c r="E32" s="139">
        <v>3805</v>
      </c>
      <c r="F32" s="139">
        <v>3359</v>
      </c>
      <c r="G32" s="139">
        <v>2800</v>
      </c>
      <c r="H32" s="139">
        <v>4160</v>
      </c>
      <c r="I32" s="139">
        <v>6220</v>
      </c>
      <c r="J32" s="139">
        <v>6265</v>
      </c>
      <c r="K32" s="139">
        <v>6933</v>
      </c>
      <c r="L32" s="139">
        <v>7468</v>
      </c>
    </row>
    <row r="33" spans="2:13" x14ac:dyDescent="0.35">
      <c r="B33" s="2"/>
      <c r="C33" s="134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2:13" x14ac:dyDescent="0.35">
      <c r="B34" s="2" t="s">
        <v>297</v>
      </c>
      <c r="C34" s="133"/>
      <c r="D34" s="133"/>
      <c r="E34" s="133"/>
      <c r="F34" s="133"/>
      <c r="G34" s="133"/>
      <c r="H34" s="133"/>
      <c r="I34" s="133"/>
      <c r="J34" s="133"/>
      <c r="K34" s="133"/>
      <c r="L34" s="133"/>
    </row>
    <row r="35" spans="2:13" x14ac:dyDescent="0.35">
      <c r="B35" t="s">
        <v>298</v>
      </c>
      <c r="C35" s="140">
        <v>1096</v>
      </c>
      <c r="D35" s="140">
        <v>1107</v>
      </c>
      <c r="E35" s="140">
        <v>1256</v>
      </c>
      <c r="F35" s="140">
        <v>1301</v>
      </c>
      <c r="G35" s="140">
        <v>1380</v>
      </c>
      <c r="H35" s="140">
        <v>1734</v>
      </c>
      <c r="I35" s="140">
        <v>1911</v>
      </c>
      <c r="J35" s="140">
        <v>2024</v>
      </c>
      <c r="K35" s="140">
        <v>1947</v>
      </c>
      <c r="L35" s="140">
        <v>2300</v>
      </c>
    </row>
    <row r="36" spans="2:13" x14ac:dyDescent="0.35">
      <c r="B36" t="s">
        <v>299</v>
      </c>
      <c r="C36" s="140">
        <v>809</v>
      </c>
      <c r="D36" s="140">
        <v>650</v>
      </c>
      <c r="E36" s="140">
        <v>706</v>
      </c>
      <c r="F36" s="140">
        <v>834</v>
      </c>
      <c r="G36" s="140">
        <v>814</v>
      </c>
      <c r="H36" s="140">
        <v>562</v>
      </c>
      <c r="I36" s="140">
        <v>646</v>
      </c>
      <c r="J36" s="140">
        <v>849</v>
      </c>
      <c r="K36" s="140">
        <v>899</v>
      </c>
      <c r="L36" s="140">
        <v>888</v>
      </c>
    </row>
    <row r="37" spans="2:13" x14ac:dyDescent="0.35">
      <c r="B37" t="s">
        <v>300</v>
      </c>
      <c r="C37" s="140">
        <v>220</v>
      </c>
      <c r="D37" s="140">
        <v>305</v>
      </c>
      <c r="E37" s="140">
        <v>306</v>
      </c>
      <c r="F37" s="140">
        <v>328</v>
      </c>
      <c r="G37" s="140">
        <v>811</v>
      </c>
      <c r="H37" s="140">
        <v>1329</v>
      </c>
      <c r="I37" s="140">
        <v>570</v>
      </c>
      <c r="J37" s="140">
        <v>326</v>
      </c>
      <c r="K37" s="140">
        <v>666</v>
      </c>
      <c r="L37" s="140">
        <v>578</v>
      </c>
    </row>
    <row r="38" spans="2:13" x14ac:dyDescent="0.35">
      <c r="B38" t="s">
        <v>301</v>
      </c>
      <c r="C38" s="140">
        <v>106</v>
      </c>
      <c r="D38" s="140">
        <v>108</v>
      </c>
      <c r="E38" s="140">
        <v>121</v>
      </c>
      <c r="F38" s="140">
        <v>123</v>
      </c>
      <c r="G38" s="140">
        <v>128</v>
      </c>
      <c r="H38" s="140">
        <v>138</v>
      </c>
      <c r="I38" s="140">
        <v>147</v>
      </c>
      <c r="J38" s="140">
        <v>101</v>
      </c>
      <c r="K38" s="140">
        <v>216</v>
      </c>
      <c r="L38" s="140">
        <v>21</v>
      </c>
    </row>
    <row r="39" spans="2:13" x14ac:dyDescent="0.35">
      <c r="B39" t="s">
        <v>302</v>
      </c>
      <c r="C39" s="141">
        <v>298</v>
      </c>
      <c r="D39" s="141">
        <v>322</v>
      </c>
      <c r="E39" s="141">
        <v>438</v>
      </c>
      <c r="F39" s="141">
        <v>460</v>
      </c>
      <c r="G39" s="141">
        <v>1005</v>
      </c>
      <c r="H39" s="141">
        <v>520</v>
      </c>
      <c r="I39" s="141">
        <v>314</v>
      </c>
      <c r="J39" s="141">
        <v>333</v>
      </c>
      <c r="K39" s="141">
        <v>408</v>
      </c>
      <c r="L39" s="141">
        <v>818</v>
      </c>
    </row>
    <row r="40" spans="2:13" ht="15" thickBot="1" x14ac:dyDescent="0.4">
      <c r="B40" s="142" t="s">
        <v>86</v>
      </c>
      <c r="C40" s="143">
        <v>6932</v>
      </c>
      <c r="D40" s="143">
        <v>7732</v>
      </c>
      <c r="E40" s="143">
        <v>8702</v>
      </c>
      <c r="F40" s="143">
        <v>8437</v>
      </c>
      <c r="G40" s="143">
        <v>9337</v>
      </c>
      <c r="H40" s="143">
        <v>10833</v>
      </c>
      <c r="I40" s="143">
        <v>12284</v>
      </c>
      <c r="J40" s="143">
        <v>13652</v>
      </c>
      <c r="K40" s="143">
        <v>15116</v>
      </c>
      <c r="L40" s="143">
        <v>16232</v>
      </c>
      <c r="M40" s="2"/>
    </row>
    <row r="41" spans="2:13" ht="15" thickTop="1" x14ac:dyDescent="0.35">
      <c r="C41" s="133"/>
      <c r="D41" s="133"/>
      <c r="E41" s="133"/>
      <c r="F41" s="133"/>
      <c r="G41" s="133"/>
      <c r="H41" s="133"/>
      <c r="I41" s="133"/>
      <c r="J41" s="133"/>
      <c r="K41" s="133"/>
      <c r="L41" s="133"/>
    </row>
    <row r="42" spans="2:13" x14ac:dyDescent="0.35">
      <c r="C42" s="133"/>
      <c r="D42" s="133"/>
      <c r="E42" s="133"/>
      <c r="F42" s="133"/>
      <c r="G42" s="133"/>
      <c r="H42" s="133"/>
      <c r="I42" s="133"/>
      <c r="J42" s="133"/>
      <c r="K42" s="133"/>
      <c r="L42" s="133"/>
    </row>
    <row r="43" spans="2:13" x14ac:dyDescent="0.35">
      <c r="C43" s="135"/>
      <c r="D43" s="135"/>
      <c r="E43" s="135"/>
      <c r="F43" s="135"/>
      <c r="G43" s="135"/>
      <c r="H43" s="135"/>
      <c r="I43" s="135"/>
      <c r="J43" s="135"/>
      <c r="K43" s="135"/>
      <c r="L43" s="135"/>
    </row>
    <row r="44" spans="2:13" x14ac:dyDescent="0.35">
      <c r="C44" s="135"/>
      <c r="D44" s="135"/>
      <c r="E44" s="135"/>
      <c r="F44" s="135"/>
      <c r="G44" s="135"/>
      <c r="H44" s="135"/>
      <c r="I44" s="135"/>
      <c r="J44" s="135"/>
      <c r="K44" s="135"/>
      <c r="L44" s="135"/>
    </row>
    <row r="45" spans="2:13" x14ac:dyDescent="0.35">
      <c r="C45" s="135"/>
      <c r="D45" s="135"/>
      <c r="E45" s="135"/>
      <c r="F45" s="135"/>
      <c r="G45" s="135"/>
      <c r="H45" s="135"/>
      <c r="I45" s="135"/>
      <c r="J45" s="135"/>
      <c r="K45" s="135"/>
      <c r="L45" s="135"/>
    </row>
    <row r="46" spans="2:13" x14ac:dyDescent="0.35">
      <c r="C46" s="135"/>
      <c r="D46" s="135"/>
      <c r="E46" s="135"/>
      <c r="F46" s="135"/>
      <c r="G46" s="135"/>
      <c r="H46" s="135"/>
      <c r="I46" s="135"/>
      <c r="J46" s="135"/>
      <c r="K46" s="135"/>
      <c r="L46" s="135"/>
    </row>
    <row r="47" spans="2:13" x14ac:dyDescent="0.35">
      <c r="C47" s="135"/>
      <c r="D47" s="135"/>
      <c r="E47" s="135"/>
      <c r="F47" s="135"/>
      <c r="G47" s="135"/>
      <c r="H47" s="135"/>
      <c r="I47" s="135"/>
      <c r="J47" s="135"/>
      <c r="K47" s="135"/>
      <c r="L47" s="135"/>
    </row>
    <row r="48" spans="2:13" x14ac:dyDescent="0.35">
      <c r="C48" s="135"/>
      <c r="D48" s="135"/>
      <c r="E48" s="135"/>
      <c r="F48" s="135"/>
      <c r="G48" s="135"/>
      <c r="H48" s="135"/>
      <c r="I48" s="135"/>
      <c r="J48" s="135"/>
      <c r="K48" s="135"/>
      <c r="L48" s="135"/>
    </row>
    <row r="49" spans="3:12" x14ac:dyDescent="0.35">
      <c r="C49" s="135"/>
      <c r="D49" s="135"/>
      <c r="E49" s="135"/>
      <c r="F49" s="135"/>
      <c r="G49" s="135"/>
      <c r="H49" s="135"/>
      <c r="I49" s="135"/>
      <c r="J49" s="135"/>
      <c r="K49" s="135"/>
      <c r="L49" s="135"/>
    </row>
    <row r="50" spans="3:12" x14ac:dyDescent="0.35">
      <c r="C50" s="135"/>
      <c r="D50" s="135"/>
      <c r="E50" s="135"/>
      <c r="F50" s="135"/>
      <c r="G50" s="135"/>
      <c r="H50" s="135"/>
      <c r="I50" s="135"/>
      <c r="J50" s="135"/>
      <c r="K50" s="135"/>
      <c r="L50" s="13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9BF8-C8F7-458B-8803-22A799DC02B5}">
  <sheetPr>
    <tabColor rgb="FF002060"/>
  </sheetPr>
  <dimension ref="A1"/>
  <sheetViews>
    <sheetView workbookViewId="0">
      <selection activeCell="G8" sqref="G8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zoomScale="120" zoomScaleNormal="120" zoomScalePageLayoutView="120" workbookViewId="0">
      <pane xSplit="1" ySplit="1" topLeftCell="D56" activePane="bottomRight" state="frozen"/>
      <selection activeCell="C4" sqref="C4"/>
      <selection pane="topRight" activeCell="C4" sqref="C4"/>
      <selection pane="bottomLeft" activeCell="C4" sqref="C4"/>
      <selection pane="bottomRight" activeCell="K69" sqref="K69"/>
    </sheetView>
  </sheetViews>
  <sheetFormatPr defaultColWidth="8.81640625" defaultRowHeight="14.5" x14ac:dyDescent="0.35"/>
  <cols>
    <col min="1" max="1" width="27.6328125" style="3" bestFit="1" customWidth="1"/>
    <col min="2" max="11" width="13.453125" style="3" bestFit="1" customWidth="1"/>
    <col min="12" max="16384" width="8.81640625" style="3"/>
  </cols>
  <sheetData>
    <row r="1" spans="1:11" s="1" customFormat="1" x14ac:dyDescent="0.35">
      <c r="A1" s="1" t="s">
        <v>0</v>
      </c>
      <c r="B1" s="1" t="s">
        <v>32</v>
      </c>
      <c r="E1" s="202" t="str">
        <f>IF(B2&lt;&gt;B3, "A NEW VERSION OF THE WORKSHEET IS AVAILABLE", "")</f>
        <v/>
      </c>
      <c r="F1" s="202"/>
      <c r="G1" s="202"/>
      <c r="H1" s="202"/>
      <c r="I1" s="202"/>
      <c r="J1" s="202"/>
      <c r="K1" s="202"/>
    </row>
    <row r="2" spans="1:11" x14ac:dyDescent="0.35">
      <c r="A2" s="1" t="s">
        <v>30</v>
      </c>
      <c r="B2" s="3">
        <v>2.1</v>
      </c>
      <c r="E2" s="203" t="s">
        <v>21</v>
      </c>
      <c r="F2" s="203"/>
      <c r="G2" s="203"/>
      <c r="H2" s="203"/>
      <c r="I2" s="203"/>
      <c r="J2" s="203"/>
      <c r="K2" s="203"/>
    </row>
    <row r="3" spans="1:11" x14ac:dyDescent="0.35">
      <c r="A3" s="1" t="s">
        <v>31</v>
      </c>
      <c r="B3" s="3">
        <v>2.1</v>
      </c>
    </row>
    <row r="4" spans="1:11" x14ac:dyDescent="0.35">
      <c r="A4" s="1"/>
    </row>
    <row r="5" spans="1:11" x14ac:dyDescent="0.35">
      <c r="A5" s="1" t="s">
        <v>33</v>
      </c>
    </row>
    <row r="6" spans="1:11" x14ac:dyDescent="0.35">
      <c r="A6" s="3" t="s">
        <v>27</v>
      </c>
      <c r="B6" s="3">
        <f>IF(B9&gt;0, B9/B8, 0)</f>
        <v>177.195032487948</v>
      </c>
    </row>
    <row r="7" spans="1:11" x14ac:dyDescent="0.35">
      <c r="A7" s="3" t="s">
        <v>16</v>
      </c>
      <c r="B7">
        <v>1</v>
      </c>
    </row>
    <row r="8" spans="1:11" x14ac:dyDescent="0.35">
      <c r="A8" s="3" t="s">
        <v>28</v>
      </c>
      <c r="B8">
        <v>477.1</v>
      </c>
    </row>
    <row r="9" spans="1:11" x14ac:dyDescent="0.35">
      <c r="A9" s="3" t="s">
        <v>43</v>
      </c>
      <c r="B9">
        <v>84539.75</v>
      </c>
    </row>
    <row r="15" spans="1:11" x14ac:dyDescent="0.35">
      <c r="A15" s="1" t="s">
        <v>22</v>
      </c>
    </row>
    <row r="16" spans="1:11" s="7" customFormat="1" x14ac:dyDescent="0.35">
      <c r="A16" s="6" t="s">
        <v>23</v>
      </c>
      <c r="B16" s="5">
        <v>42460</v>
      </c>
      <c r="C16" s="5">
        <v>42825</v>
      </c>
      <c r="D16" s="5">
        <v>43190</v>
      </c>
      <c r="E16" s="5">
        <v>43555</v>
      </c>
      <c r="F16" s="5">
        <v>43921</v>
      </c>
      <c r="G16" s="5">
        <v>44286</v>
      </c>
      <c r="H16" s="5">
        <v>44651</v>
      </c>
      <c r="I16" s="5">
        <v>45016</v>
      </c>
      <c r="J16" s="5">
        <v>45382</v>
      </c>
      <c r="K16" s="5">
        <v>45747</v>
      </c>
    </row>
    <row r="17" spans="1:11" s="4" customFormat="1" x14ac:dyDescent="0.35">
      <c r="A17" s="4" t="s">
        <v>1</v>
      </c>
      <c r="B17">
        <v>7779.66</v>
      </c>
      <c r="C17">
        <v>7613.59</v>
      </c>
      <c r="D17">
        <v>7721.85</v>
      </c>
      <c r="E17">
        <v>8514.99</v>
      </c>
      <c r="F17">
        <v>8684.64</v>
      </c>
      <c r="G17">
        <v>9561.65</v>
      </c>
      <c r="H17">
        <v>10888.68</v>
      </c>
      <c r="I17">
        <v>11529.89</v>
      </c>
      <c r="J17">
        <v>12404.01</v>
      </c>
      <c r="K17">
        <v>12563.09</v>
      </c>
    </row>
    <row r="18" spans="1:11" s="4" customFormat="1" x14ac:dyDescent="0.35">
      <c r="A18" s="3" t="s">
        <v>44</v>
      </c>
      <c r="B18">
        <v>2739.77</v>
      </c>
      <c r="C18">
        <v>2659.55</v>
      </c>
      <c r="D18">
        <v>2775.35</v>
      </c>
      <c r="E18">
        <v>3067.95</v>
      </c>
      <c r="F18">
        <v>3138.49</v>
      </c>
      <c r="G18">
        <v>3764.3</v>
      </c>
      <c r="H18">
        <v>4136.7</v>
      </c>
      <c r="I18">
        <v>4762.03</v>
      </c>
      <c r="J18">
        <v>4714.88</v>
      </c>
      <c r="K18">
        <v>6591.96</v>
      </c>
    </row>
    <row r="19" spans="1:11" s="4" customFormat="1" x14ac:dyDescent="0.35">
      <c r="A19" s="3" t="s">
        <v>45</v>
      </c>
      <c r="B19">
        <v>70.53</v>
      </c>
      <c r="C19">
        <v>23.02</v>
      </c>
      <c r="D19">
        <v>65.930000000000007</v>
      </c>
      <c r="E19">
        <v>-12.64</v>
      </c>
      <c r="F19">
        <v>65.040000000000006</v>
      </c>
      <c r="G19">
        <v>207.2</v>
      </c>
      <c r="H19">
        <v>8.5500000000000007</v>
      </c>
      <c r="I19">
        <v>90.79</v>
      </c>
      <c r="J19">
        <v>-48.95</v>
      </c>
      <c r="K19">
        <v>57.1</v>
      </c>
    </row>
    <row r="20" spans="1:11" s="4" customFormat="1" x14ac:dyDescent="0.35">
      <c r="A20" s="3" t="s">
        <v>46</v>
      </c>
      <c r="B20">
        <v>84</v>
      </c>
      <c r="C20">
        <v>87.48</v>
      </c>
      <c r="D20">
        <v>93.91</v>
      </c>
      <c r="E20">
        <v>105.26</v>
      </c>
      <c r="F20">
        <v>107.12</v>
      </c>
      <c r="G20">
        <v>104.01</v>
      </c>
      <c r="H20">
        <v>128.66</v>
      </c>
      <c r="I20">
        <v>150.59</v>
      </c>
      <c r="J20">
        <v>153.44</v>
      </c>
    </row>
    <row r="21" spans="1:11" s="4" customFormat="1" x14ac:dyDescent="0.35">
      <c r="A21" s="3" t="s">
        <v>47</v>
      </c>
      <c r="B21">
        <v>1180.31</v>
      </c>
      <c r="C21">
        <v>1247.42</v>
      </c>
      <c r="D21">
        <v>1219</v>
      </c>
      <c r="E21">
        <v>1327.63</v>
      </c>
      <c r="F21">
        <v>1387.98</v>
      </c>
      <c r="G21">
        <v>1347.34</v>
      </c>
      <c r="H21">
        <v>1656.53</v>
      </c>
      <c r="I21">
        <v>1779.91</v>
      </c>
      <c r="J21">
        <v>1856.5</v>
      </c>
    </row>
    <row r="22" spans="1:11" s="4" customFormat="1" x14ac:dyDescent="0.35">
      <c r="A22" s="3" t="s">
        <v>48</v>
      </c>
      <c r="B22">
        <v>794.1</v>
      </c>
      <c r="C22">
        <v>790.3</v>
      </c>
      <c r="D22">
        <v>793.36</v>
      </c>
      <c r="E22">
        <v>938.55</v>
      </c>
      <c r="F22">
        <v>949.16</v>
      </c>
      <c r="G22">
        <v>1034.9000000000001</v>
      </c>
      <c r="H22">
        <v>1081.3900000000001</v>
      </c>
      <c r="I22">
        <v>1138.43</v>
      </c>
      <c r="J22">
        <v>1241.06</v>
      </c>
      <c r="K22">
        <v>1291.23</v>
      </c>
    </row>
    <row r="23" spans="1:11" s="4" customFormat="1" x14ac:dyDescent="0.35">
      <c r="A23" s="3" t="s">
        <v>49</v>
      </c>
      <c r="B23">
        <v>1217.44</v>
      </c>
      <c r="C23">
        <v>1161.4000000000001</v>
      </c>
      <c r="D23">
        <v>1135.3800000000001</v>
      </c>
      <c r="E23">
        <v>1183.56</v>
      </c>
      <c r="F23">
        <v>1224.5899999999999</v>
      </c>
      <c r="G23">
        <v>1388.27</v>
      </c>
      <c r="H23">
        <v>1480.71</v>
      </c>
      <c r="I23">
        <v>1426.95</v>
      </c>
      <c r="J23">
        <v>1779.99</v>
      </c>
      <c r="K23">
        <v>864.64</v>
      </c>
    </row>
    <row r="24" spans="1:11" s="4" customFormat="1" x14ac:dyDescent="0.35">
      <c r="A24" s="3" t="s">
        <v>50</v>
      </c>
      <c r="B24">
        <v>316.29000000000002</v>
      </c>
      <c r="C24">
        <v>178.85</v>
      </c>
      <c r="D24">
        <v>153.34</v>
      </c>
      <c r="E24">
        <v>139.84</v>
      </c>
      <c r="F24">
        <v>150</v>
      </c>
      <c r="G24">
        <v>128.36000000000001</v>
      </c>
      <c r="H24">
        <v>161.22999999999999</v>
      </c>
      <c r="I24">
        <v>200.28</v>
      </c>
      <c r="J24">
        <v>209.47</v>
      </c>
      <c r="K24">
        <v>1556.02</v>
      </c>
    </row>
    <row r="25" spans="1:11" s="4" customFormat="1" x14ac:dyDescent="0.35">
      <c r="A25" s="4" t="s">
        <v>4</v>
      </c>
      <c r="B25">
        <v>217.19</v>
      </c>
      <c r="C25">
        <v>295.93</v>
      </c>
      <c r="D25">
        <v>290.88</v>
      </c>
      <c r="E25">
        <v>221.79</v>
      </c>
      <c r="F25">
        <v>205.29</v>
      </c>
      <c r="G25">
        <v>325.29000000000002</v>
      </c>
      <c r="H25">
        <v>308.16000000000003</v>
      </c>
      <c r="I25">
        <v>445.39</v>
      </c>
      <c r="J25">
        <v>482.41</v>
      </c>
      <c r="K25">
        <v>550.65</v>
      </c>
    </row>
    <row r="26" spans="1:11" s="4" customFormat="1" x14ac:dyDescent="0.35">
      <c r="A26" s="4" t="s">
        <v>5</v>
      </c>
      <c r="B26">
        <v>133.19</v>
      </c>
      <c r="C26">
        <v>142.86000000000001</v>
      </c>
      <c r="D26">
        <v>162.18</v>
      </c>
      <c r="E26">
        <v>176.9</v>
      </c>
      <c r="F26">
        <v>220.45</v>
      </c>
      <c r="G26">
        <v>240.13</v>
      </c>
      <c r="H26">
        <v>252.89</v>
      </c>
      <c r="I26">
        <v>310.95999999999998</v>
      </c>
      <c r="J26">
        <v>399.21</v>
      </c>
      <c r="K26">
        <v>445.6</v>
      </c>
    </row>
    <row r="27" spans="1:11" s="4" customFormat="1" x14ac:dyDescent="0.35">
      <c r="A27" s="4" t="s">
        <v>6</v>
      </c>
      <c r="B27">
        <v>48.48</v>
      </c>
      <c r="C27">
        <v>54.03</v>
      </c>
      <c r="D27">
        <v>53.05</v>
      </c>
      <c r="E27">
        <v>59.58</v>
      </c>
      <c r="F27">
        <v>49.54</v>
      </c>
      <c r="G27">
        <v>30.81</v>
      </c>
      <c r="H27">
        <v>38.6</v>
      </c>
      <c r="I27">
        <v>78.239999999999995</v>
      </c>
      <c r="J27">
        <v>124.18</v>
      </c>
      <c r="K27">
        <v>163.5</v>
      </c>
    </row>
    <row r="28" spans="1:11" s="4" customFormat="1" x14ac:dyDescent="0.35">
      <c r="A28" s="4" t="s">
        <v>7</v>
      </c>
      <c r="B28">
        <v>1553.8</v>
      </c>
      <c r="C28">
        <v>1610.65</v>
      </c>
      <c r="D28">
        <v>1693.09</v>
      </c>
      <c r="E28">
        <v>1724.87</v>
      </c>
      <c r="F28">
        <v>1727.64</v>
      </c>
      <c r="G28">
        <v>2056.02</v>
      </c>
      <c r="H28">
        <v>2268.6799999999998</v>
      </c>
      <c r="I28">
        <v>2218.6799999999998</v>
      </c>
      <c r="J28">
        <v>2358.7399999999998</v>
      </c>
      <c r="K28">
        <v>2257.89</v>
      </c>
    </row>
    <row r="29" spans="1:11" s="4" customFormat="1" x14ac:dyDescent="0.35">
      <c r="A29" s="4" t="s">
        <v>8</v>
      </c>
      <c r="B29">
        <v>299.89999999999998</v>
      </c>
      <c r="C29">
        <v>330.34</v>
      </c>
      <c r="D29">
        <v>335.35</v>
      </c>
      <c r="E29">
        <v>278.62</v>
      </c>
      <c r="F29">
        <v>279.72000000000003</v>
      </c>
      <c r="G29">
        <v>361.07</v>
      </c>
      <c r="H29">
        <v>526.38</v>
      </c>
      <c r="I29">
        <v>517.35</v>
      </c>
      <c r="J29">
        <v>547.42999999999995</v>
      </c>
      <c r="K29">
        <v>517.47</v>
      </c>
    </row>
    <row r="30" spans="1:11" s="4" customFormat="1" x14ac:dyDescent="0.35">
      <c r="A30" s="4" t="s">
        <v>9</v>
      </c>
      <c r="B30">
        <v>1251.1500000000001</v>
      </c>
      <c r="C30">
        <v>1276.94</v>
      </c>
      <c r="D30">
        <v>1354.39</v>
      </c>
      <c r="E30">
        <v>1442.33</v>
      </c>
      <c r="F30">
        <v>1444.96</v>
      </c>
      <c r="G30">
        <v>1693.3</v>
      </c>
      <c r="H30">
        <v>1739.22</v>
      </c>
      <c r="I30">
        <v>1707.15</v>
      </c>
      <c r="J30">
        <v>1842.68</v>
      </c>
      <c r="K30">
        <v>1767.63</v>
      </c>
    </row>
    <row r="31" spans="1:11" s="4" customFormat="1" x14ac:dyDescent="0.35">
      <c r="A31" s="4" t="s">
        <v>34</v>
      </c>
      <c r="B31">
        <v>395.8</v>
      </c>
      <c r="C31">
        <v>396.34</v>
      </c>
      <c r="D31">
        <v>1100.94</v>
      </c>
      <c r="E31">
        <v>485.73</v>
      </c>
      <c r="F31">
        <v>530.13</v>
      </c>
      <c r="G31">
        <v>839.52</v>
      </c>
      <c r="H31">
        <v>919.31</v>
      </c>
      <c r="I31">
        <v>921.34</v>
      </c>
      <c r="J31">
        <v>974.6</v>
      </c>
      <c r="K31">
        <v>1417.84</v>
      </c>
    </row>
    <row r="32" spans="1:11" s="4" customFormat="1" x14ac:dyDescent="0.35">
      <c r="A32" s="4" t="s">
        <v>192</v>
      </c>
      <c r="B32" s="124">
        <f>B29/B30</f>
        <v>0.23969947648163686</v>
      </c>
      <c r="C32" s="124">
        <f t="shared" ref="C32:K32" si="0">C29/C30</f>
        <v>0.25869657149122116</v>
      </c>
      <c r="D32" s="124">
        <f t="shared" si="0"/>
        <v>0.24760224159953928</v>
      </c>
      <c r="E32" s="124">
        <f t="shared" si="0"/>
        <v>0.193173545582495</v>
      </c>
      <c r="F32" s="124">
        <f t="shared" si="0"/>
        <v>0.19358321337614884</v>
      </c>
      <c r="G32" s="124">
        <f t="shared" si="0"/>
        <v>0.21323451249040334</v>
      </c>
      <c r="H32" s="124">
        <f t="shared" si="0"/>
        <v>0.3026529133749612</v>
      </c>
      <c r="I32" s="124">
        <f t="shared" si="0"/>
        <v>0.30304894121781917</v>
      </c>
      <c r="J32" s="124">
        <f t="shared" si="0"/>
        <v>0.29708359563244835</v>
      </c>
      <c r="K32" s="124">
        <f t="shared" si="0"/>
        <v>0.29274791670202477</v>
      </c>
    </row>
    <row r="33" spans="1:11" x14ac:dyDescent="0.35">
      <c r="A33" s="4" t="s">
        <v>65</v>
      </c>
      <c r="B33" s="3">
        <f>B30+B29+B27+B26</f>
        <v>1732.7200000000003</v>
      </c>
      <c r="C33" s="3">
        <f t="shared" ref="C33:K33" si="1">C30+C29+C27+C26</f>
        <v>1804.17</v>
      </c>
      <c r="D33" s="3">
        <f t="shared" si="1"/>
        <v>1904.9700000000003</v>
      </c>
      <c r="E33" s="3">
        <f t="shared" si="1"/>
        <v>1957.4299999999998</v>
      </c>
      <c r="F33" s="3">
        <f t="shared" si="1"/>
        <v>1994.67</v>
      </c>
      <c r="G33" s="3">
        <f t="shared" si="1"/>
        <v>2325.31</v>
      </c>
      <c r="H33" s="3">
        <f t="shared" si="1"/>
        <v>2557.0899999999997</v>
      </c>
      <c r="I33" s="3">
        <f t="shared" si="1"/>
        <v>2613.6999999999998</v>
      </c>
      <c r="J33" s="3">
        <f t="shared" si="1"/>
        <v>2913.5</v>
      </c>
      <c r="K33" s="3">
        <f t="shared" si="1"/>
        <v>2894.2000000000003</v>
      </c>
    </row>
    <row r="34" spans="1:11" x14ac:dyDescent="0.35">
      <c r="A34" s="4"/>
    </row>
    <row r="35" spans="1:11" x14ac:dyDescent="0.35">
      <c r="A35" s="4"/>
    </row>
    <row r="36" spans="1:11" x14ac:dyDescent="0.35">
      <c r="A36" s="4"/>
    </row>
    <row r="37" spans="1:11" x14ac:dyDescent="0.35">
      <c r="A37" s="4"/>
    </row>
    <row r="38" spans="1:11" x14ac:dyDescent="0.35">
      <c r="A38" s="4"/>
    </row>
    <row r="39" spans="1:11" x14ac:dyDescent="0.35">
      <c r="A39" s="4"/>
    </row>
    <row r="40" spans="1:11" x14ac:dyDescent="0.35">
      <c r="A40" s="1" t="s">
        <v>24</v>
      </c>
    </row>
    <row r="41" spans="1:11" s="7" customFormat="1" x14ac:dyDescent="0.35">
      <c r="A41" s="6" t="s">
        <v>23</v>
      </c>
      <c r="B41" s="5">
        <v>44926</v>
      </c>
      <c r="C41" s="5">
        <v>45016</v>
      </c>
      <c r="D41" s="5">
        <v>45107</v>
      </c>
      <c r="E41" s="5">
        <v>45199</v>
      </c>
      <c r="F41" s="5">
        <v>45291</v>
      </c>
      <c r="G41" s="5">
        <v>45382</v>
      </c>
      <c r="H41" s="5">
        <v>45473</v>
      </c>
      <c r="I41" s="5">
        <v>45565</v>
      </c>
      <c r="J41" s="5">
        <v>45657</v>
      </c>
      <c r="K41" s="5">
        <v>45747</v>
      </c>
    </row>
    <row r="42" spans="1:11" s="4" customFormat="1" x14ac:dyDescent="0.35">
      <c r="A42" s="4" t="s">
        <v>1</v>
      </c>
      <c r="B42">
        <v>3043.17</v>
      </c>
      <c r="C42">
        <v>2677.8</v>
      </c>
      <c r="D42">
        <v>3130.47</v>
      </c>
      <c r="E42">
        <v>3203.84</v>
      </c>
      <c r="F42">
        <v>3255.06</v>
      </c>
      <c r="G42">
        <v>2814.64</v>
      </c>
      <c r="H42">
        <v>3349.11</v>
      </c>
      <c r="I42">
        <v>3028.59</v>
      </c>
      <c r="J42">
        <v>3355.25</v>
      </c>
      <c r="K42">
        <v>2830.14</v>
      </c>
    </row>
    <row r="43" spans="1:11" s="4" customFormat="1" x14ac:dyDescent="0.35">
      <c r="A43" s="4" t="s">
        <v>2</v>
      </c>
      <c r="B43">
        <v>2434.0500000000002</v>
      </c>
      <c r="C43">
        <v>2268.15</v>
      </c>
      <c r="D43">
        <v>2525.94</v>
      </c>
      <c r="E43">
        <v>2542.9699999999998</v>
      </c>
      <c r="F43">
        <v>2587.64</v>
      </c>
      <c r="G43">
        <v>2348.23</v>
      </c>
      <c r="H43">
        <v>2694.28</v>
      </c>
      <c r="I43">
        <v>2476.04</v>
      </c>
      <c r="J43">
        <v>2673.36</v>
      </c>
      <c r="K43">
        <v>2403.27</v>
      </c>
    </row>
    <row r="44" spans="1:11" s="4" customFormat="1" x14ac:dyDescent="0.35">
      <c r="A44" s="4" t="s">
        <v>4</v>
      </c>
      <c r="B44">
        <v>100.84</v>
      </c>
      <c r="C44">
        <v>120.72</v>
      </c>
      <c r="D44">
        <v>109.78</v>
      </c>
      <c r="E44">
        <v>116.9</v>
      </c>
      <c r="F44">
        <v>127.37</v>
      </c>
      <c r="G44">
        <v>128.85</v>
      </c>
      <c r="H44">
        <v>129.4</v>
      </c>
      <c r="I44">
        <v>151.76</v>
      </c>
      <c r="J44">
        <v>128.53</v>
      </c>
      <c r="K44">
        <v>141.16</v>
      </c>
    </row>
    <row r="45" spans="1:11" s="4" customFormat="1" x14ac:dyDescent="0.35">
      <c r="A45" s="4" t="s">
        <v>5</v>
      </c>
      <c r="B45">
        <v>70.89</v>
      </c>
      <c r="C45">
        <v>102</v>
      </c>
      <c r="D45">
        <v>96.64</v>
      </c>
      <c r="E45">
        <v>98.32</v>
      </c>
      <c r="F45">
        <v>96.89</v>
      </c>
      <c r="G45">
        <v>107.36</v>
      </c>
      <c r="H45">
        <v>109.12</v>
      </c>
      <c r="I45">
        <v>110.97</v>
      </c>
      <c r="J45">
        <v>108.64</v>
      </c>
      <c r="K45">
        <v>116.87</v>
      </c>
    </row>
    <row r="46" spans="1:11" s="4" customFormat="1" x14ac:dyDescent="0.35">
      <c r="A46" s="4" t="s">
        <v>6</v>
      </c>
      <c r="B46">
        <v>18.91</v>
      </c>
      <c r="C46">
        <v>32.119999999999997</v>
      </c>
      <c r="D46">
        <v>24.31</v>
      </c>
      <c r="E46">
        <v>28.14</v>
      </c>
      <c r="F46">
        <v>36.49</v>
      </c>
      <c r="G46">
        <v>35.24</v>
      </c>
      <c r="H46">
        <v>32.659999999999997</v>
      </c>
      <c r="I46">
        <v>47.39</v>
      </c>
      <c r="J46">
        <v>44.2</v>
      </c>
      <c r="K46">
        <v>39.25</v>
      </c>
    </row>
    <row r="47" spans="1:11" s="4" customFormat="1" x14ac:dyDescent="0.35">
      <c r="A47" s="4" t="s">
        <v>7</v>
      </c>
      <c r="B47">
        <v>620.16</v>
      </c>
      <c r="C47">
        <v>396.25</v>
      </c>
      <c r="D47">
        <v>593.36</v>
      </c>
      <c r="E47">
        <v>651.30999999999995</v>
      </c>
      <c r="F47">
        <v>661.41</v>
      </c>
      <c r="G47">
        <v>452.66</v>
      </c>
      <c r="H47">
        <v>642.45000000000005</v>
      </c>
      <c r="I47">
        <v>545.95000000000005</v>
      </c>
      <c r="J47">
        <v>657.58</v>
      </c>
      <c r="K47">
        <v>411.91</v>
      </c>
    </row>
    <row r="48" spans="1:11" s="4" customFormat="1" x14ac:dyDescent="0.35">
      <c r="A48" s="4" t="s">
        <v>8</v>
      </c>
      <c r="B48">
        <v>143.51</v>
      </c>
      <c r="C48">
        <v>103.49</v>
      </c>
      <c r="D48">
        <v>136.75</v>
      </c>
      <c r="E48">
        <v>144.27000000000001</v>
      </c>
      <c r="F48">
        <v>154.97</v>
      </c>
      <c r="G48">
        <v>111.44</v>
      </c>
      <c r="H48">
        <v>148.1</v>
      </c>
      <c r="I48">
        <v>128.43</v>
      </c>
      <c r="J48">
        <v>141.76</v>
      </c>
      <c r="K48">
        <v>99.18</v>
      </c>
    </row>
    <row r="49" spans="1:11" s="4" customFormat="1" x14ac:dyDescent="0.35">
      <c r="A49" s="4" t="s">
        <v>9</v>
      </c>
      <c r="B49">
        <v>475.94</v>
      </c>
      <c r="C49">
        <v>300.83</v>
      </c>
      <c r="D49">
        <v>463.88</v>
      </c>
      <c r="E49">
        <v>515.04999999999995</v>
      </c>
      <c r="F49">
        <v>514.22</v>
      </c>
      <c r="G49">
        <v>349.53</v>
      </c>
      <c r="H49">
        <v>500.12</v>
      </c>
      <c r="I49">
        <v>425</v>
      </c>
      <c r="J49">
        <v>522.38</v>
      </c>
      <c r="K49">
        <v>320.13</v>
      </c>
    </row>
    <row r="50" spans="1:11" x14ac:dyDescent="0.35">
      <c r="A50" s="4" t="s">
        <v>3</v>
      </c>
      <c r="B50">
        <v>609.12</v>
      </c>
      <c r="C50">
        <v>409.65</v>
      </c>
      <c r="D50">
        <v>604.53</v>
      </c>
      <c r="E50">
        <v>660.87</v>
      </c>
      <c r="F50">
        <v>667.42</v>
      </c>
      <c r="G50">
        <v>466.41</v>
      </c>
      <c r="H50">
        <v>654.83000000000004</v>
      </c>
      <c r="I50">
        <v>552.54999999999995</v>
      </c>
      <c r="J50">
        <v>681.89</v>
      </c>
      <c r="K50">
        <v>426.87</v>
      </c>
    </row>
    <row r="51" spans="1:11" x14ac:dyDescent="0.35">
      <c r="A51" s="4"/>
    </row>
    <row r="52" spans="1:11" x14ac:dyDescent="0.35">
      <c r="A52" s="4"/>
    </row>
    <row r="53" spans="1:11" x14ac:dyDescent="0.35">
      <c r="A53" s="4"/>
    </row>
    <row r="54" spans="1:11" x14ac:dyDescent="0.35">
      <c r="A54" s="4"/>
    </row>
    <row r="55" spans="1:11" x14ac:dyDescent="0.35">
      <c r="A55" s="1" t="s">
        <v>25</v>
      </c>
    </row>
    <row r="56" spans="1:11" s="7" customFormat="1" x14ac:dyDescent="0.35">
      <c r="A56" s="6" t="s">
        <v>23</v>
      </c>
      <c r="B56" s="5">
        <v>42460</v>
      </c>
      <c r="C56" s="5">
        <v>42825</v>
      </c>
      <c r="D56" s="5">
        <v>43190</v>
      </c>
      <c r="E56" s="5">
        <v>43555</v>
      </c>
      <c r="F56" s="5">
        <v>43921</v>
      </c>
      <c r="G56" s="5">
        <v>44286</v>
      </c>
      <c r="H56" s="5">
        <v>44651</v>
      </c>
      <c r="I56" s="5">
        <v>45016</v>
      </c>
      <c r="J56" s="5">
        <v>45382</v>
      </c>
      <c r="K56" s="5">
        <v>45747</v>
      </c>
    </row>
    <row r="57" spans="1:11" x14ac:dyDescent="0.35">
      <c r="A57" s="4" t="s">
        <v>10</v>
      </c>
      <c r="B57">
        <v>175.91</v>
      </c>
      <c r="C57">
        <v>176.15</v>
      </c>
      <c r="D57">
        <v>176.15</v>
      </c>
      <c r="E57">
        <v>176.63</v>
      </c>
      <c r="F57">
        <v>176.71</v>
      </c>
      <c r="G57">
        <v>176.74</v>
      </c>
      <c r="H57">
        <v>176.79</v>
      </c>
      <c r="I57">
        <v>177.18</v>
      </c>
      <c r="J57">
        <v>177.2</v>
      </c>
      <c r="K57">
        <v>177.23</v>
      </c>
    </row>
    <row r="58" spans="1:11" x14ac:dyDescent="0.35">
      <c r="A58" s="4" t="s">
        <v>11</v>
      </c>
      <c r="B58">
        <v>3994.7</v>
      </c>
      <c r="C58">
        <v>4671.24</v>
      </c>
      <c r="D58">
        <v>5530.37</v>
      </c>
      <c r="E58">
        <v>5455.05</v>
      </c>
      <c r="F58">
        <v>6429.04</v>
      </c>
      <c r="G58">
        <v>7486.79</v>
      </c>
      <c r="H58">
        <v>8204.51</v>
      </c>
      <c r="I58">
        <v>8796.08</v>
      </c>
      <c r="J58">
        <v>9689.1</v>
      </c>
      <c r="K58">
        <v>10623.46</v>
      </c>
    </row>
    <row r="59" spans="1:11" x14ac:dyDescent="0.35">
      <c r="A59" s="4" t="s">
        <v>35</v>
      </c>
      <c r="B59">
        <v>805.22</v>
      </c>
      <c r="C59">
        <v>975</v>
      </c>
      <c r="D59">
        <v>937.59</v>
      </c>
      <c r="E59">
        <v>699.37</v>
      </c>
      <c r="F59">
        <v>521.99</v>
      </c>
      <c r="G59">
        <v>509.06</v>
      </c>
      <c r="H59">
        <v>1030.0999999999999</v>
      </c>
      <c r="I59">
        <v>1173.79</v>
      </c>
      <c r="J59">
        <v>1365.09</v>
      </c>
      <c r="K59">
        <v>950.37</v>
      </c>
    </row>
    <row r="60" spans="1:11" x14ac:dyDescent="0.35">
      <c r="A60" s="4" t="s">
        <v>36</v>
      </c>
      <c r="B60">
        <v>1956.47</v>
      </c>
      <c r="C60">
        <v>1909.85</v>
      </c>
      <c r="D60">
        <v>2057.52</v>
      </c>
      <c r="E60">
        <v>2105.59</v>
      </c>
      <c r="F60">
        <v>2208.84</v>
      </c>
      <c r="G60">
        <v>2660.63</v>
      </c>
      <c r="H60">
        <v>2872.46</v>
      </c>
      <c r="I60">
        <v>3505.23</v>
      </c>
      <c r="J60">
        <v>3884.97</v>
      </c>
      <c r="K60">
        <v>4481.22</v>
      </c>
    </row>
    <row r="61" spans="1:11" s="1" customFormat="1" x14ac:dyDescent="0.35">
      <c r="A61" s="1" t="s">
        <v>12</v>
      </c>
      <c r="B61">
        <v>6932.3</v>
      </c>
      <c r="C61">
        <v>7732.24</v>
      </c>
      <c r="D61">
        <v>8701.6299999999992</v>
      </c>
      <c r="E61">
        <v>8436.64</v>
      </c>
      <c r="F61">
        <v>9336.58</v>
      </c>
      <c r="G61">
        <v>10833.22</v>
      </c>
      <c r="H61">
        <v>12283.86</v>
      </c>
      <c r="I61">
        <v>13652.28</v>
      </c>
      <c r="J61">
        <v>15116.36</v>
      </c>
      <c r="K61">
        <v>16232.28</v>
      </c>
    </row>
    <row r="62" spans="1:11" x14ac:dyDescent="0.35">
      <c r="A62" s="4" t="s">
        <v>13</v>
      </c>
      <c r="B62">
        <v>1667.4</v>
      </c>
      <c r="C62">
        <v>1958.4</v>
      </c>
      <c r="D62">
        <v>2028.11</v>
      </c>
      <c r="E62">
        <v>1969.06</v>
      </c>
      <c r="F62">
        <v>2252.6799999999998</v>
      </c>
      <c r="G62">
        <v>2242.92</v>
      </c>
      <c r="H62">
        <v>2307.9</v>
      </c>
      <c r="I62">
        <v>3578.65</v>
      </c>
      <c r="J62">
        <v>3815</v>
      </c>
      <c r="K62">
        <v>3992.27</v>
      </c>
    </row>
    <row r="63" spans="1:11" x14ac:dyDescent="0.35">
      <c r="A63" s="4" t="s">
        <v>14</v>
      </c>
      <c r="B63">
        <v>44.8</v>
      </c>
      <c r="C63">
        <v>42.1</v>
      </c>
      <c r="D63">
        <v>41.51</v>
      </c>
      <c r="E63">
        <v>63.76</v>
      </c>
      <c r="F63">
        <v>146.57</v>
      </c>
      <c r="G63">
        <v>147.30000000000001</v>
      </c>
      <c r="H63">
        <v>167.5</v>
      </c>
      <c r="I63">
        <v>175.13</v>
      </c>
      <c r="J63">
        <v>232.23</v>
      </c>
      <c r="K63">
        <v>166.41</v>
      </c>
    </row>
    <row r="64" spans="1:11" x14ac:dyDescent="0.35">
      <c r="A64" s="4" t="s">
        <v>15</v>
      </c>
      <c r="B64">
        <v>2690.74</v>
      </c>
      <c r="C64">
        <v>3240.16</v>
      </c>
      <c r="D64">
        <v>3805.17</v>
      </c>
      <c r="E64">
        <v>3358.76</v>
      </c>
      <c r="F64">
        <v>2800.26</v>
      </c>
      <c r="G64">
        <v>4159.63</v>
      </c>
      <c r="H64">
        <v>6219.62</v>
      </c>
      <c r="I64">
        <v>6265.26</v>
      </c>
      <c r="J64">
        <v>6932.69</v>
      </c>
      <c r="K64">
        <v>7467.86</v>
      </c>
    </row>
    <row r="65" spans="1:11" x14ac:dyDescent="0.35">
      <c r="A65" s="4" t="s">
        <v>37</v>
      </c>
      <c r="B65">
        <v>2529.36</v>
      </c>
      <c r="C65">
        <v>2491.58</v>
      </c>
      <c r="D65">
        <v>2826.84</v>
      </c>
      <c r="E65">
        <v>3045.06</v>
      </c>
      <c r="F65">
        <v>4137.07</v>
      </c>
      <c r="G65">
        <v>4283.37</v>
      </c>
      <c r="H65">
        <v>3588.84</v>
      </c>
      <c r="I65">
        <v>3633.24</v>
      </c>
      <c r="J65">
        <v>4136.4399999999996</v>
      </c>
      <c r="K65">
        <v>4605.74</v>
      </c>
    </row>
    <row r="66" spans="1:11" s="1" customFormat="1" x14ac:dyDescent="0.35">
      <c r="A66" s="1" t="s">
        <v>12</v>
      </c>
      <c r="B66">
        <v>6932.3</v>
      </c>
      <c r="C66">
        <v>7732.24</v>
      </c>
      <c r="D66">
        <v>8701.6299999999992</v>
      </c>
      <c r="E66">
        <v>8436.64</v>
      </c>
      <c r="F66">
        <v>9336.58</v>
      </c>
      <c r="G66">
        <v>10833.22</v>
      </c>
      <c r="H66">
        <v>12283.86</v>
      </c>
      <c r="I66">
        <v>13652.28</v>
      </c>
      <c r="J66">
        <v>15116.36</v>
      </c>
      <c r="K66">
        <v>16232.28</v>
      </c>
    </row>
    <row r="67" spans="1:11" s="4" customFormat="1" x14ac:dyDescent="0.35">
      <c r="A67" s="4" t="s">
        <v>42</v>
      </c>
      <c r="B67">
        <v>809.2</v>
      </c>
      <c r="C67">
        <v>650.41999999999996</v>
      </c>
      <c r="D67">
        <v>706.08</v>
      </c>
      <c r="E67">
        <v>833.56</v>
      </c>
      <c r="F67">
        <v>813.89</v>
      </c>
      <c r="G67">
        <v>561.58000000000004</v>
      </c>
      <c r="H67">
        <v>646.15</v>
      </c>
      <c r="I67">
        <v>848.75</v>
      </c>
      <c r="J67">
        <v>898.72</v>
      </c>
      <c r="K67">
        <v>888.5</v>
      </c>
    </row>
    <row r="68" spans="1:11" x14ac:dyDescent="0.35">
      <c r="A68" s="4" t="s">
        <v>29</v>
      </c>
      <c r="B68">
        <v>1096.5</v>
      </c>
      <c r="C68">
        <v>1106.71</v>
      </c>
      <c r="D68">
        <v>1256.18</v>
      </c>
      <c r="E68">
        <v>1300.53</v>
      </c>
      <c r="F68">
        <v>1379.57</v>
      </c>
      <c r="G68">
        <v>1734.28</v>
      </c>
      <c r="H68">
        <v>1911.37</v>
      </c>
      <c r="I68">
        <v>2024.2</v>
      </c>
      <c r="J68">
        <v>1946.97</v>
      </c>
      <c r="K68">
        <v>2300.11</v>
      </c>
    </row>
    <row r="69" spans="1:11" x14ac:dyDescent="0.35">
      <c r="A69" s="3" t="s">
        <v>51</v>
      </c>
      <c r="B69">
        <v>219.82</v>
      </c>
      <c r="C69">
        <v>304.81</v>
      </c>
      <c r="D69">
        <v>306.06</v>
      </c>
      <c r="E69">
        <v>328.16</v>
      </c>
      <c r="F69">
        <v>811.37</v>
      </c>
      <c r="G69">
        <v>1329.03</v>
      </c>
      <c r="H69">
        <v>570.14</v>
      </c>
      <c r="I69">
        <v>325.92</v>
      </c>
      <c r="J69">
        <v>666.36</v>
      </c>
      <c r="K69">
        <v>578.01</v>
      </c>
    </row>
    <row r="70" spans="1:11" x14ac:dyDescent="0.35">
      <c r="A70" s="3" t="s">
        <v>38</v>
      </c>
      <c r="B70">
        <v>1759141170</v>
      </c>
      <c r="C70">
        <v>1761520510</v>
      </c>
      <c r="D70">
        <v>1761520510</v>
      </c>
      <c r="E70">
        <v>1766291141</v>
      </c>
      <c r="F70">
        <v>1767063892</v>
      </c>
      <c r="G70">
        <v>1767425349</v>
      </c>
      <c r="H70">
        <v>1767856483</v>
      </c>
      <c r="I70">
        <v>1767856483</v>
      </c>
      <c r="J70">
        <v>1772039162</v>
      </c>
    </row>
    <row r="71" spans="1:11" x14ac:dyDescent="0.35">
      <c r="A71" s="3" t="s">
        <v>39</v>
      </c>
    </row>
    <row r="72" spans="1:11" x14ac:dyDescent="0.35">
      <c r="A72" s="3" t="s">
        <v>52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5">
      <c r="A74" s="4" t="s">
        <v>273</v>
      </c>
      <c r="B74" s="3">
        <f>B65-SUM(B67:B69)</f>
        <v>403.84000000000015</v>
      </c>
      <c r="C74" s="3">
        <f t="shared" ref="C74:K74" si="2">C65-SUM(C67:C69)</f>
        <v>429.63999999999987</v>
      </c>
      <c r="D74" s="3">
        <f t="shared" si="2"/>
        <v>558.52</v>
      </c>
      <c r="E74" s="3">
        <f t="shared" si="2"/>
        <v>582.80999999999995</v>
      </c>
      <c r="F74" s="3">
        <f t="shared" si="2"/>
        <v>1132.2399999999998</v>
      </c>
      <c r="G74" s="3">
        <f t="shared" si="2"/>
        <v>658.47999999999956</v>
      </c>
      <c r="H74" s="3">
        <f t="shared" si="2"/>
        <v>461.18000000000029</v>
      </c>
      <c r="I74" s="3">
        <f t="shared" si="2"/>
        <v>434.36999999999989</v>
      </c>
      <c r="J74" s="3">
        <f t="shared" si="2"/>
        <v>624.38999999999942</v>
      </c>
      <c r="K74" s="3">
        <f t="shared" si="2"/>
        <v>839.11999999999989</v>
      </c>
    </row>
    <row r="75" spans="1:11" x14ac:dyDescent="0.35">
      <c r="A75" s="4" t="s">
        <v>272</v>
      </c>
      <c r="B75" s="3">
        <f>B61</f>
        <v>6932.3</v>
      </c>
      <c r="C75" s="3">
        <f t="shared" ref="C75:K75" si="3">C61</f>
        <v>7732.24</v>
      </c>
      <c r="D75" s="3">
        <f t="shared" si="3"/>
        <v>8701.6299999999992</v>
      </c>
      <c r="E75" s="3">
        <f t="shared" si="3"/>
        <v>8436.64</v>
      </c>
      <c r="F75" s="3">
        <f t="shared" si="3"/>
        <v>9336.58</v>
      </c>
      <c r="G75" s="3">
        <f t="shared" si="3"/>
        <v>10833.22</v>
      </c>
      <c r="H75" s="3">
        <f t="shared" si="3"/>
        <v>12283.86</v>
      </c>
      <c r="I75" s="3">
        <f t="shared" si="3"/>
        <v>13652.28</v>
      </c>
      <c r="J75" s="3">
        <f t="shared" si="3"/>
        <v>15116.36</v>
      </c>
      <c r="K75" s="3">
        <f t="shared" si="3"/>
        <v>16232.28</v>
      </c>
    </row>
    <row r="76" spans="1:11" x14ac:dyDescent="0.35">
      <c r="A76" s="4"/>
    </row>
    <row r="77" spans="1:11" x14ac:dyDescent="0.35">
      <c r="A77" s="4"/>
    </row>
    <row r="78" spans="1:11" x14ac:dyDescent="0.35">
      <c r="A78" s="4"/>
    </row>
    <row r="79" spans="1:11" x14ac:dyDescent="0.35">
      <c r="A79" s="4"/>
    </row>
    <row r="80" spans="1:11" x14ac:dyDescent="0.35">
      <c r="A80" s="1" t="s">
        <v>26</v>
      </c>
    </row>
    <row r="81" spans="1:11" s="7" customFormat="1" x14ac:dyDescent="0.35">
      <c r="A81" s="6" t="s">
        <v>23</v>
      </c>
      <c r="B81" s="5">
        <v>42460</v>
      </c>
      <c r="C81" s="5">
        <v>42825</v>
      </c>
      <c r="D81" s="5">
        <v>43190</v>
      </c>
      <c r="E81" s="5">
        <v>43555</v>
      </c>
      <c r="F81" s="5">
        <v>43921</v>
      </c>
      <c r="G81" s="5">
        <v>44286</v>
      </c>
      <c r="H81" s="5">
        <v>44651</v>
      </c>
      <c r="I81" s="5">
        <v>45016</v>
      </c>
      <c r="J81" s="5">
        <v>45382</v>
      </c>
      <c r="K81" s="5">
        <v>45747</v>
      </c>
    </row>
    <row r="82" spans="1:11" s="1" customFormat="1" x14ac:dyDescent="0.35">
      <c r="A82" s="4" t="s">
        <v>17</v>
      </c>
      <c r="B82">
        <v>1186.99</v>
      </c>
      <c r="C82">
        <v>1226.94</v>
      </c>
      <c r="D82">
        <v>1091.5</v>
      </c>
      <c r="E82">
        <v>1499.13</v>
      </c>
      <c r="F82">
        <v>1613.62</v>
      </c>
      <c r="G82">
        <v>2114.67</v>
      </c>
      <c r="H82">
        <v>1802.33</v>
      </c>
      <c r="I82">
        <v>1488.43</v>
      </c>
      <c r="J82">
        <v>2013.47</v>
      </c>
      <c r="K82">
        <v>1986.75</v>
      </c>
    </row>
    <row r="83" spans="1:11" s="4" customFormat="1" x14ac:dyDescent="0.35">
      <c r="A83" s="4" t="s">
        <v>18</v>
      </c>
      <c r="B83">
        <v>-730.33</v>
      </c>
      <c r="C83">
        <v>-807.07</v>
      </c>
      <c r="D83">
        <v>-540.92999999999995</v>
      </c>
      <c r="E83">
        <v>337.58</v>
      </c>
      <c r="F83">
        <v>-516.63</v>
      </c>
      <c r="G83">
        <v>-1404.22</v>
      </c>
      <c r="H83">
        <v>-1273.45</v>
      </c>
      <c r="I83">
        <v>-582.79</v>
      </c>
      <c r="J83">
        <v>-971.04</v>
      </c>
      <c r="K83">
        <v>-449.11</v>
      </c>
    </row>
    <row r="84" spans="1:11" s="4" customFormat="1" x14ac:dyDescent="0.35">
      <c r="A84" s="4" t="s">
        <v>19</v>
      </c>
      <c r="B84">
        <v>-374.31</v>
      </c>
      <c r="C84">
        <v>-338.97</v>
      </c>
      <c r="D84">
        <v>-577.11</v>
      </c>
      <c r="E84">
        <v>-1888.2</v>
      </c>
      <c r="F84">
        <v>-1042.97</v>
      </c>
      <c r="G84">
        <v>-613.41</v>
      </c>
      <c r="H84">
        <v>-490.49</v>
      </c>
      <c r="I84">
        <v>-1035.24</v>
      </c>
      <c r="J84">
        <v>-1161.18</v>
      </c>
      <c r="K84">
        <v>-1405.34</v>
      </c>
    </row>
    <row r="85" spans="1:11" s="1" customFormat="1" x14ac:dyDescent="0.35">
      <c r="A85" s="4" t="s">
        <v>20</v>
      </c>
      <c r="B85">
        <v>82.35</v>
      </c>
      <c r="C85">
        <v>80.900000000000006</v>
      </c>
      <c r="D85">
        <v>-26.54</v>
      </c>
      <c r="E85">
        <v>-51.49</v>
      </c>
      <c r="F85">
        <v>54.02</v>
      </c>
      <c r="G85">
        <v>97.04</v>
      </c>
      <c r="H85">
        <v>38.39</v>
      </c>
      <c r="I85">
        <v>-129.6</v>
      </c>
      <c r="J85">
        <v>-118.75</v>
      </c>
      <c r="K85">
        <v>132.30000000000001</v>
      </c>
    </row>
    <row r="86" spans="1:11" x14ac:dyDescent="0.35">
      <c r="A86" s="4"/>
    </row>
    <row r="87" spans="1:11" x14ac:dyDescent="0.35">
      <c r="A87" s="4"/>
    </row>
    <row r="88" spans="1:11" x14ac:dyDescent="0.35">
      <c r="A88" s="4"/>
    </row>
    <row r="89" spans="1:11" x14ac:dyDescent="0.35">
      <c r="A89" s="4"/>
    </row>
    <row r="90" spans="1:11" s="1" customFormat="1" x14ac:dyDescent="0.35">
      <c r="A90" s="1" t="s">
        <v>41</v>
      </c>
      <c r="B90">
        <v>249.9</v>
      </c>
      <c r="C90">
        <v>277.35000000000002</v>
      </c>
      <c r="D90">
        <v>328.4</v>
      </c>
      <c r="E90">
        <v>408.8</v>
      </c>
      <c r="F90">
        <v>450.05</v>
      </c>
      <c r="G90">
        <v>540.5</v>
      </c>
      <c r="H90">
        <v>536.20000000000005</v>
      </c>
      <c r="I90">
        <v>544.9</v>
      </c>
      <c r="J90">
        <v>523.15</v>
      </c>
      <c r="K90">
        <v>506.5</v>
      </c>
    </row>
    <row r="92" spans="1:11" s="1" customFormat="1" x14ac:dyDescent="0.35">
      <c r="A92" s="1" t="s">
        <v>40</v>
      </c>
    </row>
    <row r="93" spans="1:11" x14ac:dyDescent="0.35">
      <c r="A93" s="3" t="s">
        <v>53</v>
      </c>
      <c r="B93" s="8">
        <v>175.91</v>
      </c>
      <c r="C93" s="8">
        <v>176.15</v>
      </c>
      <c r="D93" s="8">
        <v>176.15</v>
      </c>
      <c r="E93" s="8">
        <v>176.63</v>
      </c>
      <c r="F93" s="8">
        <v>176.71</v>
      </c>
      <c r="G93" s="8">
        <v>176.74</v>
      </c>
      <c r="H93" s="8">
        <v>176.79</v>
      </c>
      <c r="I93" s="8">
        <v>177.18</v>
      </c>
      <c r="J93" s="8">
        <v>177.2</v>
      </c>
      <c r="K93" s="8">
        <v>177.23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BD7E-E553-47EF-89EA-9F1ACDE13951}">
  <dimension ref="B2:M32"/>
  <sheetViews>
    <sheetView showGridLines="0" topLeftCell="H1" workbookViewId="0">
      <selection activeCell="M1" sqref="M1:M1048576"/>
    </sheetView>
  </sheetViews>
  <sheetFormatPr defaultRowHeight="14.5" x14ac:dyDescent="0.35"/>
  <cols>
    <col min="2" max="2" width="5.1796875" bestFit="1" customWidth="1"/>
    <col min="3" max="3" width="16.453125" bestFit="1" customWidth="1"/>
    <col min="4" max="4" width="8.81640625" bestFit="1" customWidth="1"/>
    <col min="5" max="5" width="18.7265625" bestFit="1" customWidth="1"/>
    <col min="6" max="6" width="10.08984375" bestFit="1" customWidth="1"/>
    <col min="7" max="7" width="10.08984375" customWidth="1"/>
    <col min="8" max="8" width="15.7265625" bestFit="1" customWidth="1"/>
    <col min="9" max="9" width="13.81640625" bestFit="1" customWidth="1"/>
    <col min="10" max="10" width="13.81640625" customWidth="1"/>
    <col min="11" max="11" width="10.26953125" bestFit="1" customWidth="1"/>
    <col min="12" max="12" width="10.26953125" customWidth="1"/>
    <col min="13" max="13" width="12.54296875" bestFit="1" customWidth="1"/>
  </cols>
  <sheetData>
    <row r="2" spans="2:13" x14ac:dyDescent="0.35">
      <c r="B2" s="73" t="s">
        <v>239</v>
      </c>
      <c r="C2" s="73" t="s">
        <v>240</v>
      </c>
      <c r="D2" s="73" t="s">
        <v>254</v>
      </c>
      <c r="E2" s="73" t="s">
        <v>43</v>
      </c>
      <c r="F2" s="73" t="s">
        <v>256</v>
      </c>
      <c r="G2" s="73" t="s">
        <v>353</v>
      </c>
      <c r="H2" s="73" t="s">
        <v>360</v>
      </c>
      <c r="I2" s="73" t="s">
        <v>361</v>
      </c>
      <c r="J2" s="73" t="s">
        <v>374</v>
      </c>
      <c r="K2" s="73" t="s">
        <v>362</v>
      </c>
      <c r="L2" s="73" t="s">
        <v>375</v>
      </c>
      <c r="M2" s="73" t="s">
        <v>363</v>
      </c>
    </row>
    <row r="3" spans="2:13" x14ac:dyDescent="0.35">
      <c r="B3" s="72">
        <v>1</v>
      </c>
      <c r="C3" s="72" t="s">
        <v>242</v>
      </c>
      <c r="D3" s="166">
        <v>2361.9</v>
      </c>
      <c r="E3" s="166">
        <f>D3*H3</f>
        <v>554952.02400000009</v>
      </c>
      <c r="F3" s="166">
        <v>1648</v>
      </c>
      <c r="G3" s="166">
        <f>F3-I3</f>
        <v>-5906</v>
      </c>
      <c r="H3" s="166">
        <v>234.96</v>
      </c>
      <c r="I3" s="166">
        <v>7554</v>
      </c>
      <c r="J3" s="166">
        <f>E3+F3-I3</f>
        <v>549046.02400000009</v>
      </c>
      <c r="K3" s="166">
        <v>63121</v>
      </c>
      <c r="L3" s="166">
        <v>15860</v>
      </c>
      <c r="M3" s="166">
        <v>10671</v>
      </c>
    </row>
    <row r="4" spans="2:13" x14ac:dyDescent="0.35">
      <c r="B4" s="72">
        <v>2</v>
      </c>
      <c r="C4" s="72" t="s">
        <v>243</v>
      </c>
      <c r="D4" s="166">
        <v>2431.1999999999998</v>
      </c>
      <c r="E4" s="166">
        <f t="shared" ref="E4:E30" si="0">D4*H4</f>
        <v>234416.30399999997</v>
      </c>
      <c r="F4" s="166">
        <v>3915.47</v>
      </c>
      <c r="G4" s="166">
        <f t="shared" ref="G4:G12" si="1">F4-I4</f>
        <v>3819.8799999999997</v>
      </c>
      <c r="H4" s="166">
        <v>96.42</v>
      </c>
      <c r="I4" s="166">
        <v>95.59</v>
      </c>
      <c r="J4" s="166">
        <f t="shared" ref="J4:J30" si="2">E4+F4-I4</f>
        <v>238236.18399999998</v>
      </c>
      <c r="K4" s="166">
        <v>20201.560000000001</v>
      </c>
      <c r="L4" s="166">
        <v>4832</v>
      </c>
      <c r="M4" s="166">
        <v>3314.5</v>
      </c>
    </row>
    <row r="5" spans="2:13" x14ac:dyDescent="0.35">
      <c r="B5" s="72">
        <v>3</v>
      </c>
      <c r="C5" s="72" t="s">
        <v>244</v>
      </c>
      <c r="D5" s="166">
        <v>480</v>
      </c>
      <c r="E5" s="166">
        <f t="shared" si="0"/>
        <v>162331.20000000001</v>
      </c>
      <c r="F5" s="166">
        <v>2826.25</v>
      </c>
      <c r="G5" s="166">
        <f t="shared" si="1"/>
        <v>376.19999999999982</v>
      </c>
      <c r="H5" s="166">
        <v>338.19</v>
      </c>
      <c r="I5" s="166">
        <v>2450.0500000000002</v>
      </c>
      <c r="J5" s="166">
        <f t="shared" si="2"/>
        <v>162707.40000000002</v>
      </c>
      <c r="K5" s="166">
        <v>21257.27</v>
      </c>
      <c r="L5" s="166">
        <v>5125</v>
      </c>
      <c r="M5" s="166">
        <v>2817.66</v>
      </c>
    </row>
    <row r="6" spans="2:13" x14ac:dyDescent="0.35">
      <c r="B6" s="72">
        <v>4</v>
      </c>
      <c r="C6" s="72" t="s">
        <v>245</v>
      </c>
      <c r="D6" s="166">
        <v>5509.95</v>
      </c>
      <c r="E6" s="166">
        <f t="shared" si="0"/>
        <v>132734.6955</v>
      </c>
      <c r="F6" s="166">
        <v>1246.51</v>
      </c>
      <c r="G6" s="166">
        <f t="shared" si="1"/>
        <v>934.03</v>
      </c>
      <c r="H6" s="166">
        <v>24.09</v>
      </c>
      <c r="I6" s="166">
        <v>312.48</v>
      </c>
      <c r="J6" s="166">
        <f t="shared" si="2"/>
        <v>133668.7255</v>
      </c>
      <c r="K6" s="166">
        <v>17942.669999999998</v>
      </c>
      <c r="L6" s="166">
        <v>3403</v>
      </c>
      <c r="M6" s="166">
        <v>2177.86</v>
      </c>
    </row>
    <row r="7" spans="2:13" x14ac:dyDescent="0.35">
      <c r="B7" s="72">
        <v>5</v>
      </c>
      <c r="C7" s="72" t="s">
        <v>221</v>
      </c>
      <c r="D7" s="166">
        <v>1236.4000000000001</v>
      </c>
      <c r="E7" s="166">
        <f t="shared" si="0"/>
        <v>126483.72</v>
      </c>
      <c r="F7" s="166">
        <v>4004.49</v>
      </c>
      <c r="G7" s="166">
        <f t="shared" si="1"/>
        <v>3521.43</v>
      </c>
      <c r="H7" s="166">
        <v>102.3</v>
      </c>
      <c r="I7" s="166">
        <v>483.06</v>
      </c>
      <c r="J7" s="166">
        <f t="shared" si="2"/>
        <v>130005.15000000001</v>
      </c>
      <c r="K7" s="166">
        <v>14364.29</v>
      </c>
      <c r="L7" s="166">
        <v>3319</v>
      </c>
      <c r="M7" s="166">
        <v>1852.3</v>
      </c>
    </row>
    <row r="8" spans="2:13" x14ac:dyDescent="0.35">
      <c r="B8" s="72">
        <v>6</v>
      </c>
      <c r="C8" s="72" t="s">
        <v>246</v>
      </c>
      <c r="D8" s="166">
        <v>481.25</v>
      </c>
      <c r="E8" s="166">
        <f t="shared" si="0"/>
        <v>85291.9375</v>
      </c>
      <c r="F8" s="166">
        <v>950.37</v>
      </c>
      <c r="G8" s="166">
        <f t="shared" si="1"/>
        <v>372.36</v>
      </c>
      <c r="H8" s="166">
        <v>177.23</v>
      </c>
      <c r="I8" s="166">
        <v>578.01</v>
      </c>
      <c r="J8" s="166">
        <f t="shared" si="2"/>
        <v>85664.297500000001</v>
      </c>
      <c r="K8" s="166">
        <v>12563.09</v>
      </c>
      <c r="L8" s="166">
        <v>2866</v>
      </c>
      <c r="M8" s="166">
        <v>1740.42</v>
      </c>
    </row>
    <row r="9" spans="2:13" x14ac:dyDescent="0.35">
      <c r="B9" s="72">
        <v>7</v>
      </c>
      <c r="C9" s="72" t="s">
        <v>247</v>
      </c>
      <c r="D9" s="166">
        <v>2484.4499999999998</v>
      </c>
      <c r="E9" s="166">
        <f t="shared" si="0"/>
        <v>67577.039999999994</v>
      </c>
      <c r="F9" s="166">
        <v>60.84</v>
      </c>
      <c r="G9" s="166">
        <f t="shared" si="1"/>
        <v>-1034.2900000000002</v>
      </c>
      <c r="H9" s="166">
        <v>27.2</v>
      </c>
      <c r="I9" s="166">
        <v>1095.1300000000001</v>
      </c>
      <c r="J9" s="166">
        <f t="shared" si="2"/>
        <v>66542.749999999985</v>
      </c>
      <c r="K9" s="166">
        <v>6040.17</v>
      </c>
      <c r="L9" s="166">
        <v>2096</v>
      </c>
      <c r="M9" s="166">
        <v>1436.81</v>
      </c>
    </row>
    <row r="10" spans="2:13" x14ac:dyDescent="0.35">
      <c r="B10" s="72">
        <v>8</v>
      </c>
      <c r="C10" s="72" t="s">
        <v>248</v>
      </c>
      <c r="D10" s="166">
        <v>13836.1</v>
      </c>
      <c r="E10" s="166">
        <f t="shared" si="0"/>
        <v>44967.325000000004</v>
      </c>
      <c r="F10" s="166">
        <v>2.3199999999999998</v>
      </c>
      <c r="G10" s="166">
        <f t="shared" si="1"/>
        <v>-585.88</v>
      </c>
      <c r="H10" s="166">
        <v>3.25</v>
      </c>
      <c r="I10" s="166">
        <v>588.20000000000005</v>
      </c>
      <c r="J10" s="166">
        <f t="shared" si="2"/>
        <v>44381.445000000007</v>
      </c>
      <c r="K10" s="166">
        <v>4306.17</v>
      </c>
      <c r="L10" s="166">
        <v>1034</v>
      </c>
      <c r="M10" s="166">
        <v>717.65</v>
      </c>
    </row>
    <row r="11" spans="2:13" x14ac:dyDescent="0.35">
      <c r="B11" s="72">
        <v>9</v>
      </c>
      <c r="C11" s="72" t="s">
        <v>249</v>
      </c>
      <c r="D11" s="166">
        <v>9292.5</v>
      </c>
      <c r="E11" s="166">
        <f t="shared" si="0"/>
        <v>30293.55</v>
      </c>
      <c r="F11" s="166">
        <v>0.05</v>
      </c>
      <c r="G11" s="166">
        <f t="shared" si="1"/>
        <v>-475.58</v>
      </c>
      <c r="H11" s="166">
        <v>3.26</v>
      </c>
      <c r="I11" s="166">
        <v>475.63</v>
      </c>
      <c r="J11" s="166">
        <f t="shared" si="2"/>
        <v>29817.969999999998</v>
      </c>
      <c r="K11" s="166">
        <v>2880.17</v>
      </c>
      <c r="L11" s="166">
        <v>807</v>
      </c>
      <c r="M11" s="166">
        <v>533.63</v>
      </c>
    </row>
    <row r="12" spans="2:13" x14ac:dyDescent="0.35">
      <c r="B12" s="72">
        <v>10</v>
      </c>
      <c r="C12" s="72" t="s">
        <v>222</v>
      </c>
      <c r="D12" s="166">
        <v>584.15</v>
      </c>
      <c r="E12" s="166">
        <f t="shared" si="0"/>
        <v>25498.147499999999</v>
      </c>
      <c r="F12" s="166">
        <v>89.78</v>
      </c>
      <c r="G12" s="166">
        <f t="shared" si="1"/>
        <v>-183.13000000000002</v>
      </c>
      <c r="H12" s="166">
        <v>43.65</v>
      </c>
      <c r="I12" s="166">
        <v>272.91000000000003</v>
      </c>
      <c r="J12" s="166">
        <f t="shared" si="2"/>
        <v>25315.017499999998</v>
      </c>
      <c r="K12" s="166">
        <v>3809.19</v>
      </c>
      <c r="L12" s="166">
        <v>1081</v>
      </c>
      <c r="M12" s="166">
        <v>802.74</v>
      </c>
    </row>
    <row r="13" spans="2:13" x14ac:dyDescent="0.35">
      <c r="B13" s="72"/>
      <c r="C13" s="72"/>
      <c r="D13" s="166"/>
      <c r="E13" s="166"/>
      <c r="F13" s="166"/>
      <c r="G13" s="166"/>
      <c r="H13" s="166"/>
      <c r="I13" s="166"/>
      <c r="J13" s="166"/>
      <c r="K13" s="166"/>
      <c r="L13" s="166"/>
      <c r="M13" s="166"/>
    </row>
    <row r="14" spans="2:13" x14ac:dyDescent="0.35">
      <c r="B14" s="72"/>
      <c r="C14" s="72"/>
      <c r="D14" s="166"/>
      <c r="E14" s="166"/>
      <c r="F14" s="166"/>
      <c r="G14" s="166"/>
      <c r="H14" s="166"/>
      <c r="I14" s="166"/>
      <c r="J14" s="166"/>
      <c r="K14" s="166"/>
      <c r="L14" s="166"/>
      <c r="M14" s="166"/>
    </row>
    <row r="15" spans="2:13" x14ac:dyDescent="0.35">
      <c r="B15" s="72"/>
      <c r="C15" s="72"/>
      <c r="D15" s="166"/>
      <c r="E15" s="166"/>
      <c r="F15" s="166"/>
      <c r="G15" s="166"/>
      <c r="H15" s="166"/>
      <c r="I15" s="166"/>
      <c r="J15" s="166"/>
      <c r="K15" s="166"/>
      <c r="L15" s="166"/>
      <c r="M15" s="166"/>
    </row>
    <row r="16" spans="2:13" x14ac:dyDescent="0.35">
      <c r="B16">
        <v>11</v>
      </c>
      <c r="C16" t="s">
        <v>250</v>
      </c>
      <c r="D16" s="22">
        <v>943.1</v>
      </c>
      <c r="E16" s="22">
        <f t="shared" si="0"/>
        <v>21002.837</v>
      </c>
      <c r="F16" s="22">
        <v>2566.2600000000002</v>
      </c>
      <c r="G16" s="22"/>
      <c r="H16" s="22">
        <v>22.27</v>
      </c>
      <c r="I16" s="22">
        <v>61.84</v>
      </c>
      <c r="J16" s="22">
        <f t="shared" si="2"/>
        <v>23507.257000000001</v>
      </c>
      <c r="K16" s="22">
        <v>8667.24</v>
      </c>
      <c r="L16" s="22"/>
      <c r="M16" s="22">
        <v>285.44</v>
      </c>
    </row>
    <row r="17" spans="2:13" x14ac:dyDescent="0.35">
      <c r="B17">
        <v>12</v>
      </c>
      <c r="C17" t="s">
        <v>251</v>
      </c>
      <c r="D17" s="22">
        <v>769.2</v>
      </c>
      <c r="E17" s="22">
        <f t="shared" si="0"/>
        <v>19276.152000000002</v>
      </c>
      <c r="F17" s="22">
        <v>230.94</v>
      </c>
      <c r="G17" s="22"/>
      <c r="H17" s="22">
        <v>25.06</v>
      </c>
      <c r="I17" s="22">
        <v>219.05</v>
      </c>
      <c r="J17" s="22">
        <f t="shared" si="2"/>
        <v>19288.042000000001</v>
      </c>
      <c r="K17" s="22">
        <v>2621.85</v>
      </c>
      <c r="L17" s="22"/>
      <c r="M17" s="22">
        <v>194.35</v>
      </c>
    </row>
    <row r="18" spans="2:13" x14ac:dyDescent="0.35">
      <c r="B18">
        <v>13</v>
      </c>
      <c r="C18" t="s">
        <v>252</v>
      </c>
      <c r="D18" s="22">
        <v>433.85</v>
      </c>
      <c r="E18" s="22">
        <f t="shared" si="0"/>
        <v>15067.610499999999</v>
      </c>
      <c r="F18" s="22">
        <v>1261.04</v>
      </c>
      <c r="G18" s="22"/>
      <c r="H18" s="22">
        <v>34.729999999999997</v>
      </c>
      <c r="I18" s="22">
        <v>144.16</v>
      </c>
      <c r="J18" s="22">
        <f t="shared" si="2"/>
        <v>16184.4905</v>
      </c>
      <c r="K18" s="22">
        <v>8681.4699999999993</v>
      </c>
      <c r="L18" s="22"/>
      <c r="M18" s="22">
        <v>611.79999999999995</v>
      </c>
    </row>
    <row r="19" spans="2:13" x14ac:dyDescent="0.35">
      <c r="B19">
        <v>14</v>
      </c>
      <c r="C19" t="s">
        <v>253</v>
      </c>
      <c r="D19" s="22">
        <v>754.5</v>
      </c>
      <c r="E19" s="22">
        <f t="shared" si="0"/>
        <v>14509.035</v>
      </c>
      <c r="F19" s="22">
        <v>1395.98</v>
      </c>
      <c r="G19" s="22"/>
      <c r="H19" s="22">
        <v>19.23</v>
      </c>
      <c r="I19" s="22">
        <v>39.33</v>
      </c>
      <c r="J19" s="22">
        <f t="shared" si="2"/>
        <v>15865.684999999999</v>
      </c>
      <c r="K19" s="22">
        <v>9382.77</v>
      </c>
      <c r="L19" s="22"/>
      <c r="M19" s="22">
        <v>403.37</v>
      </c>
    </row>
    <row r="20" spans="2:13" x14ac:dyDescent="0.35">
      <c r="B20">
        <v>15</v>
      </c>
      <c r="C20" t="s">
        <v>223</v>
      </c>
      <c r="D20" s="22">
        <v>344.7</v>
      </c>
      <c r="E20" s="22">
        <f t="shared" si="0"/>
        <v>12657.384</v>
      </c>
      <c r="F20" s="22">
        <v>61.28</v>
      </c>
      <c r="G20" s="22"/>
      <c r="H20" s="22">
        <v>36.72</v>
      </c>
      <c r="I20" s="22">
        <v>142.35</v>
      </c>
      <c r="J20" s="22">
        <f t="shared" si="2"/>
        <v>12576.314</v>
      </c>
      <c r="K20" s="22">
        <v>2846.98</v>
      </c>
      <c r="L20" s="22"/>
      <c r="M20" s="22">
        <v>370.38</v>
      </c>
    </row>
    <row r="21" spans="2:13" x14ac:dyDescent="0.35">
      <c r="B21">
        <v>16</v>
      </c>
      <c r="C21" t="s">
        <v>364</v>
      </c>
      <c r="D21" s="22">
        <v>1950</v>
      </c>
      <c r="E21" s="22">
        <f t="shared" si="0"/>
        <v>12402</v>
      </c>
      <c r="F21" s="22">
        <v>188.3</v>
      </c>
      <c r="G21" s="22"/>
      <c r="H21" s="22">
        <v>6.36</v>
      </c>
      <c r="I21" s="22">
        <v>73.900000000000006</v>
      </c>
      <c r="J21" s="22">
        <f t="shared" si="2"/>
        <v>12516.4</v>
      </c>
      <c r="K21" s="22">
        <v>2708.9</v>
      </c>
      <c r="L21" s="22"/>
      <c r="M21" s="22">
        <v>346.9</v>
      </c>
    </row>
    <row r="22" spans="2:13" x14ac:dyDescent="0.35">
      <c r="B22">
        <v>17</v>
      </c>
      <c r="C22" t="s">
        <v>365</v>
      </c>
      <c r="D22" s="22">
        <v>874.95</v>
      </c>
      <c r="E22" s="22">
        <f t="shared" si="0"/>
        <v>11916.819</v>
      </c>
      <c r="F22" s="22">
        <v>15.14</v>
      </c>
      <c r="G22" s="22"/>
      <c r="H22" s="22">
        <v>13.62</v>
      </c>
      <c r="I22" s="22">
        <v>898.66</v>
      </c>
      <c r="J22" s="22">
        <f t="shared" si="2"/>
        <v>11033.298999999999</v>
      </c>
      <c r="K22" s="22">
        <v>5612.26</v>
      </c>
      <c r="L22" s="22"/>
      <c r="M22" s="22">
        <v>557.04999999999995</v>
      </c>
    </row>
    <row r="23" spans="2:13" x14ac:dyDescent="0.35">
      <c r="B23">
        <v>18</v>
      </c>
      <c r="C23" t="s">
        <v>366</v>
      </c>
      <c r="D23" s="22">
        <v>1459.35</v>
      </c>
      <c r="E23" s="22">
        <f t="shared" si="0"/>
        <v>8960.4089999999997</v>
      </c>
      <c r="F23" s="22">
        <v>183.54</v>
      </c>
      <c r="G23" s="22"/>
      <c r="H23" s="22">
        <v>6.14</v>
      </c>
      <c r="I23" s="22">
        <v>188.55</v>
      </c>
      <c r="J23" s="22">
        <f t="shared" si="2"/>
        <v>8955.3990000000013</v>
      </c>
      <c r="K23" s="22">
        <v>1741.91</v>
      </c>
      <c r="L23" s="22"/>
      <c r="M23" s="22">
        <v>121.03</v>
      </c>
    </row>
    <row r="24" spans="2:13" x14ac:dyDescent="0.35">
      <c r="B24">
        <v>19</v>
      </c>
      <c r="C24" t="s">
        <v>367</v>
      </c>
      <c r="D24" s="22">
        <v>1410.55</v>
      </c>
      <c r="E24" s="22">
        <f t="shared" si="0"/>
        <v>8406.8779999999988</v>
      </c>
      <c r="F24" s="22">
        <v>482.3</v>
      </c>
      <c r="G24" s="22"/>
      <c r="H24" s="22">
        <v>5.96</v>
      </c>
      <c r="I24" s="22">
        <v>96.18</v>
      </c>
      <c r="J24" s="22">
        <f t="shared" si="2"/>
        <v>8792.9979999999978</v>
      </c>
      <c r="K24" s="22">
        <v>770.84</v>
      </c>
      <c r="L24" s="22"/>
      <c r="M24" s="22">
        <v>112.05</v>
      </c>
    </row>
    <row r="25" spans="2:13" x14ac:dyDescent="0.35">
      <c r="B25">
        <v>20</v>
      </c>
      <c r="C25" t="s">
        <v>368</v>
      </c>
      <c r="D25" s="22">
        <v>354.3</v>
      </c>
      <c r="E25" s="22">
        <f t="shared" si="0"/>
        <v>8109.9270000000006</v>
      </c>
      <c r="F25" s="22">
        <v>406.68</v>
      </c>
      <c r="G25" s="22"/>
      <c r="H25" s="22">
        <v>22.89</v>
      </c>
      <c r="I25" s="22">
        <v>462.18</v>
      </c>
      <c r="J25" s="22">
        <f t="shared" si="2"/>
        <v>8054.4269999999997</v>
      </c>
      <c r="K25" s="22">
        <v>5593.81</v>
      </c>
      <c r="L25" s="22"/>
      <c r="M25" s="22">
        <v>476.05</v>
      </c>
    </row>
    <row r="26" spans="2:13" x14ac:dyDescent="0.35">
      <c r="B26">
        <v>21</v>
      </c>
      <c r="C26" t="s">
        <v>369</v>
      </c>
      <c r="D26" s="22">
        <v>1461.4</v>
      </c>
      <c r="E26" s="22">
        <f t="shared" si="0"/>
        <v>7511.5959999999995</v>
      </c>
      <c r="F26" s="22">
        <v>0</v>
      </c>
      <c r="G26" s="22"/>
      <c r="H26" s="22">
        <v>5.14</v>
      </c>
      <c r="I26" s="22">
        <v>20.53</v>
      </c>
      <c r="J26" s="22">
        <f t="shared" si="2"/>
        <v>7491.0659999999998</v>
      </c>
      <c r="K26" s="22">
        <v>1204.97</v>
      </c>
      <c r="L26" s="22"/>
      <c r="M26" s="22">
        <v>282.27999999999997</v>
      </c>
    </row>
    <row r="27" spans="2:13" x14ac:dyDescent="0.35">
      <c r="B27">
        <v>22</v>
      </c>
      <c r="C27" t="s">
        <v>370</v>
      </c>
      <c r="D27" s="22">
        <v>1239.3</v>
      </c>
      <c r="E27" s="22">
        <f t="shared" si="0"/>
        <v>7472.9790000000003</v>
      </c>
      <c r="F27" s="22">
        <v>42.43</v>
      </c>
      <c r="G27" s="22"/>
      <c r="H27" s="22">
        <v>6.03</v>
      </c>
      <c r="I27" s="22">
        <v>101.59</v>
      </c>
      <c r="J27" s="22">
        <f t="shared" si="2"/>
        <v>7413.8190000000004</v>
      </c>
      <c r="K27" s="22">
        <v>3720.07</v>
      </c>
      <c r="L27" s="22"/>
      <c r="M27" s="22">
        <v>259.93</v>
      </c>
    </row>
    <row r="28" spans="2:13" x14ac:dyDescent="0.35">
      <c r="B28">
        <v>23</v>
      </c>
      <c r="C28" t="s">
        <v>371</v>
      </c>
      <c r="D28" s="22">
        <v>544.1</v>
      </c>
      <c r="E28" s="22">
        <f t="shared" si="0"/>
        <v>6393.1750000000002</v>
      </c>
      <c r="F28" s="22">
        <v>895.95</v>
      </c>
      <c r="G28" s="22"/>
      <c r="H28" s="22">
        <v>11.75</v>
      </c>
      <c r="I28" s="22">
        <v>83.62</v>
      </c>
      <c r="J28" s="22">
        <f t="shared" si="2"/>
        <v>7205.5050000000001</v>
      </c>
      <c r="K28" s="22">
        <v>3564.38</v>
      </c>
      <c r="L28" s="22"/>
      <c r="M28" s="22">
        <v>109.64</v>
      </c>
    </row>
    <row r="29" spans="2:13" x14ac:dyDescent="0.35">
      <c r="B29">
        <v>24</v>
      </c>
      <c r="C29" t="s">
        <v>372</v>
      </c>
      <c r="D29" s="22">
        <v>114.75</v>
      </c>
      <c r="E29" s="22">
        <f t="shared" si="0"/>
        <v>5263.5824999999995</v>
      </c>
      <c r="F29" s="22">
        <v>228.69</v>
      </c>
      <c r="G29" s="22"/>
      <c r="H29" s="22">
        <v>45.87</v>
      </c>
      <c r="I29" s="22">
        <v>12.16</v>
      </c>
      <c r="J29" s="22">
        <f t="shared" si="2"/>
        <v>5480.1124999999993</v>
      </c>
      <c r="K29" s="22">
        <v>4612.58</v>
      </c>
      <c r="L29" s="22"/>
      <c r="M29" s="22">
        <v>249.25</v>
      </c>
    </row>
    <row r="30" spans="2:13" x14ac:dyDescent="0.35">
      <c r="B30">
        <v>25</v>
      </c>
      <c r="C30" t="s">
        <v>373</v>
      </c>
      <c r="D30" s="22">
        <v>341.35</v>
      </c>
      <c r="E30" s="22">
        <f t="shared" si="0"/>
        <v>4253.2210000000005</v>
      </c>
      <c r="F30" s="22">
        <v>66.510000000000005</v>
      </c>
      <c r="G30" s="22"/>
      <c r="H30" s="22">
        <v>12.46</v>
      </c>
      <c r="I30" s="22">
        <v>0.65</v>
      </c>
      <c r="J30" s="22">
        <f t="shared" si="2"/>
        <v>4319.081000000001</v>
      </c>
      <c r="K30" s="22">
        <v>1468.02</v>
      </c>
      <c r="L30" s="22"/>
      <c r="M30" s="22">
        <v>19</v>
      </c>
    </row>
    <row r="31" spans="2:13" x14ac:dyDescent="0.35"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2:13" x14ac:dyDescent="0.35">
      <c r="D32" s="22"/>
      <c r="E32" s="22"/>
      <c r="F32" s="22"/>
      <c r="G32" s="22"/>
      <c r="H32" s="22"/>
      <c r="I32" s="22"/>
      <c r="J32" s="22"/>
      <c r="K32" s="22"/>
      <c r="L32" s="22"/>
      <c r="M32" s="2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0955-AC98-41C1-9833-25BC3E47803B}">
  <dimension ref="B2:O29"/>
  <sheetViews>
    <sheetView topLeftCell="B2" zoomScale="78" workbookViewId="0">
      <selection activeCell="K12" sqref="K12:K13"/>
    </sheetView>
  </sheetViews>
  <sheetFormatPr defaultRowHeight="14.5" x14ac:dyDescent="0.35"/>
  <cols>
    <col min="2" max="2" width="31.90625" bestFit="1" customWidth="1"/>
    <col min="3" max="4" width="7.08984375" hidden="1" customWidth="1"/>
    <col min="5" max="14" width="7.08984375" bestFit="1" customWidth="1"/>
  </cols>
  <sheetData>
    <row r="2" spans="2:15" ht="15" thickBot="1" x14ac:dyDescent="0.4">
      <c r="C2" s="24">
        <v>41699</v>
      </c>
      <c r="D2" s="24">
        <v>42064</v>
      </c>
      <c r="E2" s="24">
        <v>42430</v>
      </c>
      <c r="F2" s="24">
        <v>42795</v>
      </c>
      <c r="G2" s="24">
        <v>43160</v>
      </c>
      <c r="H2" s="24">
        <v>43525</v>
      </c>
      <c r="I2" s="24">
        <v>43891</v>
      </c>
      <c r="J2" s="24">
        <v>44256</v>
      </c>
      <c r="K2" s="24">
        <v>44621</v>
      </c>
      <c r="L2" s="24">
        <v>44986</v>
      </c>
      <c r="M2" s="24">
        <v>45352</v>
      </c>
      <c r="N2" s="24">
        <v>45717</v>
      </c>
      <c r="O2" s="23"/>
    </row>
    <row r="3" spans="2:15" ht="15" thickBot="1" x14ac:dyDescent="0.4">
      <c r="B3" s="25" t="s">
        <v>88</v>
      </c>
      <c r="C3" s="26">
        <v>1098</v>
      </c>
      <c r="D3" s="26">
        <v>1047</v>
      </c>
      <c r="E3" s="26">
        <v>1187</v>
      </c>
      <c r="F3" s="26">
        <v>1227</v>
      </c>
      <c r="G3" s="26">
        <v>1092</v>
      </c>
      <c r="H3" s="26">
        <v>1499</v>
      </c>
      <c r="I3" s="26">
        <v>1614</v>
      </c>
      <c r="J3" s="26">
        <v>2115</v>
      </c>
      <c r="K3" s="26">
        <v>1802</v>
      </c>
      <c r="L3" s="26">
        <v>1488</v>
      </c>
      <c r="M3" s="26">
        <v>2013</v>
      </c>
      <c r="N3" s="26">
        <v>1987</v>
      </c>
    </row>
    <row r="4" spans="2:15" x14ac:dyDescent="0.35">
      <c r="B4" s="27" t="s">
        <v>89</v>
      </c>
      <c r="C4" s="26">
        <v>1202</v>
      </c>
      <c r="D4" s="26">
        <v>1394</v>
      </c>
      <c r="E4" s="26">
        <v>1543</v>
      </c>
      <c r="F4" s="26">
        <v>1462</v>
      </c>
      <c r="G4" s="26">
        <v>1678</v>
      </c>
      <c r="H4" s="26">
        <v>1868</v>
      </c>
      <c r="I4" s="26">
        <v>1981</v>
      </c>
      <c r="J4" s="26">
        <v>2048</v>
      </c>
      <c r="K4" s="26">
        <v>2287</v>
      </c>
      <c r="L4" s="26">
        <v>2143</v>
      </c>
      <c r="M4" s="26">
        <v>2406</v>
      </c>
      <c r="N4" s="26">
        <v>2402</v>
      </c>
    </row>
    <row r="5" spans="2:15" x14ac:dyDescent="0.35">
      <c r="B5" s="28" t="s">
        <v>42</v>
      </c>
      <c r="C5" s="29">
        <v>-187</v>
      </c>
      <c r="D5" s="29">
        <v>-142</v>
      </c>
      <c r="E5" s="29">
        <v>-14</v>
      </c>
      <c r="F5" s="29">
        <v>115</v>
      </c>
      <c r="G5" s="29">
        <v>-60</v>
      </c>
      <c r="H5" s="29">
        <v>-130</v>
      </c>
      <c r="I5" s="29">
        <v>14</v>
      </c>
      <c r="J5" s="29">
        <v>248</v>
      </c>
      <c r="K5" s="29">
        <v>-78</v>
      </c>
      <c r="L5" s="29">
        <v>-191</v>
      </c>
      <c r="M5" s="29">
        <v>-55</v>
      </c>
      <c r="N5" s="29">
        <v>12</v>
      </c>
    </row>
    <row r="6" spans="2:15" x14ac:dyDescent="0.35">
      <c r="B6" s="28" t="s">
        <v>29</v>
      </c>
      <c r="C6" s="29">
        <v>-128</v>
      </c>
      <c r="D6" s="29">
        <v>-1</v>
      </c>
      <c r="E6" s="29">
        <v>-123</v>
      </c>
      <c r="F6" s="29">
        <v>-10</v>
      </c>
      <c r="G6" s="29">
        <v>-149</v>
      </c>
      <c r="H6" s="29">
        <v>-44</v>
      </c>
      <c r="I6" s="29">
        <v>-79</v>
      </c>
      <c r="J6" s="29">
        <v>-355</v>
      </c>
      <c r="K6" s="29">
        <v>-177</v>
      </c>
      <c r="L6" s="29">
        <v>-96</v>
      </c>
      <c r="M6" s="29">
        <v>77</v>
      </c>
      <c r="N6" s="29">
        <v>-353</v>
      </c>
    </row>
    <row r="7" spans="2:15" x14ac:dyDescent="0.35">
      <c r="B7" s="28" t="s">
        <v>90</v>
      </c>
      <c r="C7" s="29">
        <v>397</v>
      </c>
      <c r="D7" s="29">
        <v>26</v>
      </c>
      <c r="E7" s="29">
        <v>62</v>
      </c>
      <c r="F7" s="29">
        <v>-16</v>
      </c>
      <c r="G7" s="29">
        <v>86</v>
      </c>
      <c r="H7" s="29">
        <v>45</v>
      </c>
      <c r="I7" s="29">
        <v>26</v>
      </c>
      <c r="J7" s="29">
        <v>434</v>
      </c>
      <c r="K7" s="29">
        <v>108</v>
      </c>
      <c r="L7" s="29">
        <v>141</v>
      </c>
      <c r="M7" s="29">
        <v>217</v>
      </c>
      <c r="N7" s="29">
        <v>407</v>
      </c>
    </row>
    <row r="8" spans="2:15" ht="15" thickBot="1" x14ac:dyDescent="0.4">
      <c r="B8" s="28" t="s">
        <v>91</v>
      </c>
      <c r="C8" s="29">
        <v>0</v>
      </c>
      <c r="D8" s="29">
        <v>0</v>
      </c>
      <c r="E8" s="29">
        <v>0</v>
      </c>
      <c r="F8" s="29">
        <v>-1</v>
      </c>
      <c r="G8" s="29">
        <v>-138</v>
      </c>
      <c r="H8" s="29">
        <v>111</v>
      </c>
      <c r="I8" s="29">
        <v>-19</v>
      </c>
      <c r="J8" s="29">
        <v>62</v>
      </c>
      <c r="K8" s="29">
        <v>51</v>
      </c>
      <c r="L8" s="29">
        <v>-15</v>
      </c>
      <c r="M8" s="29">
        <v>-137</v>
      </c>
      <c r="N8" s="29">
        <v>-77</v>
      </c>
    </row>
    <row r="9" spans="2:15" x14ac:dyDescent="0.35">
      <c r="B9" s="27" t="s">
        <v>92</v>
      </c>
      <c r="C9" s="30">
        <v>82</v>
      </c>
      <c r="D9" s="30">
        <v>-117</v>
      </c>
      <c r="E9" s="30">
        <v>-75</v>
      </c>
      <c r="F9" s="30">
        <v>87</v>
      </c>
      <c r="G9" s="30">
        <v>-262</v>
      </c>
      <c r="H9" s="30">
        <v>-18</v>
      </c>
      <c r="I9" s="30">
        <v>-58</v>
      </c>
      <c r="J9" s="30">
        <v>388</v>
      </c>
      <c r="K9" s="30">
        <v>-97</v>
      </c>
      <c r="L9" s="30">
        <v>-160</v>
      </c>
      <c r="M9" s="30">
        <v>101</v>
      </c>
      <c r="N9" s="30">
        <v>-11</v>
      </c>
    </row>
    <row r="10" spans="2:15" ht="15" thickBot="1" x14ac:dyDescent="0.4">
      <c r="B10" s="28" t="s">
        <v>93</v>
      </c>
      <c r="C10" s="29">
        <v>-186</v>
      </c>
      <c r="D10" s="29">
        <v>-230</v>
      </c>
      <c r="E10" s="29">
        <v>-281</v>
      </c>
      <c r="F10" s="29">
        <v>-322</v>
      </c>
      <c r="G10" s="29">
        <v>-325</v>
      </c>
      <c r="H10" s="29">
        <v>-351</v>
      </c>
      <c r="I10" s="29">
        <v>-309</v>
      </c>
      <c r="J10" s="29">
        <v>-321</v>
      </c>
      <c r="K10" s="29">
        <v>-388</v>
      </c>
      <c r="L10" s="29">
        <v>-494</v>
      </c>
      <c r="M10" s="29">
        <v>-494</v>
      </c>
      <c r="N10" s="29">
        <v>-405</v>
      </c>
    </row>
    <row r="11" spans="2:15" x14ac:dyDescent="0.35">
      <c r="B11" s="31" t="s">
        <v>94</v>
      </c>
      <c r="C11" s="32">
        <v>-104</v>
      </c>
      <c r="D11" s="32">
        <v>-876</v>
      </c>
      <c r="E11" s="32">
        <v>-730</v>
      </c>
      <c r="F11" s="32">
        <v>-807</v>
      </c>
      <c r="G11" s="32">
        <v>-541</v>
      </c>
      <c r="H11" s="32">
        <v>338</v>
      </c>
      <c r="I11" s="32">
        <v>-517</v>
      </c>
      <c r="J11" s="33">
        <v>-1404</v>
      </c>
      <c r="K11" s="33">
        <v>-1273</v>
      </c>
      <c r="L11" s="32">
        <v>-583</v>
      </c>
      <c r="M11" s="32">
        <v>-971</v>
      </c>
      <c r="N11" s="32">
        <v>-449</v>
      </c>
    </row>
    <row r="12" spans="2:15" x14ac:dyDescent="0.35">
      <c r="B12" s="34" t="s">
        <v>95</v>
      </c>
      <c r="C12" s="35">
        <v>-215</v>
      </c>
      <c r="D12" s="35">
        <v>-267</v>
      </c>
      <c r="E12" s="35">
        <v>-200</v>
      </c>
      <c r="F12" s="35">
        <v>-490</v>
      </c>
      <c r="G12" s="35">
        <v>-207</v>
      </c>
      <c r="H12" s="35">
        <v>-234</v>
      </c>
      <c r="I12" s="35">
        <v>-417</v>
      </c>
      <c r="J12" s="35">
        <v>-311</v>
      </c>
      <c r="K12" s="35">
        <v>-374</v>
      </c>
      <c r="L12" s="35">
        <v>-509</v>
      </c>
      <c r="M12" s="35">
        <v>-564</v>
      </c>
      <c r="N12" s="35">
        <v>-570</v>
      </c>
    </row>
    <row r="13" spans="2:15" x14ac:dyDescent="0.35">
      <c r="B13" s="34" t="s">
        <v>96</v>
      </c>
      <c r="C13" s="35">
        <v>2</v>
      </c>
      <c r="D13" s="35">
        <v>16</v>
      </c>
      <c r="E13" s="35">
        <v>11</v>
      </c>
      <c r="F13" s="35">
        <v>4</v>
      </c>
      <c r="G13" s="35">
        <v>7</v>
      </c>
      <c r="H13" s="35">
        <v>9</v>
      </c>
      <c r="I13" s="35">
        <v>17</v>
      </c>
      <c r="J13" s="35">
        <v>5</v>
      </c>
      <c r="K13" s="35">
        <v>5</v>
      </c>
      <c r="L13" s="35">
        <v>23</v>
      </c>
      <c r="M13" s="35">
        <v>3</v>
      </c>
      <c r="N13" s="35">
        <v>30</v>
      </c>
    </row>
    <row r="14" spans="2:15" x14ac:dyDescent="0.35">
      <c r="B14" s="34" t="s">
        <v>97</v>
      </c>
      <c r="C14" s="36">
        <v>-6446</v>
      </c>
      <c r="D14" s="36">
        <v>-6317</v>
      </c>
      <c r="E14" s="36">
        <v>-7341</v>
      </c>
      <c r="F14" s="36">
        <v>-9111</v>
      </c>
      <c r="G14" s="36">
        <v>-9001</v>
      </c>
      <c r="H14" s="36">
        <v>-5393</v>
      </c>
      <c r="I14" s="36">
        <v>-8479</v>
      </c>
      <c r="J14" s="36">
        <v>-7635</v>
      </c>
      <c r="K14" s="36">
        <v>-7507</v>
      </c>
      <c r="L14" s="36">
        <v>-4177</v>
      </c>
      <c r="M14" s="36">
        <v>-5142</v>
      </c>
      <c r="N14" s="36">
        <v>-6188</v>
      </c>
    </row>
    <row r="15" spans="2:15" x14ac:dyDescent="0.35">
      <c r="B15" s="34" t="s">
        <v>98</v>
      </c>
      <c r="C15" s="36">
        <v>6456</v>
      </c>
      <c r="D15" s="36">
        <v>5596</v>
      </c>
      <c r="E15" s="36">
        <v>6653</v>
      </c>
      <c r="F15" s="36">
        <v>8600</v>
      </c>
      <c r="G15" s="36">
        <v>8418</v>
      </c>
      <c r="H15" s="36">
        <v>5710</v>
      </c>
      <c r="I15" s="36">
        <v>8114</v>
      </c>
      <c r="J15" s="36">
        <v>6274</v>
      </c>
      <c r="K15" s="36">
        <v>6234</v>
      </c>
      <c r="L15" s="36">
        <v>4164</v>
      </c>
      <c r="M15" s="36">
        <v>4344</v>
      </c>
      <c r="N15" s="36">
        <v>5879</v>
      </c>
    </row>
    <row r="16" spans="2:15" x14ac:dyDescent="0.35">
      <c r="B16" s="34" t="s">
        <v>99</v>
      </c>
      <c r="C16" s="35">
        <v>95</v>
      </c>
      <c r="D16" s="35">
        <v>96</v>
      </c>
      <c r="E16" s="35">
        <v>148</v>
      </c>
      <c r="F16" s="35">
        <v>190</v>
      </c>
      <c r="G16" s="35">
        <v>244</v>
      </c>
      <c r="H16" s="35">
        <v>244</v>
      </c>
      <c r="I16" s="35">
        <v>248</v>
      </c>
      <c r="J16" s="35">
        <v>262</v>
      </c>
      <c r="K16" s="35">
        <v>367</v>
      </c>
      <c r="L16" s="35">
        <v>394</v>
      </c>
      <c r="M16" s="35">
        <v>387</v>
      </c>
      <c r="N16" s="35">
        <v>399</v>
      </c>
    </row>
    <row r="17" spans="2:14" x14ac:dyDescent="0.35">
      <c r="B17" s="34" t="s">
        <v>100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-481</v>
      </c>
      <c r="M17" s="35">
        <v>0</v>
      </c>
      <c r="N17" s="35">
        <v>0</v>
      </c>
    </row>
    <row r="18" spans="2:14" ht="15" thickBot="1" x14ac:dyDescent="0.4">
      <c r="B18" s="34" t="s">
        <v>101</v>
      </c>
      <c r="C18" s="35">
        <v>3</v>
      </c>
      <c r="D18" s="35">
        <v>0</v>
      </c>
      <c r="E18" s="35">
        <v>-1</v>
      </c>
      <c r="F18" s="35">
        <v>0</v>
      </c>
      <c r="G18" s="35">
        <v>-1</v>
      </c>
      <c r="H18" s="35">
        <v>1</v>
      </c>
      <c r="I18" s="35">
        <v>0</v>
      </c>
      <c r="J18" s="35">
        <v>2</v>
      </c>
      <c r="K18" s="35">
        <v>2</v>
      </c>
      <c r="L18" s="35">
        <v>4</v>
      </c>
      <c r="M18" s="35">
        <v>1</v>
      </c>
      <c r="N18" s="35">
        <v>0</v>
      </c>
    </row>
    <row r="19" spans="2:14" x14ac:dyDescent="0.35">
      <c r="B19" s="25" t="s">
        <v>102</v>
      </c>
      <c r="C19" s="30">
        <v>-804</v>
      </c>
      <c r="D19" s="30">
        <v>-417</v>
      </c>
      <c r="E19" s="30">
        <v>-374</v>
      </c>
      <c r="F19" s="30">
        <v>-339</v>
      </c>
      <c r="G19" s="30">
        <v>-577</v>
      </c>
      <c r="H19" s="26">
        <v>-1888</v>
      </c>
      <c r="I19" s="26">
        <v>-1043</v>
      </c>
      <c r="J19" s="30">
        <v>-613</v>
      </c>
      <c r="K19" s="30">
        <v>-490</v>
      </c>
      <c r="L19" s="26">
        <v>-1035</v>
      </c>
      <c r="M19" s="26">
        <v>-1161</v>
      </c>
      <c r="N19" s="26">
        <v>-1405</v>
      </c>
    </row>
    <row r="20" spans="2:14" x14ac:dyDescent="0.35">
      <c r="B20" s="28" t="s">
        <v>103</v>
      </c>
      <c r="C20" s="29">
        <v>0</v>
      </c>
      <c r="D20" s="29">
        <v>46</v>
      </c>
      <c r="E20" s="29">
        <v>17</v>
      </c>
      <c r="F20" s="29">
        <v>15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</row>
    <row r="21" spans="2:14" x14ac:dyDescent="0.35">
      <c r="B21" s="28" t="s">
        <v>104</v>
      </c>
      <c r="C21" s="29">
        <v>0</v>
      </c>
      <c r="D21" s="29">
        <v>75</v>
      </c>
      <c r="E21" s="29">
        <v>131</v>
      </c>
      <c r="F21" s="29">
        <v>168</v>
      </c>
      <c r="G21" s="29">
        <v>4</v>
      </c>
      <c r="H21" s="29">
        <v>32</v>
      </c>
      <c r="I21" s="29">
        <v>0</v>
      </c>
      <c r="J21" s="29">
        <v>65</v>
      </c>
      <c r="K21" s="29">
        <v>541</v>
      </c>
      <c r="L21" s="29">
        <v>935</v>
      </c>
      <c r="M21" s="29">
        <v>631</v>
      </c>
      <c r="N21" s="29">
        <v>638</v>
      </c>
    </row>
    <row r="22" spans="2:14" x14ac:dyDescent="0.35">
      <c r="B22" s="28" t="s">
        <v>105</v>
      </c>
      <c r="C22" s="29">
        <v>-443</v>
      </c>
      <c r="D22" s="29">
        <v>-50</v>
      </c>
      <c r="E22" s="29">
        <v>-60</v>
      </c>
      <c r="F22" s="29">
        <v>0</v>
      </c>
      <c r="G22" s="29">
        <v>-62</v>
      </c>
      <c r="H22" s="29">
        <v>-272</v>
      </c>
      <c r="I22" s="29">
        <v>-358</v>
      </c>
      <c r="J22" s="29">
        <v>-28</v>
      </c>
      <c r="K22" s="29">
        <v>0</v>
      </c>
      <c r="L22" s="29">
        <v>-886</v>
      </c>
      <c r="M22" s="29">
        <v>-678</v>
      </c>
      <c r="N22" s="29">
        <v>-756</v>
      </c>
    </row>
    <row r="23" spans="2:14" x14ac:dyDescent="0.35">
      <c r="B23" s="28" t="s">
        <v>106</v>
      </c>
      <c r="C23" s="29">
        <v>-34</v>
      </c>
      <c r="D23" s="29">
        <v>-26</v>
      </c>
      <c r="E23" s="29">
        <v>-40</v>
      </c>
      <c r="F23" s="29">
        <v>-45</v>
      </c>
      <c r="G23" s="29">
        <v>-43</v>
      </c>
      <c r="H23" s="29">
        <v>-52</v>
      </c>
      <c r="I23" s="29">
        <v>-42</v>
      </c>
      <c r="J23" s="29">
        <v>-31</v>
      </c>
      <c r="K23" s="29">
        <v>-33</v>
      </c>
      <c r="L23" s="29">
        <v>-89</v>
      </c>
      <c r="M23" s="29">
        <v>-119</v>
      </c>
      <c r="N23" s="29">
        <v>-279</v>
      </c>
    </row>
    <row r="24" spans="2:14" x14ac:dyDescent="0.35">
      <c r="B24" s="28" t="s">
        <v>107</v>
      </c>
      <c r="C24" s="29">
        <v>-279</v>
      </c>
      <c r="D24" s="29">
        <v>-395</v>
      </c>
      <c r="E24" s="29">
        <v>-352</v>
      </c>
      <c r="F24" s="29">
        <v>-396</v>
      </c>
      <c r="G24" s="29">
        <v>-396</v>
      </c>
      <c r="H24" s="37">
        <v>-1325</v>
      </c>
      <c r="I24" s="29">
        <v>-512</v>
      </c>
      <c r="J24" s="29">
        <v>-592</v>
      </c>
      <c r="K24" s="29">
        <v>-972</v>
      </c>
      <c r="L24" s="29">
        <v>-921</v>
      </c>
      <c r="M24" s="29">
        <v>-966</v>
      </c>
      <c r="N24" s="29">
        <v>-975</v>
      </c>
    </row>
    <row r="25" spans="2:14" x14ac:dyDescent="0.35">
      <c r="B25" s="28" t="s">
        <v>108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-25</v>
      </c>
      <c r="J25" s="29">
        <v>-28</v>
      </c>
      <c r="K25" s="29">
        <v>-26</v>
      </c>
      <c r="L25" s="29">
        <v>-25</v>
      </c>
      <c r="M25" s="29">
        <v>-29</v>
      </c>
      <c r="N25" s="29">
        <v>-68</v>
      </c>
    </row>
    <row r="26" spans="2:14" ht="15" thickBot="1" x14ac:dyDescent="0.4">
      <c r="B26" s="28" t="s">
        <v>109</v>
      </c>
      <c r="C26" s="29">
        <v>-47</v>
      </c>
      <c r="D26" s="29">
        <v>-67</v>
      </c>
      <c r="E26" s="29">
        <v>-72</v>
      </c>
      <c r="F26" s="29">
        <v>-81</v>
      </c>
      <c r="G26" s="29">
        <v>-81</v>
      </c>
      <c r="H26" s="29">
        <v>-272</v>
      </c>
      <c r="I26" s="29">
        <v>-105</v>
      </c>
      <c r="J26" s="29">
        <v>0</v>
      </c>
      <c r="K26" s="29">
        <v>0</v>
      </c>
      <c r="L26" s="29">
        <v>-49</v>
      </c>
      <c r="M26" s="29">
        <v>0</v>
      </c>
      <c r="N26" s="29">
        <v>34</v>
      </c>
    </row>
    <row r="27" spans="2:14" x14ac:dyDescent="0.35">
      <c r="B27" s="31" t="s">
        <v>20</v>
      </c>
      <c r="C27" s="32">
        <v>190</v>
      </c>
      <c r="D27" s="32">
        <v>-245</v>
      </c>
      <c r="E27" s="32">
        <v>82</v>
      </c>
      <c r="F27" s="32">
        <v>81</v>
      </c>
      <c r="G27" s="32">
        <v>-27</v>
      </c>
      <c r="H27" s="32">
        <v>-51</v>
      </c>
      <c r="I27" s="32">
        <v>54</v>
      </c>
      <c r="J27" s="32">
        <v>97</v>
      </c>
      <c r="K27" s="32">
        <v>38</v>
      </c>
      <c r="L27" s="32">
        <v>-130</v>
      </c>
      <c r="M27" s="32">
        <v>-119</v>
      </c>
      <c r="N27" s="32">
        <v>132</v>
      </c>
    </row>
    <row r="29" spans="2:14" x14ac:dyDescent="0.35">
      <c r="E29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Financials&gt;</vt:lpstr>
      <vt:lpstr>HistoricalFS</vt:lpstr>
      <vt:lpstr>Common Size Statement</vt:lpstr>
      <vt:lpstr>Ratio Analysis</vt:lpstr>
      <vt:lpstr>Forecasting</vt:lpstr>
      <vt:lpstr>Beta</vt:lpstr>
      <vt:lpstr>WACC</vt:lpstr>
      <vt:lpstr>Market Return</vt:lpstr>
      <vt:lpstr>Comps Beta</vt:lpstr>
      <vt:lpstr>Intrinsic- Growth</vt:lpstr>
      <vt:lpstr>DCF</vt:lpstr>
      <vt:lpstr>Relative Valuation</vt:lpstr>
      <vt:lpstr>Sheet2</vt:lpstr>
      <vt:lpstr>RawFS</vt:lpstr>
      <vt:lpstr>Data Room&gt;</vt:lpstr>
      <vt:lpstr>Data Sheet</vt:lpstr>
      <vt:lpstr>Sheet1</vt:lpstr>
      <vt:lpstr>Cashflow 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MUSKAN</cp:lastModifiedBy>
  <cp:lastPrinted>2025-05-28T10:10:48Z</cp:lastPrinted>
  <dcterms:created xsi:type="dcterms:W3CDTF">2012-08-17T09:55:37Z</dcterms:created>
  <dcterms:modified xsi:type="dcterms:W3CDTF">2025-06-02T13:00:27Z</dcterms:modified>
</cp:coreProperties>
</file>