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<sst xmlns="http://schemas.openxmlformats.org/spreadsheetml/2006/main" uniqueCount="244">
  <si>
    <t>Clients activities</t>
  </si>
  <si>
    <t>Crops planted:</t>
  </si>
  <si>
    <t>Animals farmed:</t>
  </si>
  <si>
    <t>Other income:</t>
  </si>
  <si>
    <t>Credit history</t>
  </si>
  <si>
    <t>Average loan borrowed in the past</t>
  </si>
  <si>
    <t>Has always repaid in time?</t>
  </si>
  <si>
    <t>Financial ratios</t>
  </si>
  <si>
    <t>Loan size ratio</t>
  </si>
  <si>
    <t>Installment size ratio</t>
  </si>
  <si>
    <t>Indebtness</t>
  </si>
  <si>
    <t>Cash flows</t>
  </si>
  <si>
    <t>Total yearly cash flow</t>
  </si>
  <si>
    <t>Minimum monthly cash flow</t>
  </si>
  <si>
    <t>Maximum monthly cash flow</t>
  </si>
  <si>
    <t>Net cash flows</t>
  </si>
  <si>
    <t>Total 1 year</t>
  </si>
  <si>
    <t>Revenues</t>
  </si>
  <si>
    <t>Source</t>
  </si>
  <si>
    <t>Other activities</t>
  </si>
  <si>
    <t>Total</t>
  </si>
  <si>
    <t>Costs</t>
  </si>
  <si>
    <t>Fertilizers</t>
  </si>
  <si>
    <t>Seeds/ cuttings</t>
  </si>
  <si>
    <t>Pesticides</t>
  </si>
  <si>
    <t>Labor crops</t>
  </si>
  <si>
    <t>Feeds</t>
  </si>
  <si>
    <t>Veterinary</t>
  </si>
  <si>
    <t>Labor animals</t>
  </si>
  <si>
    <t>Other animal costs</t>
  </si>
  <si>
    <t>Investments</t>
  </si>
  <si>
    <t>Household expenses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</si>
  <si>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</si>
  <si>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</si>
  <si>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</si>
  <si>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</si>
  <si>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</si>
  <si>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</si>
  <si>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</si>
  <si>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</si>
  <si>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</si>
  <si>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</si>
  <si>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</si>
  <si>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</si>
  <si>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</si>
  <si>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</si>
  <si>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</si>
  <si>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</si>
  <si>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in the period and provide the details requested. Select "Other" if the crop is not in the list</t>
  </si>
  <si>
    <t>Crop</t>
  </si>
  <si>
    <t>Acres under production</t>
  </si>
  <si>
    <t>Are you inter-cropping?</t>
  </si>
  <si>
    <t>Use of improved/ hybrid varieties</t>
  </si>
  <si>
    <t>How many 50Kg bags fertilizer will you apply for the crop in a season?</t>
  </si>
  <si>
    <t>Use of pesticides</t>
  </si>
  <si>
    <t>In which month will you start planting?</t>
  </si>
  <si>
    <t>How much of the production will you consume at home?</t>
  </si>
  <si>
    <t>For how many months are you storing the produce after harvest?</t>
  </si>
  <si>
    <t>Bananas</t>
  </si>
  <si>
    <t>No</t>
  </si>
  <si>
    <t>June</t>
  </si>
  <si>
    <t>30%</t>
  </si>
  <si>
    <t>Other crops</t>
  </si>
  <si>
    <t>Yes</t>
  </si>
  <si>
    <t>May</t>
  </si>
  <si>
    <t>10%</t>
  </si>
  <si>
    <t>Rice</t>
  </si>
  <si>
    <t>Please select the main animals (max 3) that you will breed in the period and provide the details requested. Select "Other" if the animal is not in the list</t>
  </si>
  <si>
    <t>Animal</t>
  </si>
  <si>
    <t>Total # animals</t>
  </si>
  <si>
    <t># animals in production (in lactation, producing eggs)</t>
  </si>
  <si>
    <t>Do you have improved or cross-breeds?</t>
  </si>
  <si>
    <t>Do you feed the animals with purchased feeds?</t>
  </si>
  <si>
    <t>How much of the eggs/ milk do you consume at home?</t>
  </si>
  <si>
    <t>How much of the meat do you consume at home?</t>
  </si>
  <si>
    <t>Cows (dairy)</t>
  </si>
  <si>
    <t>Always</t>
  </si>
  <si>
    <t>Pigs</t>
  </si>
  <si>
    <t>Never</t>
  </si>
  <si>
    <t>Other animals</t>
  </si>
  <si>
    <t>Sometimes</t>
  </si>
  <si>
    <t>Rabbits</t>
  </si>
  <si>
    <t>Other income</t>
  </si>
  <si>
    <t>If you have other non-farming sources of income, please indicate average monthly income and expenses</t>
  </si>
  <si>
    <t>Description of activities:</t>
  </si>
  <si>
    <t>Shop</t>
  </si>
  <si>
    <t>Monthly income:</t>
  </si>
  <si>
    <t>Monthly expenses:</t>
  </si>
  <si>
    <t>Other info</t>
  </si>
  <si>
    <t>How much of the labor is carried out by you and your family?</t>
  </si>
  <si>
    <t>Please indicate whether you are going to make investments which can't be considered regular expenditures (e.g.  building a greenhouse, planting new trees, etc.)</t>
  </si>
  <si>
    <t>Investment</t>
  </si>
  <si>
    <t>Investment amount</t>
  </si>
  <si>
    <t>Month of investment</t>
  </si>
  <si>
    <t>Month</t>
  </si>
  <si>
    <t>Greenhouse</t>
  </si>
  <si>
    <t>July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</si>
  <si>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</si>
  <si>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</si>
  <si>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</si>
  <si>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</si>
  <si>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</si>
  <si>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</si>
  <si>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Musoni</t>
  </si>
  <si>
    <t>How much is the loan you are applying for?</t>
  </si>
  <si>
    <t>Assets and liabilities</t>
  </si>
  <si>
    <t>Is the land yours?</t>
  </si>
  <si>
    <t>Where is most of your land located?</t>
  </si>
  <si>
    <t>Rural area</t>
  </si>
  <si>
    <t>Is the house yours?</t>
  </si>
  <si>
    <t>Total value of house and furniture</t>
  </si>
  <si>
    <t>Value of other assets (shops, machinery, accounts receivable…)</t>
  </si>
  <si>
    <t>What is the total value of the stock and inventory you have?</t>
  </si>
  <si>
    <t>With this loan, are you going to buy land/ other fixed assets? If yes, what is their value?</t>
  </si>
  <si>
    <t>Cash available from M-Pesa or other bank accounts</t>
  </si>
  <si>
    <t>Debts  with friends or other people (total)</t>
  </si>
  <si>
    <t>Planting time</t>
  </si>
  <si>
    <t>Top dressing/ spraying time</t>
  </si>
  <si>
    <t>Harvesting time</t>
  </si>
  <si>
    <t>Cycle 2 planting</t>
  </si>
  <si>
    <t>Cycle 2 top dressing/ spraying</t>
  </si>
  <si>
    <t>Cycle 2 harvest</t>
  </si>
  <si>
    <t>Acres planted</t>
  </si>
  <si>
    <t>Kg fertilizer/ acre</t>
  </si>
  <si>
    <t>Optimal fertilizer rate</t>
  </si>
  <si>
    <t>Yield/ acre</t>
  </si>
  <si>
    <t>Production</t>
  </si>
  <si>
    <t>Home consumption</t>
  </si>
  <si>
    <t>Sale price</t>
  </si>
  <si>
    <t>Price gain/ month stored</t>
  </si>
  <si>
    <t>Cycles/ year</t>
  </si>
  <si>
    <t>Length of cycle</t>
  </si>
  <si>
    <t>Seed costs</t>
  </si>
  <si>
    <t>Fertilizer costs</t>
  </si>
  <si>
    <t>Agrochemical costs</t>
  </si>
  <si>
    <t>Labour costs</t>
  </si>
  <si>
    <t>Income source</t>
  </si>
  <si>
    <t>Life cycle</t>
  </si>
  <si>
    <t>Meat/ animal</t>
  </si>
  <si>
    <t>Produce yield</t>
  </si>
  <si>
    <t>Produce price</t>
  </si>
  <si>
    <t>Animal value</t>
  </si>
  <si>
    <t>Feed costs/ year</t>
  </si>
  <si>
    <t>Veterinary costs</t>
  </si>
  <si>
    <t>Labor costs</t>
  </si>
  <si>
    <t>Meat</t>
  </si>
  <si>
    <t>Produce</t>
  </si>
  <si>
    <t>Baseline yield (Kg/acre)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</si>
  <si>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</si>
  <si>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</si>
  <si>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</si>
  <si>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</si>
  <si>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</si>
  <si>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intercropping</t>
  </si>
  <si>
    <t>Optimal fertilizers (Kg/ acre)</t>
  </si>
  <si>
    <t>Sowing/ planting rate per acre</t>
  </si>
  <si>
    <t>Sowing/ planting unit</t>
  </si>
  <si>
    <t>Cost local varieties (KSh)</t>
  </si>
  <si>
    <t>Cost improved varieties (KSh)</t>
  </si>
  <si>
    <t>Labor cost (Ksh/ acre/ year)</t>
  </si>
  <si>
    <t>Sale price (KSh/ Kg)</t>
  </si>
  <si>
    <t>Length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</si>
  <si>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</si>
  <si>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</si>
  <si>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</si>
  <si>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</si>
  <si>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</si>
  <si>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</si>
  <si>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</si>
  <si>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</si>
  <si>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</si>
  <si>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</si>
  <si>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</si>
  <si>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</si>
  <si>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</si>
  <si>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</si>
  <si>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</si>
  <si>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</si>
  <si>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</si>
  <si>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</si>
  <si>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</si>
  <si>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</si>
  <si>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</si>
  <si>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</si>
  <si>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</si>
  <si>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</si>
  <si>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</si>
  <si>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</si>
  <si>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</si>
  <si>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</si>
  <si>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</si>
  <si>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</si>
  <si>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</si>
  <si>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</si>
  <si>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</si>
  <si>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</si>
  <si>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Kg meat/ animal</t>
  </si>
  <si>
    <t>Produce price/ unit</t>
  </si>
  <si>
    <t>Meat price/ Kg</t>
  </si>
  <si>
    <t>Feed cost/ animal/ day</t>
  </si>
  <si>
    <t>Veterinary costs/ animal/ year</t>
  </si>
  <si>
    <t>Labor costs/ animal/ year</t>
  </si>
  <si>
    <t>Life cycle (months)</t>
  </si>
  <si>
    <t>Chicken</t>
  </si>
  <si>
    <t>eggs</t>
  </si>
  <si>
    <t>Eggs/ day</t>
  </si>
  <si>
    <t>milk</t>
  </si>
  <si>
    <t>Liters/ day</t>
  </si>
  <si>
    <t>Cows (beef)</t>
  </si>
  <si>
    <t>Goat</t>
  </si>
  <si>
    <t>Sheep</t>
  </si>
  <si>
    <t>Other general costs</t>
  </si>
  <si>
    <t>Item</t>
  </si>
  <si>
    <t>Cost</t>
  </si>
  <si>
    <t>Fertilizer (Ksh/ Kg)</t>
  </si>
  <si>
    <t>Pesticides (Ksh/ acre)</t>
  </si>
  <si>
    <t>% HH expenses/ net cash flows</t>
  </si>
  <si>
    <t>Assets value</t>
  </si>
  <si>
    <t>Acre land rural</t>
  </si>
  <si>
    <t>Acre land peri-urban</t>
  </si>
  <si>
    <t>Peri-urban area</t>
  </si>
  <si>
    <t>Acre land urban</t>
  </si>
  <si>
    <t>Urban area</t>
  </si>
  <si>
    <t>Acre land high value urban</t>
  </si>
  <si>
    <t>High value urban area</t>
  </si>
  <si>
    <t>Improved breed cow</t>
  </si>
  <si>
    <t>Indigenous cow</t>
  </si>
  <si>
    <t>Lists</t>
  </si>
  <si>
    <t>Yes/No</t>
  </si>
  <si>
    <t>Percentages</t>
  </si>
  <si>
    <t>Months</t>
  </si>
  <si>
    <t>Month number</t>
  </si>
  <si>
    <t>Feeding practices</t>
  </si>
  <si>
    <t>Land location</t>
  </si>
  <si>
    <t>January</t>
  </si>
  <si>
    <t>February</t>
  </si>
  <si>
    <t>March</t>
  </si>
  <si>
    <t>April</t>
  </si>
  <si>
    <t>August</t>
  </si>
  <si>
    <t>September</t>
  </si>
  <si>
    <t>October</t>
  </si>
  <si>
    <t>November</t>
  </si>
  <si>
    <t>December</t>
  </si>
  <si>
    <t>Today</t>
  </si>
</sst>
</file>

<file path=xl/styles.xml><?xml version="1.0" encoding="utf-8"?>
<styleSheet xmlns="http://schemas.openxmlformats.org/spreadsheetml/2006/main" xml:space="preserve">
  <numFmts count="3"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?_);_(@_)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0"/>
      <i val="1"/>
      <strike val="0"/>
      <u val="none"/>
      <sz val="11"/>
      <color rgb="FF00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ECECEC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</borders>
  <cellStyleXfs count="1">
    <xf numFmtId="0" fontId="0" fillId="0" borderId="0"/>
  </cellStyleXfs>
  <cellXfs count="12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4" numFmtId="164" fillId="2" borderId="0" applyFont="1" applyNumberFormat="1" applyFill="0" applyBorder="0" applyAlignment="1">
      <alignment horizontal="center" vertical="bottom" textRotation="0" wrapText="false" shrinkToFit="false"/>
    </xf>
    <xf xfId="0" fontId="4" numFmtId="166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165" fillId="2" borderId="3" applyFont="0" applyNumberFormat="1" applyFill="0" applyBorder="1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1">
      <alignment horizontal="center" vertical="bottom" textRotation="0" wrapText="false" shrinkToFit="false"/>
    </xf>
    <xf xfId="0" fontId="0" numFmtId="165" fillId="2" borderId="5" applyFont="0" applyNumberFormat="1" applyFill="0" applyBorder="1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0" numFmtId="165" fillId="2" borderId="5" applyFont="0" applyNumberFormat="1" applyFill="0" applyBorder="1" applyAlignment="1">
      <alignment horizontal="left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5" fillId="4" borderId="5" applyFont="0" applyNumberFormat="1" applyFill="1" applyBorder="1" applyAlignment="1">
      <alignment horizontal="center" vertical="bottom" textRotation="0" wrapText="false" shrinkToFit="false"/>
    </xf>
    <xf xfId="0" fontId="0" numFmtId="165" fillId="4" borderId="0" applyFont="0" applyNumberFormat="1" applyFill="1" applyBorder="0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4" applyFont="0" applyNumberFormat="1" applyFill="0" applyBorder="1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1">
      <alignment horizontal="center" vertical="bottom" textRotation="0" wrapText="false" shrinkToFit="false"/>
    </xf>
    <xf xfId="0" fontId="4" numFmtId="9" fillId="2" borderId="1" applyFont="1" applyNumberFormat="1" applyFill="0" applyBorder="1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center" vertical="bottom" textRotation="0" wrapText="false" shrinkToFit="false"/>
    </xf>
    <xf xfId="0" fontId="4" numFmtId="9" fillId="2" borderId="1" applyFont="1" applyNumberFormat="1" applyFill="0" applyBorder="1" applyAlignment="1">
      <alignment horizontal="center" vertical="bottom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4" numFmtId="165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7" fillId="2" borderId="5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0" numFmtId="165" fillId="5" borderId="5" applyFont="0" applyNumberFormat="1" applyFill="1" applyBorder="1" applyAlignment="0">
      <alignment horizontal="general" vertical="bottom" textRotation="0" wrapText="false" shrinkToFit="false"/>
    </xf>
    <xf xfId="0" fontId="0" numFmtId="0" fillId="5" borderId="5" applyFont="0" applyNumberFormat="0" applyFill="1" applyBorder="1" applyAlignment="1">
      <alignment horizontal="center" vertical="bottom" textRotation="0" wrapText="false" shrinkToFit="false"/>
    </xf>
    <xf xfId="0" fontId="0" numFmtId="165" fillId="5" borderId="0" applyFont="0" applyNumberFormat="1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165" fillId="5" borderId="1" applyFont="0" applyNumberFormat="1" applyFill="1" applyBorder="1" applyAlignment="0">
      <alignment horizontal="general" vertical="bottom" textRotation="0" wrapText="false" shrinkToFit="false"/>
    </xf>
    <xf xfId="0" fontId="0" numFmtId="0" fillId="5" borderId="1" applyFont="0" applyNumberFormat="0" applyFill="1" applyBorder="1" applyAlignment="1">
      <alignment horizontal="center" vertical="bottom" textRotation="0" wrapText="false" shrinkToFit="false"/>
    </xf>
    <xf xfId="0" fontId="0" numFmtId="17" fillId="5" borderId="0" applyFont="0" applyNumberFormat="1" applyFill="1" applyBorder="0" applyAlignment="1">
      <alignment horizontal="center" vertical="bottom" textRotation="0" wrapText="false" shrinkToFit="false"/>
    </xf>
    <xf xfId="0" fontId="0" numFmtId="9" fillId="5" borderId="5" applyFont="0" applyNumberFormat="1" applyFill="1" applyBorder="1" applyAlignment="1">
      <alignment horizontal="center" vertical="bottom" textRotation="0" wrapText="false" shrinkToFit="false"/>
    </xf>
    <xf xfId="0" fontId="0" numFmtId="9" fillId="5" borderId="0" applyFont="0" applyNumberFormat="1" applyFill="1" applyBorder="0" applyAlignment="1">
      <alignment horizontal="center" vertical="bottom" textRotation="0" wrapText="false" shrinkToFit="false"/>
    </xf>
    <xf xfId="0" fontId="0" numFmtId="17" fillId="5" borderId="1" applyFont="0" applyNumberFormat="1" applyFill="1" applyBorder="1" applyAlignment="1">
      <alignment horizontal="center" vertical="bottom" textRotation="0" wrapText="false" shrinkToFit="false"/>
    </xf>
    <xf xfId="0" fontId="0" numFmtId="9" fillId="5" borderId="1" applyFont="0" applyNumberFormat="1" applyFill="1" applyBorder="1" applyAlignment="1">
      <alignment horizontal="center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165" fillId="2" borderId="6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center" vertical="bottom" textRotation="0" wrapText="false" shrinkToFit="false"/>
    </xf>
    <xf xfId="0" fontId="0" numFmtId="165" fillId="5" borderId="3" applyFont="0" applyNumberFormat="1" applyFill="1" applyBorder="1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center" vertical="bottom" textRotation="0" wrapText="false" shrinkToFit="false"/>
    </xf>
    <xf xfId="0" fontId="4" numFmtId="9" fillId="2" borderId="0" applyFont="1" applyNumberFormat="1" applyFill="0" applyBorder="0" applyAlignment="1">
      <alignment horizontal="center" vertical="bottom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" fillId="5" borderId="5" applyFont="0" applyNumberFormat="1" applyFill="1" applyBorder="1" applyAlignment="1">
      <alignment horizontal="center" vertical="bottom" textRotation="0" wrapText="false" shrinkToFit="false"/>
    </xf>
    <xf xfId="0" fontId="0" numFmtId="1" fillId="5" borderId="0" applyFont="0" applyNumberFormat="1" applyFill="1" applyBorder="0" applyAlignment="1">
      <alignment horizontal="center" vertical="bottom" textRotation="0" wrapText="false" shrinkToFit="false"/>
    </xf>
    <xf xfId="0" fontId="0" numFmtId="1" fillId="5" borderId="1" applyFont="0" applyNumberFormat="1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1">
      <alignment horizontal="general" vertical="bottom" textRotation="0" wrapText="tru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5" borderId="3" applyFont="0" applyNumberFormat="1" applyFill="1" applyBorder="1" applyAlignment="1">
      <alignment horizontal="center" vertical="center" textRotation="0" wrapText="fals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5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0" numFmtId="3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6" borderId="2" applyFont="1" applyNumberFormat="0" applyFill="1" applyBorder="1" applyAlignment="1">
      <alignment horizontal="center" vertical="bottom" textRotation="0" wrapText="true" shrinkToFit="false"/>
    </xf>
    <xf xfId="0" fontId="0" numFmtId="165" fillId="6" borderId="5" applyFont="0" applyNumberFormat="1" applyFill="1" applyBorder="1" applyAlignment="0">
      <alignment horizontal="general" vertical="bottom" textRotation="0" wrapText="false" shrinkToFit="false"/>
    </xf>
    <xf xfId="0" fontId="0" numFmtId="165" fillId="6" borderId="0" applyFont="0" applyNumberFormat="1" applyFill="1" applyBorder="0" applyAlignment="0">
      <alignment horizontal="general" vertical="bottom" textRotation="0" wrapText="false" shrinkToFit="false"/>
    </xf>
    <xf xfId="0" fontId="0" numFmtId="165" fillId="6" borderId="1" applyFont="0" applyNumberFormat="1" applyFill="1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165" fillId="5" borderId="5" applyFont="0" applyNumberFormat="1" applyFill="1" applyBorder="1" applyAlignment="1">
      <alignment horizontal="center" vertical="bottom" textRotation="0" wrapText="false" shrinkToFit="false"/>
    </xf>
    <xf xfId="0" fontId="0" numFmtId="165" fillId="5" borderId="0" applyFont="0" applyNumberFormat="1" applyFill="1" applyBorder="0" applyAlignment="1">
      <alignment horizontal="center" vertical="bottom" textRotation="0" wrapText="false" shrinkToFit="false"/>
    </xf>
    <xf xfId="0" fontId="0" numFmtId="165" fillId="5" borderId="1" applyFont="0" applyNumberFormat="1" applyFill="1" applyBorder="1" applyAlignment="1">
      <alignment horizontal="center" vertical="bottom" textRotation="0" wrapText="false" shrinkToFit="false"/>
    </xf>
    <xf xfId="0" fontId="0" numFmtId="14" fillId="2" borderId="0" applyFont="0" applyNumberFormat="1" applyFill="0" applyBorder="0" applyAlignment="1">
      <alignment horizontal="center" vertical="bottom" textRotation="0" wrapText="false" shrinkToFit="false"/>
    </xf>
    <xf xfId="0" fontId="0" numFmtId="14" fillId="5" borderId="5" applyFont="0" applyNumberFormat="1" applyFill="1" applyBorder="1" applyAlignment="1">
      <alignment horizontal="center" vertical="bottom" textRotation="0" wrapText="false" shrinkToFit="false"/>
    </xf>
    <xf xfId="0" fontId="0" numFmtId="14" fillId="5" borderId="0" applyFont="0" applyNumberFormat="1" applyFill="1" applyBorder="0" applyAlignment="1">
      <alignment horizontal="center" vertical="bottom" textRotation="0" wrapText="false" shrinkToFit="false"/>
    </xf>
    <xf xfId="0" fontId="0" numFmtId="14" fillId="5" borderId="1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D9DCE1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18"/>
  <sheetViews>
    <sheetView tabSelected="0" workbookViewId="0" zoomScale="90" zoomScaleNormal="90" showGridLines="false" showRowColHeaders="1">
      <selection activeCell="B12" sqref="B12"/>
    </sheetView>
  </sheetViews>
  <sheetFormatPr defaultRowHeight="14.4" outlineLevelRow="0" outlineLevelCol="0"/>
  <cols>
    <col min="1" max="1" width="33.28515625" customWidth="true" style="0"/>
    <col min="2" max="2" width="12.140625" customWidth="true" style="0"/>
  </cols>
  <sheetData>
    <row r="1" spans="1:6">
      <c r="A1" s="4" t="s">
        <v>0</v>
      </c>
      <c r="B1" s="12"/>
      <c r="C1" s="12"/>
      <c r="D1" s="12"/>
      <c r="E1" s="12"/>
      <c r="F1" s="12"/>
    </row>
    <row r="2" spans="1:6">
      <c r="A2" s="1" t="s">
        <v>1</v>
      </c>
      <c r="B2" t="str">
        <f>Output!A9&amp;", "&amp;Output!A10&amp;", "&amp;Output!A11&amp;", "&amp;Output!A12&amp;", "&amp;Output!A13</f>
        <v>0</v>
      </c>
    </row>
    <row r="3" spans="1:6">
      <c r="A3" s="1" t="s">
        <v>2</v>
      </c>
      <c r="B3" t="str">
        <f>Calculations!A14&amp;", "&amp;Calculations!A15&amp;", "&amp;Calculations!A16</f>
        <v>0</v>
      </c>
    </row>
    <row r="4" spans="1:6">
      <c r="A4" s="1" t="s">
        <v>3</v>
      </c>
      <c r="B4" t="str">
        <f>Inputs!B38</f>
        <v>0</v>
      </c>
    </row>
    <row r="6" spans="1:6">
      <c r="A6" s="4" t="s">
        <v>4</v>
      </c>
      <c r="B6" s="12"/>
      <c r="C6" s="12"/>
      <c r="D6" s="12"/>
      <c r="E6" s="12"/>
      <c r="F6" s="12"/>
    </row>
    <row r="7" spans="1:6">
      <c r="A7" s="1" t="s">
        <v>5</v>
      </c>
      <c r="B7" s="44" t="str">
        <f>AVERAGE(Inputs!A55:A59)</f>
        <v>0</v>
      </c>
    </row>
    <row r="8" spans="1:6">
      <c r="A8" s="1" t="s">
        <v>6</v>
      </c>
      <c r="B8" t="str">
        <f>IF(OR(Inputs!E55="No",Inputs!E56="No",Inputs!E57="No",Inputs!E58="No",Inputs!E59="No"),"No","Yes")</f>
        <v>0</v>
      </c>
    </row>
    <row r="10" spans="1:6">
      <c r="A10" s="4" t="s">
        <v>7</v>
      </c>
      <c r="B10" s="12"/>
      <c r="C10" s="12"/>
      <c r="D10" s="12"/>
      <c r="E10" s="12"/>
      <c r="F10" s="12"/>
    </row>
    <row r="11" spans="1:6">
      <c r="A11" s="1" t="s">
        <v>8</v>
      </c>
      <c r="B11" s="120">
        <v>0.2</v>
      </c>
    </row>
    <row r="12" spans="1:6">
      <c r="A12" s="1" t="s">
        <v>9</v>
      </c>
      <c r="B12" s="120">
        <v>0.2</v>
      </c>
    </row>
    <row r="13" spans="1:6">
      <c r="A13" s="1" t="s">
        <v>10</v>
      </c>
      <c r="B13" s="119" t="str">
        <f>Output!B60/Output!B54</f>
        <v>0</v>
      </c>
    </row>
    <row r="15" spans="1:6">
      <c r="A15" s="4" t="s">
        <v>11</v>
      </c>
      <c r="B15" s="12"/>
      <c r="C15" s="12"/>
      <c r="D15" s="12"/>
      <c r="E15" s="12"/>
      <c r="F15" s="12"/>
    </row>
    <row r="16" spans="1:6">
      <c r="A16" s="1" t="s">
        <v>12</v>
      </c>
      <c r="B16" s="44" t="str">
        <f>Output!N4</f>
        <v>0</v>
      </c>
    </row>
    <row r="17" spans="1:6">
      <c r="A17" s="1" t="s">
        <v>13</v>
      </c>
      <c r="B17" s="44" t="str">
        <f>MIN(Output!B4:M4)</f>
        <v>0</v>
      </c>
    </row>
    <row r="18" spans="1:6">
      <c r="A18" s="1" t="s">
        <v>14</v>
      </c>
      <c r="B18" s="44" t="str">
        <f>MAX(Output!B4:M4)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0"/>
  <sheetViews>
    <sheetView tabSelected="0" workbookViewId="0" zoomScale="90" zoomScaleNormal="90" showGridLines="false" showRowColHeaders="1">
      <selection activeCell="G6" sqref="G6"/>
    </sheetView>
  </sheetViews>
  <sheetFormatPr defaultRowHeight="14.4" outlineLevelRow="0" outlineLevelCol="0"/>
  <cols>
    <col min="1" max="1" width="28.5703125" customWidth="true" style="0"/>
    <col min="2" max="2" width="11.140625" customWidth="true" style="0"/>
    <col min="3" max="3" width="10" customWidth="true" style="0"/>
    <col min="4" max="4" width="10" customWidth="true" style="0"/>
    <col min="5" max="5" width="10" customWidth="true" style="0"/>
    <col min="6" max="6" width="10" customWidth="true" style="0"/>
    <col min="7" max="7" width="10" customWidth="true" style="0"/>
    <col min="8" max="8" width="10" customWidth="true" style="0"/>
    <col min="9" max="9" width="10" customWidth="true" style="0"/>
    <col min="10" max="10" width="10" customWidth="true" style="0"/>
    <col min="11" max="11" width="10" customWidth="true" style="0"/>
    <col min="12" max="12" width="10" customWidth="true" style="0"/>
    <col min="13" max="13" width="11.140625" customWidth="true" style="0"/>
    <col min="14" max="14" width="19" customWidth="true" style="0"/>
  </cols>
  <sheetData>
    <row r="1" spans="1:16">
      <c r="A1" s="4" t="s">
        <v>15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5"/>
    </row>
    <row r="3" spans="1:16">
      <c r="A3" s="6"/>
      <c r="B3" s="25" t="str">
        <f>IFERROR(MIN(Calculations!B4:B8),DATE(YEAR(TODAY()),MONTH(TODAY())+1,1))</f>
        <v>0</v>
      </c>
      <c r="C3" s="25" t="str">
        <f>DATE(YEAR(B3),MONTH(B3)+1,DAY(B3))</f>
        <v>0</v>
      </c>
      <c r="D3" s="25" t="str">
        <f>DATE(YEAR(C3),MONTH(C3)+1,DAY(C3))</f>
        <v>0</v>
      </c>
      <c r="E3" s="25" t="str">
        <f>DATE(YEAR(D3),MONTH(D3)+1,DAY(D3))</f>
        <v>0</v>
      </c>
      <c r="F3" s="25" t="str">
        <f>DATE(YEAR(E3),MONTH(E3)+1,DAY(E3))</f>
        <v>0</v>
      </c>
      <c r="G3" s="25" t="str">
        <f>DATE(YEAR(F3),MONTH(F3)+1,DAY(F3))</f>
        <v>0</v>
      </c>
      <c r="H3" s="25" t="str">
        <f>DATE(YEAR(G3),MONTH(G3)+1,DAY(G3))</f>
        <v>0</v>
      </c>
      <c r="I3" s="25" t="str">
        <f>DATE(YEAR(H3),MONTH(H3)+1,DAY(H3))</f>
        <v>0</v>
      </c>
      <c r="J3" s="25" t="str">
        <f>DATE(YEAR(I3),MONTH(I3)+1,DAY(I3))</f>
        <v>0</v>
      </c>
      <c r="K3" s="25" t="str">
        <f>DATE(YEAR(J3),MONTH(J3)+1,DAY(J3))</f>
        <v>0</v>
      </c>
      <c r="L3" s="25" t="str">
        <f>DATE(YEAR(K3),MONTH(K3)+1,DAY(K3))</f>
        <v>0</v>
      </c>
      <c r="M3" s="25" t="str">
        <f>DATE(YEAR(L3),MONTH(L3)+1,DAY(L3))</f>
        <v>0</v>
      </c>
      <c r="N3" s="76" t="s">
        <v>16</v>
      </c>
      <c r="O3" s="81"/>
      <c r="P3" s="81"/>
    </row>
    <row r="4" spans="1:16" customHeight="1" ht="15.75">
      <c r="A4" s="79" t="s">
        <v>15</v>
      </c>
      <c r="B4" s="80" t="str">
        <f>B22-B41</f>
        <v>0</v>
      </c>
      <c r="C4" s="80" t="str">
        <f>C22-C41</f>
        <v>0</v>
      </c>
      <c r="D4" s="80" t="str">
        <f>D22-D41</f>
        <v>0</v>
      </c>
      <c r="E4" s="80" t="str">
        <f>E22-E41</f>
        <v>0</v>
      </c>
      <c r="F4" s="80" t="str">
        <f>F22-F41</f>
        <v>0</v>
      </c>
      <c r="G4" s="80" t="str">
        <f>G22-G41</f>
        <v>0</v>
      </c>
      <c r="H4" s="80" t="str">
        <f>H22-H41</f>
        <v>0</v>
      </c>
      <c r="I4" s="80" t="str">
        <f>I22-I41</f>
        <v>0</v>
      </c>
      <c r="J4" s="80" t="str">
        <f>J22-J41</f>
        <v>0</v>
      </c>
      <c r="K4" s="80" t="str">
        <f>K22-K41</f>
        <v>0</v>
      </c>
      <c r="L4" s="80" t="str">
        <f>L22-L41</f>
        <v>0</v>
      </c>
      <c r="M4" s="80" t="str">
        <f>M22-M41</f>
        <v>0</v>
      </c>
      <c r="N4" s="80" t="str">
        <f>N22-N41</f>
        <v>0</v>
      </c>
      <c r="O4" s="58"/>
      <c r="P4" s="58"/>
    </row>
    <row r="5" spans="1:16" customHeight="1" ht="15.75">
      <c r="O5" s="58"/>
      <c r="P5" s="58"/>
    </row>
    <row r="6" spans="1:16">
      <c r="A6" s="4" t="s">
        <v>17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82"/>
      <c r="P6" s="83"/>
    </row>
    <row r="7" spans="1:16">
      <c r="H7" s="57"/>
      <c r="O7" s="58"/>
      <c r="P7" s="58"/>
    </row>
    <row r="8" spans="1:16">
      <c r="A8" s="6" t="s">
        <v>18</v>
      </c>
      <c r="B8" s="25" t="str">
        <f>B3</f>
        <v>0</v>
      </c>
      <c r="C8" s="25" t="str">
        <f>C3</f>
        <v>0</v>
      </c>
      <c r="D8" s="25" t="str">
        <f>D3</f>
        <v>0</v>
      </c>
      <c r="E8" s="25" t="str">
        <f>E3</f>
        <v>0</v>
      </c>
      <c r="F8" s="25" t="str">
        <f>F3</f>
        <v>0</v>
      </c>
      <c r="G8" s="25" t="str">
        <f>G3</f>
        <v>0</v>
      </c>
      <c r="H8" s="25" t="str">
        <f>H3</f>
        <v>0</v>
      </c>
      <c r="I8" s="25" t="str">
        <f>I3</f>
        <v>0</v>
      </c>
      <c r="J8" s="25" t="str">
        <f>J3</f>
        <v>0</v>
      </c>
      <c r="K8" s="25" t="str">
        <f>K3</f>
        <v>0</v>
      </c>
      <c r="L8" s="25" t="str">
        <f>L3</f>
        <v>0</v>
      </c>
      <c r="M8" s="25" t="str">
        <f>M3</f>
        <v>0</v>
      </c>
      <c r="N8" s="76" t="s">
        <v>16</v>
      </c>
      <c r="O8" s="81"/>
      <c r="P8" s="81"/>
    </row>
    <row r="9" spans="1:16">
      <c r="A9" t="str">
        <f>IF(Inputs!A6="","",IF(Inputs!A6=Parameters!$A$18,Inputs!$D$14,Inputs!A6))</f>
        <v>0</v>
      </c>
      <c r="B9" s="44" t="str">
        <f>IF(Calculations!$R4&lt;&gt;0,IF(AND(B$8&gt;=Calculations!$D4,MIN(MOD(MONTH(Output!B$8)-MONTH(Calculations!$D4),12),MOD(MONTH(Output!B$8)-MONTH(Calculations!$G4),12))&lt;=Inputs!$I6),Calculations!$Q4/Calculations!$R4/(Inputs!$I6+1)*(1+MIN(MOD(MONTH(Output!B$8)-MONTH(Calculations!$D4),12),MOD(MONTH(Output!B$8)-MONTH(Calculations!$G4),12))*Calculations!$P4),0),Calculations!$Q4*Calculations!X4)</f>
        <v>0</v>
      </c>
      <c r="C9" s="44" t="str">
        <f>IF(Calculations!$R4&lt;&gt;0,IF(AND(C$8&gt;=Calculations!$D4,MIN(MOD(MONTH(Output!C$8)-MONTH(Calculations!$D4),12),MOD(MONTH(Output!C$8)-MONTH(Calculations!$G4),12))&lt;=Inputs!$I6),Calculations!$Q4/Calculations!$R4/(Inputs!$I6+1)*(1+MIN(MOD(MONTH(Output!C$8)-MONTH(Calculations!$D4),12),MOD(MONTH(Output!C$8)-MONTH(Calculations!$G4),12))*Calculations!$P4),0),Calculations!$Q4*Calculations!Y4)</f>
        <v>0</v>
      </c>
      <c r="D9" s="44" t="str">
        <f>IF(Calculations!$R4&lt;&gt;0,IF(AND(D$8&gt;=Calculations!$D4,MIN(MOD(MONTH(Output!D$8)-MONTH(Calculations!$D4),12),MOD(MONTH(Output!D$8)-MONTH(Calculations!$G4),12))&lt;=Inputs!$I6),Calculations!$Q4/Calculations!$R4/(Inputs!$I6+1)*(1+MIN(MOD(MONTH(Output!D$8)-MONTH(Calculations!$D4),12),MOD(MONTH(Output!D$8)-MONTH(Calculations!$G4),12))*Calculations!$P4),0),Calculations!$Q4*Calculations!Z4)</f>
        <v>0</v>
      </c>
      <c r="E9" s="44" t="str">
        <f>IF(Calculations!$R4&lt;&gt;0,IF(AND(E$8&gt;=Calculations!$D4,MIN(MOD(MONTH(Output!E$8)-MONTH(Calculations!$D4),12),MOD(MONTH(Output!E$8)-MONTH(Calculations!$G4),12))&lt;=Inputs!$I6),Calculations!$Q4/Calculations!$R4/(Inputs!$I6+1)*(1+MIN(MOD(MONTH(Output!E$8)-MONTH(Calculations!$D4),12),MOD(MONTH(Output!E$8)-MONTH(Calculations!$G4),12))*Calculations!$P4),0),Calculations!$Q4*Calculations!AA4)</f>
        <v>0</v>
      </c>
      <c r="F9" s="44" t="str">
        <f>IF(Calculations!$R4&lt;&gt;0,IF(AND(F$8&gt;=Calculations!$D4,MIN(MOD(MONTH(Output!F$8)-MONTH(Calculations!$D4),12),MOD(MONTH(Output!F$8)-MONTH(Calculations!$G4),12))&lt;=Inputs!$I6),Calculations!$Q4/Calculations!$R4/(Inputs!$I6+1)*(1+MIN(MOD(MONTH(Output!F$8)-MONTH(Calculations!$D4),12),MOD(MONTH(Output!F$8)-MONTH(Calculations!$G4),12))*Calculations!$P4),0),Calculations!$Q4*Calculations!AB4)</f>
        <v>0</v>
      </c>
      <c r="G9" s="44" t="str">
        <f>IF(Calculations!$R4&lt;&gt;0,IF(AND(G$8&gt;=Calculations!$D4,MIN(MOD(MONTH(Output!G$8)-MONTH(Calculations!$D4),12),MOD(MONTH(Output!G$8)-MONTH(Calculations!$G4),12))&lt;=Inputs!$I6),Calculations!$Q4/Calculations!$R4/(Inputs!$I6+1)*(1+MIN(MOD(MONTH(Output!G$8)-MONTH(Calculations!$D4),12),MOD(MONTH(Output!G$8)-MONTH(Calculations!$G4),12))*Calculations!$P4),0),Calculations!$Q4*Calculations!AC4)</f>
        <v>0</v>
      </c>
      <c r="H9" s="44" t="str">
        <f>IF(Calculations!$R4&lt;&gt;0,IF(AND(H$8&gt;=Calculations!$D4,MIN(MOD(MONTH(Output!H$8)-MONTH(Calculations!$D4),12),MOD(MONTH(Output!H$8)-MONTH(Calculations!$G4),12))&lt;=Inputs!$I6),Calculations!$Q4/Calculations!$R4/(Inputs!$I6+1)*(1+MIN(MOD(MONTH(Output!H$8)-MONTH(Calculations!$D4),12),MOD(MONTH(Output!H$8)-MONTH(Calculations!$G4),12))*Calculations!$P4),0),Calculations!$Q4*Calculations!AD4)</f>
        <v>0</v>
      </c>
      <c r="I9" s="44" t="str">
        <f>IF(Calculations!$R4&lt;&gt;0,IF(AND(I$8&gt;=Calculations!$D4,MIN(MOD(MONTH(Output!I$8)-MONTH(Calculations!$D4),12),MOD(MONTH(Output!I$8)-MONTH(Calculations!$G4),12))&lt;=Inputs!$I6),Calculations!$Q4/Calculations!$R4/(Inputs!$I6+1)*(1+MIN(MOD(MONTH(Output!I$8)-MONTH(Calculations!$D4),12),MOD(MONTH(Output!I$8)-MONTH(Calculations!$G4),12))*Calculations!$P4),0),Calculations!$Q4*Calculations!AE4)</f>
        <v>0</v>
      </c>
      <c r="J9" s="44" t="str">
        <f>IF(Calculations!$R4&lt;&gt;0,IF(AND(J$8&gt;=Calculations!$D4,MIN(MOD(MONTH(Output!J$8)-MONTH(Calculations!$D4),12),MOD(MONTH(Output!J$8)-MONTH(Calculations!$G4),12))&lt;=Inputs!$I6),Calculations!$Q4/Calculations!$R4/(Inputs!$I6+1)*(1+MIN(MOD(MONTH(Output!J$8)-MONTH(Calculations!$D4),12),MOD(MONTH(Output!J$8)-MONTH(Calculations!$G4),12))*Calculations!$P4),0),Calculations!$Q4*Calculations!AF4)</f>
        <v>0</v>
      </c>
      <c r="K9" s="44" t="str">
        <f>IF(Calculations!$R4&lt;&gt;0,IF(AND(K$8&gt;=Calculations!$D4,MIN(MOD(MONTH(Output!K$8)-MONTH(Calculations!$D4),12),MOD(MONTH(Output!K$8)-MONTH(Calculations!$G4),12))&lt;=Inputs!$I6),Calculations!$Q4/Calculations!$R4/(Inputs!$I6+1)*(1+MIN(MOD(MONTH(Output!K$8)-MONTH(Calculations!$D4),12),MOD(MONTH(Output!K$8)-MONTH(Calculations!$G4),12))*Calculations!$P4),0),Calculations!$Q4*Calculations!AG4)</f>
        <v>0</v>
      </c>
      <c r="L9" s="44" t="str">
        <f>IF(Calculations!$R4&lt;&gt;0,IF(AND(L$8&gt;=Calculations!$D4,MIN(MOD(MONTH(Output!L$8)-MONTH(Calculations!$D4),12),MOD(MONTH(Output!L$8)-MONTH(Calculations!$G4),12))&lt;=Inputs!$I6),Calculations!$Q4/Calculations!$R4/(Inputs!$I6+1)*(1+MIN(MOD(MONTH(Output!L$8)-MONTH(Calculations!$D4),12),MOD(MONTH(Output!L$8)-MONTH(Calculations!$G4),12))*Calculations!$P4),0),Calculations!$Q4*Calculations!AH4)</f>
        <v>0</v>
      </c>
      <c r="M9" s="44" t="str">
        <f>IF(Calculations!$R4&lt;&gt;0,IF(AND(M$8&gt;=Calculations!$D4,MIN(MOD(MONTH(Output!M$8)-MONTH(Calculations!$D4),12),MOD(MONTH(Output!M$8)-MONTH(Calculations!$G4),12))&lt;=Inputs!$I6),Calculations!$Q4/Calculations!$R4/(Inputs!$I6+1)*(1+MIN(MOD(MONTH(Output!M$8)-MONTH(Calculations!$D4),12),MOD(MONTH(Output!M$8)-MONTH(Calculations!$G4),12))*Calculations!$P4),0),Calculations!$Q4*Calculations!AI4)</f>
        <v>0</v>
      </c>
      <c r="N9" s="44" t="str">
        <f>SUM(B9:M9)</f>
        <v>0</v>
      </c>
      <c r="O9" s="58"/>
      <c r="P9" s="58"/>
    </row>
    <row r="10" spans="1:16">
      <c r="A10" t="str">
        <f>IF(Inputs!A7="","",IF(Inputs!A7=Parameters!$A$18,Inputs!$D$14,Inputs!A7))</f>
        <v>0</v>
      </c>
      <c r="B10" s="44" t="str">
        <f>IF(Calculations!$R5&lt;&gt;0,IF(AND(B$8&gt;=Calculations!$D5,MIN(MOD(MONTH(Output!B$8)-MONTH(Calculations!$D5),12),MOD(MONTH(Output!B$8)-MONTH(Calculations!$G5),12))&lt;=Inputs!$I7),Calculations!$Q5/Calculations!$R5/(Inputs!$I7+1)*(1+MIN(MOD(MONTH(Output!B$8)-MONTH(Calculations!$D5),12),MOD(MONTH(Output!B$8)-MONTH(Calculations!$G5),12))*Calculations!$P5),0),Calculations!$Q5*Calculations!X5)</f>
        <v>0</v>
      </c>
      <c r="C10" s="44" t="str">
        <f>IF(Calculations!$R5&lt;&gt;0,IF(AND(C$8&gt;=Calculations!$D5,MIN(MOD(MONTH(Output!C$8)-MONTH(Calculations!$D5),12),MOD(MONTH(Output!C$8)-MONTH(Calculations!$G5),12))&lt;=Inputs!$I7),Calculations!$Q5/Calculations!$R5/(Inputs!$I7+1)*(1+MIN(MOD(MONTH(Output!C$8)-MONTH(Calculations!$D5),12),MOD(MONTH(Output!C$8)-MONTH(Calculations!$G5),12))*Calculations!$P5),0),Calculations!$Q5*Calculations!Y5)</f>
        <v>0</v>
      </c>
      <c r="D10" s="44" t="str">
        <f>IF(Calculations!$R5&lt;&gt;0,IF(AND(D$8&gt;=Calculations!$D5,MIN(MOD(MONTH(Output!D$8)-MONTH(Calculations!$D5),12),MOD(MONTH(Output!D$8)-MONTH(Calculations!$G5),12))&lt;=Inputs!$I7),Calculations!$Q5/Calculations!$R5/(Inputs!$I7+1)*(1+MIN(MOD(MONTH(Output!D$8)-MONTH(Calculations!$D5),12),MOD(MONTH(Output!D$8)-MONTH(Calculations!$G5),12))*Calculations!$P5),0),Calculations!$Q5*Calculations!Z5)</f>
        <v>0</v>
      </c>
      <c r="E10" s="44" t="str">
        <f>IF(Calculations!$R5&lt;&gt;0,IF(AND(E$8&gt;=Calculations!$D5,MIN(MOD(MONTH(Output!E$8)-MONTH(Calculations!$D5),12),MOD(MONTH(Output!E$8)-MONTH(Calculations!$G5),12))&lt;=Inputs!$I7),Calculations!$Q5/Calculations!$R5/(Inputs!$I7+1)*(1+MIN(MOD(MONTH(Output!E$8)-MONTH(Calculations!$D5),12),MOD(MONTH(Output!E$8)-MONTH(Calculations!$G5),12))*Calculations!$P5),0),Calculations!$Q5*Calculations!AA5)</f>
        <v>0</v>
      </c>
      <c r="F10" s="44" t="str">
        <f>IF(Calculations!$R5&lt;&gt;0,IF(AND(F$8&gt;=Calculations!$D5,MIN(MOD(MONTH(Output!F$8)-MONTH(Calculations!$D5),12),MOD(MONTH(Output!F$8)-MONTH(Calculations!$G5),12))&lt;=Inputs!$I7),Calculations!$Q5/Calculations!$R5/(Inputs!$I7+1)*(1+MIN(MOD(MONTH(Output!F$8)-MONTH(Calculations!$D5),12),MOD(MONTH(Output!F$8)-MONTH(Calculations!$G5),12))*Calculations!$P5),0),Calculations!$Q5*Calculations!AB5)</f>
        <v>0</v>
      </c>
      <c r="G10" s="44" t="str">
        <f>IF(Calculations!$R5&lt;&gt;0,IF(AND(G$8&gt;=Calculations!$D5,MIN(MOD(MONTH(Output!G$8)-MONTH(Calculations!$D5),12),MOD(MONTH(Output!G$8)-MONTH(Calculations!$G5),12))&lt;=Inputs!$I7),Calculations!$Q5/Calculations!$R5/(Inputs!$I7+1)*(1+MIN(MOD(MONTH(Output!G$8)-MONTH(Calculations!$D5),12),MOD(MONTH(Output!G$8)-MONTH(Calculations!$G5),12))*Calculations!$P5),0),Calculations!$Q5*Calculations!AC5)</f>
        <v>0</v>
      </c>
      <c r="H10" s="44" t="str">
        <f>IF(Calculations!$R5&lt;&gt;0,IF(AND(H$8&gt;=Calculations!$D5,MIN(MOD(MONTH(Output!H$8)-MONTH(Calculations!$D5),12),MOD(MONTH(Output!H$8)-MONTH(Calculations!$G5),12))&lt;=Inputs!$I7),Calculations!$Q5/Calculations!$R5/(Inputs!$I7+1)*(1+MIN(MOD(MONTH(Output!H$8)-MONTH(Calculations!$D5),12),MOD(MONTH(Output!H$8)-MONTH(Calculations!$G5),12))*Calculations!$P5),0),Calculations!$Q5*Calculations!AD5)</f>
        <v>0</v>
      </c>
      <c r="I10" s="44" t="str">
        <f>IF(Calculations!$R5&lt;&gt;0,IF(AND(I$8&gt;=Calculations!$D5,MIN(MOD(MONTH(Output!I$8)-MONTH(Calculations!$D5),12),MOD(MONTH(Output!I$8)-MONTH(Calculations!$G5),12))&lt;=Inputs!$I7),Calculations!$Q5/Calculations!$R5/(Inputs!$I7+1)*(1+MIN(MOD(MONTH(Output!I$8)-MONTH(Calculations!$D5),12),MOD(MONTH(Output!I$8)-MONTH(Calculations!$G5),12))*Calculations!$P5),0),Calculations!$Q5*Calculations!AE5)</f>
        <v>0</v>
      </c>
      <c r="J10" s="44" t="str">
        <f>IF(Calculations!$R5&lt;&gt;0,IF(AND(J$8&gt;=Calculations!$D5,MIN(MOD(MONTH(Output!J$8)-MONTH(Calculations!$D5),12),MOD(MONTH(Output!J$8)-MONTH(Calculations!$G5),12))&lt;=Inputs!$I7),Calculations!$Q5/Calculations!$R5/(Inputs!$I7+1)*(1+MIN(MOD(MONTH(Output!J$8)-MONTH(Calculations!$D5),12),MOD(MONTH(Output!J$8)-MONTH(Calculations!$G5),12))*Calculations!$P5),0),Calculations!$Q5*Calculations!AF5)</f>
        <v>0</v>
      </c>
      <c r="K10" s="44" t="str">
        <f>IF(Calculations!$R5&lt;&gt;0,IF(AND(K$8&gt;=Calculations!$D5,MIN(MOD(MONTH(Output!K$8)-MONTH(Calculations!$D5),12),MOD(MONTH(Output!K$8)-MONTH(Calculations!$G5),12))&lt;=Inputs!$I7),Calculations!$Q5/Calculations!$R5/(Inputs!$I7+1)*(1+MIN(MOD(MONTH(Output!K$8)-MONTH(Calculations!$D5),12),MOD(MONTH(Output!K$8)-MONTH(Calculations!$G5),12))*Calculations!$P5),0),Calculations!$Q5*Calculations!AG5)</f>
        <v>0</v>
      </c>
      <c r="L10" s="44" t="str">
        <f>IF(Calculations!$R5&lt;&gt;0,IF(AND(L$8&gt;=Calculations!$D5,MIN(MOD(MONTH(Output!L$8)-MONTH(Calculations!$D5),12),MOD(MONTH(Output!L$8)-MONTH(Calculations!$G5),12))&lt;=Inputs!$I7),Calculations!$Q5/Calculations!$R5/(Inputs!$I7+1)*(1+MIN(MOD(MONTH(Output!L$8)-MONTH(Calculations!$D5),12),MOD(MONTH(Output!L$8)-MONTH(Calculations!$G5),12))*Calculations!$P5),0),Calculations!$Q5*Calculations!AH5)</f>
        <v>0</v>
      </c>
      <c r="M10" s="44" t="str">
        <f>IF(Calculations!$R5&lt;&gt;0,IF(AND(M$8&gt;=Calculations!$D5,MIN(MOD(MONTH(Output!M$8)-MONTH(Calculations!$D5),12),MOD(MONTH(Output!M$8)-MONTH(Calculations!$G5),12))&lt;=Inputs!$I7),Calculations!$Q5/Calculations!$R5/(Inputs!$I7+1)*(1+MIN(MOD(MONTH(Output!M$8)-MONTH(Calculations!$D5),12),MOD(MONTH(Output!M$8)-MONTH(Calculations!$G5),12))*Calculations!$P5),0),Calculations!$Q5*Calculations!AI5)</f>
        <v>0</v>
      </c>
      <c r="N10" s="44" t="str">
        <f>SUM(B10:M10)</f>
        <v>0</v>
      </c>
      <c r="O10" s="58"/>
      <c r="P10" s="58"/>
    </row>
    <row r="11" spans="1:16">
      <c r="A11" t="str">
        <f>IF(Inputs!A8="","",IF(Inputs!A8=Parameters!$A$18,Inputs!$D$14,Inputs!A8))</f>
        <v>0</v>
      </c>
      <c r="B11" s="44" t="str">
        <f>IF(Calculations!$R6&lt;&gt;0,IF(AND(B$8&gt;=Calculations!$D6,MIN(MOD(MONTH(Output!B$8)-MONTH(Calculations!$D6),12),MOD(MONTH(Output!B$8)-MONTH(Calculations!$G6),12))&lt;=Inputs!$I8),Calculations!$Q6/Calculations!$R6/(Inputs!$I8+1)*(1+MIN(MOD(MONTH(Output!B$8)-MONTH(Calculations!$D6),12),MOD(MONTH(Output!B$8)-MONTH(Calculations!$G6),12))*Calculations!$P6),0),Calculations!$Q6*Calculations!X6)</f>
        <v>0</v>
      </c>
      <c r="C11" s="44" t="str">
        <f>IF(Calculations!$R6&lt;&gt;0,IF(AND(C$8&gt;=Calculations!$D6,MIN(MOD(MONTH(Output!C$8)-MONTH(Calculations!$D6),12),MOD(MONTH(Output!C$8)-MONTH(Calculations!$G6),12))&lt;=Inputs!$I8),Calculations!$Q6/Calculations!$R6/(Inputs!$I8+1)*(1+MIN(MOD(MONTH(Output!C$8)-MONTH(Calculations!$D6),12),MOD(MONTH(Output!C$8)-MONTH(Calculations!$G6),12))*Calculations!$P6),0),Calculations!$Q6*Calculations!Y6)</f>
        <v>0</v>
      </c>
      <c r="D11" s="44" t="str">
        <f>IF(Calculations!$R6&lt;&gt;0,IF(AND(D$8&gt;=Calculations!$D6,MIN(MOD(MONTH(Output!D$8)-MONTH(Calculations!$D6),12),MOD(MONTH(Output!D$8)-MONTH(Calculations!$G6),12))&lt;=Inputs!$I8),Calculations!$Q6/Calculations!$R6/(Inputs!$I8+1)*(1+MIN(MOD(MONTH(Output!D$8)-MONTH(Calculations!$D6),12),MOD(MONTH(Output!D$8)-MONTH(Calculations!$G6),12))*Calculations!$P6),0),Calculations!$Q6*Calculations!Z6)</f>
        <v>0</v>
      </c>
      <c r="E11" s="44" t="str">
        <f>IF(Calculations!$R6&lt;&gt;0,IF(AND(E$8&gt;=Calculations!$D6,MIN(MOD(MONTH(Output!E$8)-MONTH(Calculations!$D6),12),MOD(MONTH(Output!E$8)-MONTH(Calculations!$G6),12))&lt;=Inputs!$I8),Calculations!$Q6/Calculations!$R6/(Inputs!$I8+1)*(1+MIN(MOD(MONTH(Output!E$8)-MONTH(Calculations!$D6),12),MOD(MONTH(Output!E$8)-MONTH(Calculations!$G6),12))*Calculations!$P6),0),Calculations!$Q6*Calculations!AA6)</f>
        <v>0</v>
      </c>
      <c r="F11" s="44" t="str">
        <f>IF(Calculations!$R6&lt;&gt;0,IF(AND(F$8&gt;=Calculations!$D6,MIN(MOD(MONTH(Output!F$8)-MONTH(Calculations!$D6),12),MOD(MONTH(Output!F$8)-MONTH(Calculations!$G6),12))&lt;=Inputs!$I8),Calculations!$Q6/Calculations!$R6/(Inputs!$I8+1)*(1+MIN(MOD(MONTH(Output!F$8)-MONTH(Calculations!$D6),12),MOD(MONTH(Output!F$8)-MONTH(Calculations!$G6),12))*Calculations!$P6),0),Calculations!$Q6*Calculations!AB6)</f>
        <v>0</v>
      </c>
      <c r="G11" s="44" t="str">
        <f>IF(Calculations!$R6&lt;&gt;0,IF(AND(G$8&gt;=Calculations!$D6,MIN(MOD(MONTH(Output!G$8)-MONTH(Calculations!$D6),12),MOD(MONTH(Output!G$8)-MONTH(Calculations!$G6),12))&lt;=Inputs!$I8),Calculations!$Q6/Calculations!$R6/(Inputs!$I8+1)*(1+MIN(MOD(MONTH(Output!G$8)-MONTH(Calculations!$D6),12),MOD(MONTH(Output!G$8)-MONTH(Calculations!$G6),12))*Calculations!$P6),0),Calculations!$Q6*Calculations!AC6)</f>
        <v>0</v>
      </c>
      <c r="H11" s="44" t="str">
        <f>IF(Calculations!$R6&lt;&gt;0,IF(AND(H$8&gt;=Calculations!$D6,MIN(MOD(MONTH(Output!H$8)-MONTH(Calculations!$D6),12),MOD(MONTH(Output!H$8)-MONTH(Calculations!$G6),12))&lt;=Inputs!$I8),Calculations!$Q6/Calculations!$R6/(Inputs!$I8+1)*(1+MIN(MOD(MONTH(Output!H$8)-MONTH(Calculations!$D6),12),MOD(MONTH(Output!H$8)-MONTH(Calculations!$G6),12))*Calculations!$P6),0),Calculations!$Q6*Calculations!AD6)</f>
        <v>0</v>
      </c>
      <c r="I11" s="44" t="str">
        <f>IF(Calculations!$R6&lt;&gt;0,IF(AND(I$8&gt;=Calculations!$D6,MIN(MOD(MONTH(Output!I$8)-MONTH(Calculations!$D6),12),MOD(MONTH(Output!I$8)-MONTH(Calculations!$G6),12))&lt;=Inputs!$I8),Calculations!$Q6/Calculations!$R6/(Inputs!$I8+1)*(1+MIN(MOD(MONTH(Output!I$8)-MONTH(Calculations!$D6),12),MOD(MONTH(Output!I$8)-MONTH(Calculations!$G6),12))*Calculations!$P6),0),Calculations!$Q6*Calculations!AE6)</f>
        <v>0</v>
      </c>
      <c r="J11" s="44" t="str">
        <f>IF(Calculations!$R6&lt;&gt;0,IF(AND(J$8&gt;=Calculations!$D6,MIN(MOD(MONTH(Output!J$8)-MONTH(Calculations!$D6),12),MOD(MONTH(Output!J$8)-MONTH(Calculations!$G6),12))&lt;=Inputs!$I8),Calculations!$Q6/Calculations!$R6/(Inputs!$I8+1)*(1+MIN(MOD(MONTH(Output!J$8)-MONTH(Calculations!$D6),12),MOD(MONTH(Output!J$8)-MONTH(Calculations!$G6),12))*Calculations!$P6),0),Calculations!$Q6*Calculations!AF6)</f>
        <v>0</v>
      </c>
      <c r="K11" s="44" t="str">
        <f>IF(Calculations!$R6&lt;&gt;0,IF(AND(K$8&gt;=Calculations!$D6,MIN(MOD(MONTH(Output!K$8)-MONTH(Calculations!$D6),12),MOD(MONTH(Output!K$8)-MONTH(Calculations!$G6),12))&lt;=Inputs!$I8),Calculations!$Q6/Calculations!$R6/(Inputs!$I8+1)*(1+MIN(MOD(MONTH(Output!K$8)-MONTH(Calculations!$D6),12),MOD(MONTH(Output!K$8)-MONTH(Calculations!$G6),12))*Calculations!$P6),0),Calculations!$Q6*Calculations!AG6)</f>
        <v>0</v>
      </c>
      <c r="L11" s="44" t="str">
        <f>IF(Calculations!$R6&lt;&gt;0,IF(AND(L$8&gt;=Calculations!$D6,MIN(MOD(MONTH(Output!L$8)-MONTH(Calculations!$D6),12),MOD(MONTH(Output!L$8)-MONTH(Calculations!$G6),12))&lt;=Inputs!$I8),Calculations!$Q6/Calculations!$R6/(Inputs!$I8+1)*(1+MIN(MOD(MONTH(Output!L$8)-MONTH(Calculations!$D6),12),MOD(MONTH(Output!L$8)-MONTH(Calculations!$G6),12))*Calculations!$P6),0),Calculations!$Q6*Calculations!AH6)</f>
        <v>0</v>
      </c>
      <c r="M11" s="44" t="str">
        <f>IF(Calculations!$R6&lt;&gt;0,IF(AND(M$8&gt;=Calculations!$D6,MIN(MOD(MONTH(Output!M$8)-MONTH(Calculations!$D6),12),MOD(MONTH(Output!M$8)-MONTH(Calculations!$G6),12))&lt;=Inputs!$I8),Calculations!$Q6/Calculations!$R6/(Inputs!$I8+1)*(1+MIN(MOD(MONTH(Output!M$8)-MONTH(Calculations!$D6),12),MOD(MONTH(Output!M$8)-MONTH(Calculations!$G6),12))*Calculations!$P6),0),Calculations!$Q6*Calculations!AI6)</f>
        <v>0</v>
      </c>
      <c r="N11" s="44" t="str">
        <f>SUM(B11:M11)</f>
        <v>0</v>
      </c>
    </row>
    <row r="12" spans="1:16">
      <c r="A12" t="str">
        <f>IF(Inputs!A9="","",IF(Inputs!A9=Parameters!$A$18,Inputs!$D$14,Inputs!A9))</f>
        <v>0</v>
      </c>
      <c r="B12" s="44" t="str">
        <f>IF(Calculations!$R7&lt;&gt;0,IF(AND(B$8&gt;=Calculations!$D7,MIN(MOD(MONTH(Output!B$8)-MONTH(Calculations!$D7),12),MOD(MONTH(Output!B$8)-MONTH(Calculations!$G7),12))&lt;=Inputs!$I9),Calculations!$Q7/Calculations!$R7/(Inputs!$I9+1)*(1+MIN(MOD(MONTH(Output!B$8)-MONTH(Calculations!$D7),12),MOD(MONTH(Output!B$8)-MONTH(Calculations!$G7),12))*Calculations!$P7),0),Calculations!$Q7*Calculations!X7)</f>
        <v>0</v>
      </c>
      <c r="C12" s="44" t="str">
        <f>IF(Calculations!$R7&lt;&gt;0,IF(AND(C$8&gt;=Calculations!$D7,MIN(MOD(MONTH(Output!C$8)-MONTH(Calculations!$D7),12),MOD(MONTH(Output!C$8)-MONTH(Calculations!$G7),12))&lt;=Inputs!$I9),Calculations!$Q7/Calculations!$R7/(Inputs!$I9+1)*(1+MIN(MOD(MONTH(Output!C$8)-MONTH(Calculations!$D7),12),MOD(MONTH(Output!C$8)-MONTH(Calculations!$G7),12))*Calculations!$P7),0),Calculations!$Q7*Calculations!Y7)</f>
        <v>0</v>
      </c>
      <c r="D12" s="44" t="str">
        <f>IF(Calculations!$R7&lt;&gt;0,IF(AND(D$8&gt;=Calculations!$D7,MIN(MOD(MONTH(Output!D$8)-MONTH(Calculations!$D7),12),MOD(MONTH(Output!D$8)-MONTH(Calculations!$G7),12))&lt;=Inputs!$I9),Calculations!$Q7/Calculations!$R7/(Inputs!$I9+1)*(1+MIN(MOD(MONTH(Output!D$8)-MONTH(Calculations!$D7),12),MOD(MONTH(Output!D$8)-MONTH(Calculations!$G7),12))*Calculations!$P7),0),Calculations!$Q7*Calculations!Z7)</f>
        <v>0</v>
      </c>
      <c r="E12" s="44" t="str">
        <f>IF(Calculations!$R7&lt;&gt;0,IF(AND(E$8&gt;=Calculations!$D7,MIN(MOD(MONTH(Output!E$8)-MONTH(Calculations!$D7),12),MOD(MONTH(Output!E$8)-MONTH(Calculations!$G7),12))&lt;=Inputs!$I9),Calculations!$Q7/Calculations!$R7/(Inputs!$I9+1)*(1+MIN(MOD(MONTH(Output!E$8)-MONTH(Calculations!$D7),12),MOD(MONTH(Output!E$8)-MONTH(Calculations!$G7),12))*Calculations!$P7),0),Calculations!$Q7*Calculations!AA7)</f>
        <v>0</v>
      </c>
      <c r="F12" s="44" t="str">
        <f>IF(Calculations!$R7&lt;&gt;0,IF(AND(F$8&gt;=Calculations!$D7,MIN(MOD(MONTH(Output!F$8)-MONTH(Calculations!$D7),12),MOD(MONTH(Output!F$8)-MONTH(Calculations!$G7),12))&lt;=Inputs!$I9),Calculations!$Q7/Calculations!$R7/(Inputs!$I9+1)*(1+MIN(MOD(MONTH(Output!F$8)-MONTH(Calculations!$D7),12),MOD(MONTH(Output!F$8)-MONTH(Calculations!$G7),12))*Calculations!$P7),0),Calculations!$Q7*Calculations!AB7)</f>
        <v>0</v>
      </c>
      <c r="G12" s="44" t="str">
        <f>IF(Calculations!$R7&lt;&gt;0,IF(AND(G$8&gt;=Calculations!$D7,MIN(MOD(MONTH(Output!G$8)-MONTH(Calculations!$D7),12),MOD(MONTH(Output!G$8)-MONTH(Calculations!$G7),12))&lt;=Inputs!$I9),Calculations!$Q7/Calculations!$R7/(Inputs!$I9+1)*(1+MIN(MOD(MONTH(Output!G$8)-MONTH(Calculations!$D7),12),MOD(MONTH(Output!G$8)-MONTH(Calculations!$G7),12))*Calculations!$P7),0),Calculations!$Q7*Calculations!AC7)</f>
        <v>0</v>
      </c>
      <c r="H12" s="44" t="str">
        <f>IF(Calculations!$R7&lt;&gt;0,IF(AND(H$8&gt;=Calculations!$D7,MIN(MOD(MONTH(Output!H$8)-MONTH(Calculations!$D7),12),MOD(MONTH(Output!H$8)-MONTH(Calculations!$G7),12))&lt;=Inputs!$I9),Calculations!$Q7/Calculations!$R7/(Inputs!$I9+1)*(1+MIN(MOD(MONTH(Output!H$8)-MONTH(Calculations!$D7),12),MOD(MONTH(Output!H$8)-MONTH(Calculations!$G7),12))*Calculations!$P7),0),Calculations!$Q7*Calculations!AD7)</f>
        <v>0</v>
      </c>
      <c r="I12" s="44" t="str">
        <f>IF(Calculations!$R7&lt;&gt;0,IF(AND(I$8&gt;=Calculations!$D7,MIN(MOD(MONTH(Output!I$8)-MONTH(Calculations!$D7),12),MOD(MONTH(Output!I$8)-MONTH(Calculations!$G7),12))&lt;=Inputs!$I9),Calculations!$Q7/Calculations!$R7/(Inputs!$I9+1)*(1+MIN(MOD(MONTH(Output!I$8)-MONTH(Calculations!$D7),12),MOD(MONTH(Output!I$8)-MONTH(Calculations!$G7),12))*Calculations!$P7),0),Calculations!$Q7*Calculations!AE7)</f>
        <v>0</v>
      </c>
      <c r="J12" s="44" t="str">
        <f>IF(Calculations!$R7&lt;&gt;0,IF(AND(J$8&gt;=Calculations!$D7,MIN(MOD(MONTH(Output!J$8)-MONTH(Calculations!$D7),12),MOD(MONTH(Output!J$8)-MONTH(Calculations!$G7),12))&lt;=Inputs!$I9),Calculations!$Q7/Calculations!$R7/(Inputs!$I9+1)*(1+MIN(MOD(MONTH(Output!J$8)-MONTH(Calculations!$D7),12),MOD(MONTH(Output!J$8)-MONTH(Calculations!$G7),12))*Calculations!$P7),0),Calculations!$Q7*Calculations!AF7)</f>
        <v>0</v>
      </c>
      <c r="K12" s="44" t="str">
        <f>IF(Calculations!$R7&lt;&gt;0,IF(AND(K$8&gt;=Calculations!$D7,MIN(MOD(MONTH(Output!K$8)-MONTH(Calculations!$D7),12),MOD(MONTH(Output!K$8)-MONTH(Calculations!$G7),12))&lt;=Inputs!$I9),Calculations!$Q7/Calculations!$R7/(Inputs!$I9+1)*(1+MIN(MOD(MONTH(Output!K$8)-MONTH(Calculations!$D7),12),MOD(MONTH(Output!K$8)-MONTH(Calculations!$G7),12))*Calculations!$P7),0),Calculations!$Q7*Calculations!AG7)</f>
        <v>0</v>
      </c>
      <c r="L12" s="44" t="str">
        <f>IF(Calculations!$R7&lt;&gt;0,IF(AND(L$8&gt;=Calculations!$D7,MIN(MOD(MONTH(Output!L$8)-MONTH(Calculations!$D7),12),MOD(MONTH(Output!L$8)-MONTH(Calculations!$G7),12))&lt;=Inputs!$I9),Calculations!$Q7/Calculations!$R7/(Inputs!$I9+1)*(1+MIN(MOD(MONTH(Output!L$8)-MONTH(Calculations!$D7),12),MOD(MONTH(Output!L$8)-MONTH(Calculations!$G7),12))*Calculations!$P7),0),Calculations!$Q7*Calculations!AH7)</f>
        <v>0</v>
      </c>
      <c r="M12" s="44" t="str">
        <f>IF(Calculations!$R7&lt;&gt;0,IF(AND(M$8&gt;=Calculations!$D7,MIN(MOD(MONTH(Output!M$8)-MONTH(Calculations!$D7),12),MOD(MONTH(Output!M$8)-MONTH(Calculations!$G7),12))&lt;=Inputs!$I9),Calculations!$Q7/Calculations!$R7/(Inputs!$I9+1)*(1+MIN(MOD(MONTH(Output!M$8)-MONTH(Calculations!$D7),12),MOD(MONTH(Output!M$8)-MONTH(Calculations!$G7),12))*Calculations!$P7),0),Calculations!$Q7*Calculations!AI7)</f>
        <v>0</v>
      </c>
      <c r="N12" s="44" t="str">
        <f>SUM(B12:M12)</f>
        <v>0</v>
      </c>
    </row>
    <row r="13" spans="1:16">
      <c r="A13" s="58" t="str">
        <f>IF(Inputs!A10="","",IF(Inputs!A10=Parameters!$A$18,Inputs!$D$14,Inputs!A10))</f>
        <v>0</v>
      </c>
      <c r="B13" s="44" t="str">
        <f>IF(Calculations!$R8&lt;&gt;0,IF(AND(B$8&gt;=Calculations!$D8,MIN(MOD(MONTH(Output!B$8)-MONTH(Calculations!$D8),12),MOD(MONTH(Output!B$8)-MONTH(Calculations!$G8),12))&lt;=Inputs!$I10),Calculations!$Q8/Calculations!$R8/(Inputs!$I10+1)*(1+MIN(MOD(MONTH(Output!B$8)-MONTH(Calculations!$D8),12),MOD(MONTH(Output!B$8)-MONTH(Calculations!$G8),12))*Calculations!$P8),0),Calculations!$Q8*Calculations!X8)</f>
        <v>0</v>
      </c>
      <c r="C13" s="44" t="str">
        <f>IF(Calculations!$R8&lt;&gt;0,IF(AND(C$8&gt;=Calculations!$D8,MIN(MOD(MONTH(Output!C$8)-MONTH(Calculations!$D8),12),MOD(MONTH(Output!C$8)-MONTH(Calculations!$G8),12))&lt;=Inputs!$I10),Calculations!$Q8/Calculations!$R8/(Inputs!$I10+1)*(1+MIN(MOD(MONTH(Output!C$8)-MONTH(Calculations!$D8),12),MOD(MONTH(Output!C$8)-MONTH(Calculations!$G8),12))*Calculations!$P8),0),Calculations!$Q8*Calculations!Y8)</f>
        <v>0</v>
      </c>
      <c r="D13" s="44" t="str">
        <f>IF(Calculations!$R8&lt;&gt;0,IF(AND(D$8&gt;=Calculations!$D8,MIN(MOD(MONTH(Output!D$8)-MONTH(Calculations!$D8),12),MOD(MONTH(Output!D$8)-MONTH(Calculations!$G8),12))&lt;=Inputs!$I10),Calculations!$Q8/Calculations!$R8/(Inputs!$I10+1)*(1+MIN(MOD(MONTH(Output!D$8)-MONTH(Calculations!$D8),12),MOD(MONTH(Output!D$8)-MONTH(Calculations!$G8),12))*Calculations!$P8),0),Calculations!$Q8*Calculations!Z8)</f>
        <v>0</v>
      </c>
      <c r="E13" s="44" t="str">
        <f>IF(Calculations!$R8&lt;&gt;0,IF(AND(E$8&gt;=Calculations!$D8,MIN(MOD(MONTH(Output!E$8)-MONTH(Calculations!$D8),12),MOD(MONTH(Output!E$8)-MONTH(Calculations!$G8),12))&lt;=Inputs!$I10),Calculations!$Q8/Calculations!$R8/(Inputs!$I10+1)*(1+MIN(MOD(MONTH(Output!E$8)-MONTH(Calculations!$D8),12),MOD(MONTH(Output!E$8)-MONTH(Calculations!$G8),12))*Calculations!$P8),0),Calculations!$Q8*Calculations!AA8)</f>
        <v>0</v>
      </c>
      <c r="F13" s="44" t="str">
        <f>IF(Calculations!$R8&lt;&gt;0,IF(AND(F$8&gt;=Calculations!$D8,MIN(MOD(MONTH(Output!F$8)-MONTH(Calculations!$D8),12),MOD(MONTH(Output!F$8)-MONTH(Calculations!$G8),12))&lt;=Inputs!$I10),Calculations!$Q8/Calculations!$R8/(Inputs!$I10+1)*(1+MIN(MOD(MONTH(Output!F$8)-MONTH(Calculations!$D8),12),MOD(MONTH(Output!F$8)-MONTH(Calculations!$G8),12))*Calculations!$P8),0),Calculations!$Q8*Calculations!AB8)</f>
        <v>0</v>
      </c>
      <c r="G13" s="44" t="str">
        <f>IF(Calculations!$R8&lt;&gt;0,IF(AND(G$8&gt;=Calculations!$D8,MIN(MOD(MONTH(Output!G$8)-MONTH(Calculations!$D8),12),MOD(MONTH(Output!G$8)-MONTH(Calculations!$G8),12))&lt;=Inputs!$I10),Calculations!$Q8/Calculations!$R8/(Inputs!$I10+1)*(1+MIN(MOD(MONTH(Output!G$8)-MONTH(Calculations!$D8),12),MOD(MONTH(Output!G$8)-MONTH(Calculations!$G8),12))*Calculations!$P8),0),Calculations!$Q8*Calculations!AC8)</f>
        <v>0</v>
      </c>
      <c r="H13" s="44" t="str">
        <f>IF(Calculations!$R8&lt;&gt;0,IF(AND(H$8&gt;=Calculations!$D8,MIN(MOD(MONTH(Output!H$8)-MONTH(Calculations!$D8),12),MOD(MONTH(Output!H$8)-MONTH(Calculations!$G8),12))&lt;=Inputs!$I10),Calculations!$Q8/Calculations!$R8/(Inputs!$I10+1)*(1+MIN(MOD(MONTH(Output!H$8)-MONTH(Calculations!$D8),12),MOD(MONTH(Output!H$8)-MONTH(Calculations!$G8),12))*Calculations!$P8),0),Calculations!$Q8*Calculations!AD8)</f>
        <v>0</v>
      </c>
      <c r="I13" s="44" t="str">
        <f>IF(Calculations!$R8&lt;&gt;0,IF(AND(I$8&gt;=Calculations!$D8,MIN(MOD(MONTH(Output!I$8)-MONTH(Calculations!$D8),12),MOD(MONTH(Output!I$8)-MONTH(Calculations!$G8),12))&lt;=Inputs!$I10),Calculations!$Q8/Calculations!$R8/(Inputs!$I10+1)*(1+MIN(MOD(MONTH(Output!I$8)-MONTH(Calculations!$D8),12),MOD(MONTH(Output!I$8)-MONTH(Calculations!$G8),12))*Calculations!$P8),0),Calculations!$Q8*Calculations!AE8)</f>
        <v>0</v>
      </c>
      <c r="J13" s="44" t="str">
        <f>IF(Calculations!$R8&lt;&gt;0,IF(AND(J$8&gt;=Calculations!$D8,MIN(MOD(MONTH(Output!J$8)-MONTH(Calculations!$D8),12),MOD(MONTH(Output!J$8)-MONTH(Calculations!$G8),12))&lt;=Inputs!$I10),Calculations!$Q8/Calculations!$R8/(Inputs!$I10+1)*(1+MIN(MOD(MONTH(Output!J$8)-MONTH(Calculations!$D8),12),MOD(MONTH(Output!J$8)-MONTH(Calculations!$G8),12))*Calculations!$P8),0),Calculations!$Q8*Calculations!AF8)</f>
        <v>0</v>
      </c>
      <c r="K13" s="44" t="str">
        <f>IF(Calculations!$R8&lt;&gt;0,IF(AND(K$8&gt;=Calculations!$D8,MIN(MOD(MONTH(Output!K$8)-MONTH(Calculations!$D8),12),MOD(MONTH(Output!K$8)-MONTH(Calculations!$G8),12))&lt;=Inputs!$I10),Calculations!$Q8/Calculations!$R8/(Inputs!$I10+1)*(1+MIN(MOD(MONTH(Output!K$8)-MONTH(Calculations!$D8),12),MOD(MONTH(Output!K$8)-MONTH(Calculations!$G8),12))*Calculations!$P8),0),Calculations!$Q8*Calculations!AG8)</f>
        <v>0</v>
      </c>
      <c r="L13" s="44" t="str">
        <f>IF(Calculations!$R8&lt;&gt;0,IF(AND(L$8&gt;=Calculations!$D8,MIN(MOD(MONTH(Output!L$8)-MONTH(Calculations!$D8),12),MOD(MONTH(Output!L$8)-MONTH(Calculations!$G8),12))&lt;=Inputs!$I10),Calculations!$Q8/Calculations!$R8/(Inputs!$I10+1)*(1+MIN(MOD(MONTH(Output!L$8)-MONTH(Calculations!$D8),12),MOD(MONTH(Output!L$8)-MONTH(Calculations!$G8),12))*Calculations!$P8),0),Calculations!$Q8*Calculations!AH8)</f>
        <v>0</v>
      </c>
      <c r="M13" s="44" t="str">
        <f>IF(Calculations!$R8&lt;&gt;0,IF(AND(M$8&gt;=Calculations!$D8,MIN(MOD(MONTH(Output!M$8)-MONTH(Calculations!$D8),12),MOD(MONTH(Output!M$8)-MONTH(Calculations!$G8),12))&lt;=Inputs!$I10),Calculations!$Q8/Calculations!$R8/(Inputs!$I10+1)*(1+MIN(MOD(MONTH(Output!M$8)-MONTH(Calculations!$D8),12),MOD(MONTH(Output!M$8)-MONTH(Calculations!$G8),12))*Calculations!$P8),0),Calculations!$Q8*Calculations!AI8)</f>
        <v>0</v>
      </c>
      <c r="N13" s="75" t="str">
        <f>SUM(B13:M13)</f>
        <v>0</v>
      </c>
    </row>
    <row r="14" spans="1:16" customHeight="1" ht="4.5">
      <c r="A14" s="58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75"/>
    </row>
    <row r="15" spans="1:16">
      <c r="A15" s="58" t="str">
        <f>Calculations!C14</f>
        <v>0</v>
      </c>
      <c r="B15" s="44" t="str">
        <f>IFERROR(Calculations!$J14/12,"")</f>
        <v>0</v>
      </c>
      <c r="C15" s="44" t="str">
        <f>IFERROR(Calculations!$J14/12,"")</f>
        <v>0</v>
      </c>
      <c r="D15" s="44" t="str">
        <f>IFERROR(Calculations!$J14/12,"")</f>
        <v>0</v>
      </c>
      <c r="E15" s="44" t="str">
        <f>IFERROR(Calculations!$J14/12,"")</f>
        <v>0</v>
      </c>
      <c r="F15" s="44" t="str">
        <f>IFERROR(Calculations!$J14/12,"")</f>
        <v>0</v>
      </c>
      <c r="G15" s="44" t="str">
        <f>IFERROR(Calculations!$J14/12,"")</f>
        <v>0</v>
      </c>
      <c r="H15" s="44" t="str">
        <f>IFERROR(Calculations!$J14/12,"")</f>
        <v>0</v>
      </c>
      <c r="I15" s="44" t="str">
        <f>IFERROR(Calculations!$J14/12,"")</f>
        <v>0</v>
      </c>
      <c r="J15" s="44" t="str">
        <f>IFERROR(Calculations!$J14/12,"")</f>
        <v>0</v>
      </c>
      <c r="K15" s="44" t="str">
        <f>IFERROR(Calculations!$J14/12,"")</f>
        <v>0</v>
      </c>
      <c r="L15" s="44" t="str">
        <f>IFERROR(Calculations!$J14/12,"")</f>
        <v>0</v>
      </c>
      <c r="M15" s="44" t="str">
        <f>IFERROR(Calculations!$J14/12,"")</f>
        <v>0</v>
      </c>
      <c r="N15" s="75" t="str">
        <f>SUM(B15:M15)</f>
        <v>0</v>
      </c>
    </row>
    <row r="16" spans="1:16">
      <c r="A16" s="58" t="str">
        <f>Calculations!C15</f>
        <v>0</v>
      </c>
      <c r="B16" s="44" t="str">
        <f>IFERROR(Calculations!$J15/12,"")</f>
        <v>0</v>
      </c>
      <c r="C16" s="44" t="str">
        <f>IFERROR(Calculations!$J15/12,"")</f>
        <v>0</v>
      </c>
      <c r="D16" s="44" t="str">
        <f>IFERROR(Calculations!$J15/12,"")</f>
        <v>0</v>
      </c>
      <c r="E16" s="44" t="str">
        <f>IFERROR(Calculations!$J15/12,"")</f>
        <v>0</v>
      </c>
      <c r="F16" s="44" t="str">
        <f>IFERROR(Calculations!$J15/12,"")</f>
        <v>0</v>
      </c>
      <c r="G16" s="44" t="str">
        <f>IFERROR(Calculations!$J15/12,"")</f>
        <v>0</v>
      </c>
      <c r="H16" s="44" t="str">
        <f>IFERROR(Calculations!$J15/12,"")</f>
        <v>0</v>
      </c>
      <c r="I16" s="44" t="str">
        <f>IFERROR(Calculations!$J15/12,"")</f>
        <v>0</v>
      </c>
      <c r="J16" s="44" t="str">
        <f>IFERROR(Calculations!$J15/12,"")</f>
        <v>0</v>
      </c>
      <c r="K16" s="44" t="str">
        <f>IFERROR(Calculations!$J15/12,"")</f>
        <v>0</v>
      </c>
      <c r="L16" s="44" t="str">
        <f>IFERROR(Calculations!$J15/12,"")</f>
        <v>0</v>
      </c>
      <c r="M16" s="44" t="str">
        <f>IFERROR(Calculations!$J15/12,"")</f>
        <v>0</v>
      </c>
      <c r="N16" s="75" t="str">
        <f>SUM(B16:M16)</f>
        <v>0</v>
      </c>
    </row>
    <row r="17" spans="1:16">
      <c r="A17" s="58" t="str">
        <f>Calculations!C16</f>
        <v>0</v>
      </c>
      <c r="B17" s="44" t="str">
        <f>IFERROR(Calculations!$J16/12,"")</f>
        <v>0</v>
      </c>
      <c r="C17" s="44" t="str">
        <f>IFERROR(Calculations!$J16/12,"")</f>
        <v>0</v>
      </c>
      <c r="D17" s="44" t="str">
        <f>IFERROR(Calculations!$J16/12,"")</f>
        <v>0</v>
      </c>
      <c r="E17" s="44" t="str">
        <f>IFERROR(Calculations!$J16/12,"")</f>
        <v>0</v>
      </c>
      <c r="F17" s="44" t="str">
        <f>IFERROR(Calculations!$J16/12,"")</f>
        <v>0</v>
      </c>
      <c r="G17" s="44" t="str">
        <f>IFERROR(Calculations!$J16/12,"")</f>
        <v>0</v>
      </c>
      <c r="H17" s="44" t="str">
        <f>IFERROR(Calculations!$J16/12,"")</f>
        <v>0</v>
      </c>
      <c r="I17" s="44" t="str">
        <f>IFERROR(Calculations!$J16/12,"")</f>
        <v>0</v>
      </c>
      <c r="J17" s="44" t="str">
        <f>IFERROR(Calculations!$J16/12,"")</f>
        <v>0</v>
      </c>
      <c r="K17" s="44" t="str">
        <f>IFERROR(Calculations!$J16/12,"")</f>
        <v>0</v>
      </c>
      <c r="L17" s="44" t="str">
        <f>IFERROR(Calculations!$J16/12,"")</f>
        <v>0</v>
      </c>
      <c r="M17" s="44" t="str">
        <f>IFERROR(Calculations!$J16/12,"")</f>
        <v>0</v>
      </c>
      <c r="N17" s="75" t="str">
        <f>SUM(B17:M17)</f>
        <v>0</v>
      </c>
    </row>
    <row r="18" spans="1:16">
      <c r="A18" s="58" t="str">
        <f>Calculations!C17</f>
        <v>0</v>
      </c>
      <c r="B18" s="44" t="str">
        <f>IFERROR(Calculations!$J17/12,"")</f>
        <v>0</v>
      </c>
      <c r="C18" s="44" t="str">
        <f>IFERROR(Calculations!$J17/12,"")</f>
        <v>0</v>
      </c>
      <c r="D18" s="44" t="str">
        <f>IFERROR(Calculations!$J17/12,"")</f>
        <v>0</v>
      </c>
      <c r="E18" s="44" t="str">
        <f>IFERROR(Calculations!$J17/12,"")</f>
        <v>0</v>
      </c>
      <c r="F18" s="44" t="str">
        <f>IFERROR(Calculations!$J17/12,"")</f>
        <v>0</v>
      </c>
      <c r="G18" s="44" t="str">
        <f>IFERROR(Calculations!$J17/12,"")</f>
        <v>0</v>
      </c>
      <c r="H18" s="44" t="str">
        <f>IFERROR(Calculations!$J17/12,"")</f>
        <v>0</v>
      </c>
      <c r="I18" s="44" t="str">
        <f>IFERROR(Calculations!$J17/12,"")</f>
        <v>0</v>
      </c>
      <c r="J18" s="44" t="str">
        <f>IFERROR(Calculations!$J17/12,"")</f>
        <v>0</v>
      </c>
      <c r="K18" s="44" t="str">
        <f>IFERROR(Calculations!$J17/12,"")</f>
        <v>0</v>
      </c>
      <c r="L18" s="44" t="str">
        <f>IFERROR(Calculations!$J17/12,"")</f>
        <v>0</v>
      </c>
      <c r="M18" s="44" t="str">
        <f>IFERROR(Calculations!$J17/12,"")</f>
        <v>0</v>
      </c>
      <c r="N18" s="75" t="str">
        <f>SUM(B18:M18)</f>
        <v>0</v>
      </c>
    </row>
    <row r="19" spans="1:16">
      <c r="A19" s="58" t="str">
        <f>Calculations!C18</f>
        <v>0</v>
      </c>
      <c r="B19" s="44" t="str">
        <f>IFERROR(Calculations!$J18/12,"")</f>
        <v>0</v>
      </c>
      <c r="C19" s="44" t="str">
        <f>IFERROR(Calculations!$J18/12,"")</f>
        <v>0</v>
      </c>
      <c r="D19" s="44" t="str">
        <f>IFERROR(Calculations!$J18/12,"")</f>
        <v>0</v>
      </c>
      <c r="E19" s="44" t="str">
        <f>IFERROR(Calculations!$J18/12,"")</f>
        <v>0</v>
      </c>
      <c r="F19" s="44" t="str">
        <f>IFERROR(Calculations!$J18/12,"")</f>
        <v>0</v>
      </c>
      <c r="G19" s="44" t="str">
        <f>IFERROR(Calculations!$J18/12,"")</f>
        <v>0</v>
      </c>
      <c r="H19" s="44" t="str">
        <f>IFERROR(Calculations!$J18/12,"")</f>
        <v>0</v>
      </c>
      <c r="I19" s="44" t="str">
        <f>IFERROR(Calculations!$J18/12,"")</f>
        <v>0</v>
      </c>
      <c r="J19" s="44" t="str">
        <f>IFERROR(Calculations!$J18/12,"")</f>
        <v>0</v>
      </c>
      <c r="K19" s="44" t="str">
        <f>IFERROR(Calculations!$J18/12,"")</f>
        <v>0</v>
      </c>
      <c r="L19" s="44" t="str">
        <f>IFERROR(Calculations!$J18/12,"")</f>
        <v>0</v>
      </c>
      <c r="M19" s="44" t="str">
        <f>IFERROR(Calculations!$J18/12,"")</f>
        <v>0</v>
      </c>
      <c r="N19" s="75" t="str">
        <f>SUM(B19:M19)</f>
        <v>0</v>
      </c>
    </row>
    <row r="20" spans="1:16" s="58" customFormat="1">
      <c r="A20" s="58" t="str">
        <f>Calculations!C19</f>
        <v>0</v>
      </c>
      <c r="B20" s="75" t="str">
        <f>IFERROR(Calculations!$J19/12,"")</f>
        <v>0</v>
      </c>
      <c r="C20" s="75" t="str">
        <f>IFERROR(Calculations!$J19/12,"")</f>
        <v>0</v>
      </c>
      <c r="D20" s="75" t="str">
        <f>IFERROR(Calculations!$J19/12,"")</f>
        <v>0</v>
      </c>
      <c r="E20" s="75" t="str">
        <f>IFERROR(Calculations!$J19/12,"")</f>
        <v>0</v>
      </c>
      <c r="F20" s="75" t="str">
        <f>IFERROR(Calculations!$J19/12,"")</f>
        <v>0</v>
      </c>
      <c r="G20" s="75" t="str">
        <f>IFERROR(Calculations!$J19/12,"")</f>
        <v>0</v>
      </c>
      <c r="H20" s="75" t="str">
        <f>IFERROR(Calculations!$J19/12,"")</f>
        <v>0</v>
      </c>
      <c r="I20" s="75" t="str">
        <f>IFERROR(Calculations!$J19/12,"")</f>
        <v>0</v>
      </c>
      <c r="J20" s="75" t="str">
        <f>IFERROR(Calculations!$J19/12,"")</f>
        <v>0</v>
      </c>
      <c r="K20" s="75" t="str">
        <f>IFERROR(Calculations!$J19/12,"")</f>
        <v>0</v>
      </c>
      <c r="L20" s="75" t="str">
        <f>IFERROR(Calculations!$J19/12,"")</f>
        <v>0</v>
      </c>
      <c r="M20" s="75" t="str">
        <f>IFERROR(Calculations!$J19/12,"")</f>
        <v>0</v>
      </c>
      <c r="N20" s="75" t="str">
        <f>SUM(B20:M20)</f>
        <v>0</v>
      </c>
    </row>
    <row r="21" spans="1:16" customHeight="1" ht="15.75">
      <c r="A21" s="26" t="s">
        <v>19</v>
      </c>
      <c r="B21" s="45" t="str">
        <f>Inputs!$B$39</f>
        <v>0</v>
      </c>
      <c r="C21" s="45" t="str">
        <f>Inputs!$B$39</f>
        <v>0</v>
      </c>
      <c r="D21" s="45" t="str">
        <f>Inputs!$B$39</f>
        <v>0</v>
      </c>
      <c r="E21" s="45" t="str">
        <f>Inputs!$B$39</f>
        <v>0</v>
      </c>
      <c r="F21" s="45" t="str">
        <f>Inputs!$B$39</f>
        <v>0</v>
      </c>
      <c r="G21" s="45" t="str">
        <f>Inputs!$B$39</f>
        <v>0</v>
      </c>
      <c r="H21" s="45" t="str">
        <f>Inputs!$B$39</f>
        <v>0</v>
      </c>
      <c r="I21" s="45" t="str">
        <f>Inputs!$B$39</f>
        <v>0</v>
      </c>
      <c r="J21" s="45" t="str">
        <f>Inputs!$B$39</f>
        <v>0</v>
      </c>
      <c r="K21" s="45" t="str">
        <f>Inputs!$B$39</f>
        <v>0</v>
      </c>
      <c r="L21" s="45" t="str">
        <f>Inputs!$B$39</f>
        <v>0</v>
      </c>
      <c r="M21" s="45" t="str">
        <f>Inputs!$B$39</f>
        <v>0</v>
      </c>
      <c r="N21" s="45" t="str">
        <f>SUM(B21:M21)</f>
        <v>0</v>
      </c>
    </row>
    <row r="22" spans="1:16" customHeight="1" ht="15.75">
      <c r="A22" s="1" t="s">
        <v>20</v>
      </c>
      <c r="B22" s="27" t="str">
        <f>SUM(B9:B21)</f>
        <v>0</v>
      </c>
      <c r="C22" s="27" t="str">
        <f>SUM(C9:C21)</f>
        <v>0</v>
      </c>
      <c r="D22" s="27" t="str">
        <f>SUM(D9:D21)</f>
        <v>0</v>
      </c>
      <c r="E22" s="27" t="str">
        <f>SUM(E9:E21)</f>
        <v>0</v>
      </c>
      <c r="F22" s="27" t="str">
        <f>SUM(F9:F21)</f>
        <v>0</v>
      </c>
      <c r="G22" s="27" t="str">
        <f>SUM(G9:G21)</f>
        <v>0</v>
      </c>
      <c r="H22" s="27" t="str">
        <f>SUM(H9:H21)</f>
        <v>0</v>
      </c>
      <c r="I22" s="27" t="str">
        <f>SUM(I9:I21)</f>
        <v>0</v>
      </c>
      <c r="J22" s="27" t="str">
        <f>SUM(J9:J21)</f>
        <v>0</v>
      </c>
      <c r="K22" s="27" t="str">
        <f>SUM(K9:K21)</f>
        <v>0</v>
      </c>
      <c r="L22" s="27" t="str">
        <f>SUM(L9:L21)</f>
        <v>0</v>
      </c>
      <c r="M22" s="27" t="str">
        <f>SUM(M9:M21)</f>
        <v>0</v>
      </c>
      <c r="N22" s="27" t="str">
        <f>SUM(N9:N21)</f>
        <v>0</v>
      </c>
      <c r="O22" s="1"/>
      <c r="P22" s="1"/>
    </row>
    <row r="25" spans="1:16">
      <c r="A25" s="4" t="s">
        <v>21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5"/>
    </row>
    <row r="26" spans="1:16">
      <c r="B26" s="57"/>
    </row>
    <row r="27" spans="1:16">
      <c r="A27" s="6" t="s">
        <v>18</v>
      </c>
      <c r="B27" s="25" t="str">
        <f>B8</f>
        <v>0</v>
      </c>
      <c r="C27" s="25" t="str">
        <f>C8</f>
        <v>0</v>
      </c>
      <c r="D27" s="25" t="str">
        <f>D8</f>
        <v>0</v>
      </c>
      <c r="E27" s="25" t="str">
        <f>E8</f>
        <v>0</v>
      </c>
      <c r="F27" s="25" t="str">
        <f>F8</f>
        <v>0</v>
      </c>
      <c r="G27" s="25" t="str">
        <f>G8</f>
        <v>0</v>
      </c>
      <c r="H27" s="25" t="str">
        <f>H8</f>
        <v>0</v>
      </c>
      <c r="I27" s="25" t="str">
        <f>I8</f>
        <v>0</v>
      </c>
      <c r="J27" s="25" t="str">
        <f>J8</f>
        <v>0</v>
      </c>
      <c r="K27" s="25" t="str">
        <f>K8</f>
        <v>0</v>
      </c>
      <c r="L27" s="25" t="str">
        <f>L8</f>
        <v>0</v>
      </c>
      <c r="M27" s="25" t="str">
        <f>M8</f>
        <v>0</v>
      </c>
      <c r="N27" s="76" t="str">
        <f>N8</f>
        <v>0</v>
      </c>
    </row>
    <row r="28" spans="1:16">
      <c r="A28" t="s">
        <v>22</v>
      </c>
      <c r="B28" s="44" t="str">
        <f>SUM(IF(Calculations!$R4:$R8=0,Calculations!$U4:$U8/12,IF(Calculations!$B$4:$B$8=Output!B$27,Calculations!$U$4:$U$8/2,0)/Calculations!$R$4:$R$8+IF(Calculations!$C$4:$C$8=Output!B$27,Calculations!$U$4:$U$8/2,0)/Calculations!$R$4:$R$8+IF(Calculations!$E$4:$E$8=Output!B$27,Calculations!$U$4:$U$8/2,0)/Calculations!$R$4:$R$8+IF(Calculations!$F$4:$F$8=Output!B$27,Calculations!$U$4:$U$8/2,0)/Calculations!$R$4:$R$8))</f>
        <v>0</v>
      </c>
      <c r="C28" s="44" t="str">
        <f>SUM(IF(Calculations!$R4:$R8=0,Calculations!$U4:$U8/12,IF(Calculations!$B$4:$B$8=Output!C$27,Calculations!$U$4:$U$8/2,0)/Calculations!$R$4:$R$8+IF(Calculations!$C$4:$C$8=Output!C$27,Calculations!$U$4:$U$8/2,0)/Calculations!$R$4:$R$8+IF(Calculations!$E$4:$E$8=Output!C$27,Calculations!$U$4:$U$8/2,0)/Calculations!$R$4:$R$8+IF(Calculations!$F$4:$F$8=Output!C$27,Calculations!$U$4:$U$8/2,0)/Calculations!$R$4:$R$8))</f>
        <v>0</v>
      </c>
      <c r="D28" s="44" t="str">
        <f>SUM(IF(Calculations!$R4:$R8=0,Calculations!$U4:$U8/12,IF(Calculations!$B$4:$B$8=Output!D$27,Calculations!$U$4:$U$8/2,0)/Calculations!$R$4:$R$8+IF(Calculations!$C$4:$C$8=Output!D$27,Calculations!$U$4:$U$8/2,0)/Calculations!$R$4:$R$8+IF(Calculations!$E$4:$E$8=Output!D$27,Calculations!$U$4:$U$8/2,0)/Calculations!$R$4:$R$8+IF(Calculations!$F$4:$F$8=Output!D$27,Calculations!$U$4:$U$8/2,0)/Calculations!$R$4:$R$8))</f>
        <v>0</v>
      </c>
      <c r="E28" s="44" t="str">
        <f>SUM(IF(Calculations!$R4:$R8=0,Calculations!$U4:$U8/12,IF(Calculations!$B$4:$B$8=Output!E$27,Calculations!$U$4:$U$8/2,0)/Calculations!$R$4:$R$8+IF(Calculations!$C$4:$C$8=Output!E$27,Calculations!$U$4:$U$8/2,0)/Calculations!$R$4:$R$8+IF(Calculations!$E$4:$E$8=Output!E$27,Calculations!$U$4:$U$8/2,0)/Calculations!$R$4:$R$8+IF(Calculations!$F$4:$F$8=Output!E$27,Calculations!$U$4:$U$8/2,0)/Calculations!$R$4:$R$8))</f>
        <v>0</v>
      </c>
      <c r="F28" s="44" t="str">
        <f>SUM(IF(Calculations!$R4:$R8=0,Calculations!$U4:$U8/12,IF(Calculations!$B$4:$B$8=Output!F$27,Calculations!$U$4:$U$8/2,0)/Calculations!$R$4:$R$8+IF(Calculations!$C$4:$C$8=Output!F$27,Calculations!$U$4:$U$8/2,0)/Calculations!$R$4:$R$8+IF(Calculations!$E$4:$E$8=Output!F$27,Calculations!$U$4:$U$8/2,0)/Calculations!$R$4:$R$8+IF(Calculations!$F$4:$F$8=Output!F$27,Calculations!$U$4:$U$8/2,0)/Calculations!$R$4:$R$8))</f>
        <v>0</v>
      </c>
      <c r="G28" s="44" t="str">
        <f>SUM(IF(Calculations!$R4:$R8=0,Calculations!$U4:$U8/12,IF(Calculations!$B$4:$B$8=Output!G$27,Calculations!$U$4:$U$8/2,0)/Calculations!$R$4:$R$8+IF(Calculations!$C$4:$C$8=Output!G$27,Calculations!$U$4:$U$8/2,0)/Calculations!$R$4:$R$8+IF(Calculations!$E$4:$E$8=Output!G$27,Calculations!$U$4:$U$8/2,0)/Calculations!$R$4:$R$8+IF(Calculations!$F$4:$F$8=Output!G$27,Calculations!$U$4:$U$8/2,0)/Calculations!$R$4:$R$8))</f>
        <v>0</v>
      </c>
      <c r="H28" s="44" t="str">
        <f>SUM(IF(Calculations!$R4:$R8=0,Calculations!$U4:$U8/12,IF(Calculations!$B$4:$B$8=Output!H$27,Calculations!$U$4:$U$8/2,0)/Calculations!$R$4:$R$8+IF(Calculations!$C$4:$C$8=Output!H$27,Calculations!$U$4:$U$8/2,0)/Calculations!$R$4:$R$8+IF(Calculations!$E$4:$E$8=Output!H$27,Calculations!$U$4:$U$8/2,0)/Calculations!$R$4:$R$8+IF(Calculations!$F$4:$F$8=Output!H$27,Calculations!$U$4:$U$8/2,0)/Calculations!$R$4:$R$8))</f>
        <v>0</v>
      </c>
      <c r="I28" s="44" t="str">
        <f>SUM(IF(Calculations!$R4:$R8=0,Calculations!$U4:$U8/12,IF(Calculations!$B$4:$B$8=Output!I$27,Calculations!$U$4:$U$8/2,0)/Calculations!$R$4:$R$8+IF(Calculations!$C$4:$C$8=Output!I$27,Calculations!$U$4:$U$8/2,0)/Calculations!$R$4:$R$8+IF(Calculations!$E$4:$E$8=Output!I$27,Calculations!$U$4:$U$8/2,0)/Calculations!$R$4:$R$8+IF(Calculations!$F$4:$F$8=Output!I$27,Calculations!$U$4:$U$8/2,0)/Calculations!$R$4:$R$8))</f>
        <v>0</v>
      </c>
      <c r="J28" s="44" t="str">
        <f>SUM(IF(Calculations!$R4:$R8=0,Calculations!$U4:$U8/12,IF(Calculations!$B$4:$B$8=Output!J$27,Calculations!$U$4:$U$8/2,0)/Calculations!$R$4:$R$8+IF(Calculations!$C$4:$C$8=Output!J$27,Calculations!$U$4:$U$8/2,0)/Calculations!$R$4:$R$8+IF(Calculations!$E$4:$E$8=Output!J$27,Calculations!$U$4:$U$8/2,0)/Calculations!$R$4:$R$8+IF(Calculations!$F$4:$F$8=Output!J$27,Calculations!$U$4:$U$8/2,0)/Calculations!$R$4:$R$8))</f>
        <v>0</v>
      </c>
      <c r="K28" s="44" t="str">
        <f>SUM(IF(Calculations!$R4:$R8=0,Calculations!$U4:$U8/12,IF(Calculations!$B$4:$B$8=Output!K$27,Calculations!$U$4:$U$8/2,0)/Calculations!$R$4:$R$8+IF(Calculations!$C$4:$C$8=Output!K$27,Calculations!$U$4:$U$8/2,0)/Calculations!$R$4:$R$8+IF(Calculations!$E$4:$E$8=Output!K$27,Calculations!$U$4:$U$8/2,0)/Calculations!$R$4:$R$8+IF(Calculations!$F$4:$F$8=Output!K$27,Calculations!$U$4:$U$8/2,0)/Calculations!$R$4:$R$8))</f>
        <v>0</v>
      </c>
      <c r="L28" s="44" t="str">
        <f>SUM(IF(Calculations!$R4:$R8=0,Calculations!$U4:$U8/12,IF(Calculations!$B$4:$B$8=Output!L$27,Calculations!$U$4:$U$8/2,0)/Calculations!$R$4:$R$8+IF(Calculations!$C$4:$C$8=Output!L$27,Calculations!$U$4:$U$8/2,0)/Calculations!$R$4:$R$8+IF(Calculations!$E$4:$E$8=Output!L$27,Calculations!$U$4:$U$8/2,0)/Calculations!$R$4:$R$8+IF(Calculations!$F$4:$F$8=Output!L$27,Calculations!$U$4:$U$8/2,0)/Calculations!$R$4:$R$8))</f>
        <v>0</v>
      </c>
      <c r="M28" s="44" t="str">
        <f>SUM(IF(Calculations!$R4:$R8=0,Calculations!$U4:$U8/12,IF(Calculations!$B$4:$B$8=Output!M$27,Calculations!$U$4:$U$8/2,0)/Calculations!$R$4:$R$8+IF(Calculations!$C$4:$C$8=Output!M$27,Calculations!$U$4:$U$8/2,0)/Calculations!$R$4:$R$8+IF(Calculations!$E$4:$E$8=Output!M$27,Calculations!$U$4:$U$8/2,0)/Calculations!$R$4:$R$8+IF(Calculations!$F$4:$F$8=Output!M$27,Calculations!$U$4:$U$8/2,0)/Calculations!$R$4:$R$8))</f>
        <v>0</v>
      </c>
      <c r="N28" s="44" t="str">
        <f>SUM(B28:M28)</f>
        <v>0</v>
      </c>
    </row>
    <row r="29" spans="1:16">
      <c r="A29" t="s">
        <v>23</v>
      </c>
      <c r="B29" s="44" t="str">
        <f>SUM(IF(Calculations!$B$4:$B$8=Output!B$27,Calculations!$T$4:$T$8,0)+IF(Calculations!$E$4:$E$8=Output!B$27,Calculations!$T$4:$T$8,0))</f>
        <v>0</v>
      </c>
      <c r="C29" s="44" t="str">
        <f>SUM(IF(Calculations!$B$4:$B$8=Output!C$27,Calculations!$T$4:$T$8,0)+IF(Calculations!$E$4:$E$8=Output!C$27,Calculations!$T$4:$T$8,0))</f>
        <v>0</v>
      </c>
      <c r="D29" s="44" t="str">
        <f>SUM(IF(Calculations!$B$4:$B$8=Output!D$27,Calculations!$T$4:$T$8,0)+IF(Calculations!$E$4:$E$8=Output!D$27,Calculations!$T$4:$T$8,0))</f>
        <v>0</v>
      </c>
      <c r="E29" s="44" t="str">
        <f>SUM(IF(Calculations!$B$4:$B$8=Output!E$27,Calculations!$T$4:$T$8,0)+IF(Calculations!$E$4:$E$8=Output!E$27,Calculations!$T$4:$T$8,0))</f>
        <v>0</v>
      </c>
      <c r="F29" s="44" t="str">
        <f>SUM(IF(Calculations!$B$4:$B$8=Output!F$27,Calculations!$T$4:$T$8,0)+IF(Calculations!$E$4:$E$8=Output!F$27,Calculations!$T$4:$T$8,0))</f>
        <v>0</v>
      </c>
      <c r="G29" s="44" t="str">
        <f>SUM(IF(Calculations!$B$4:$B$8=Output!G$27,Calculations!$T$4:$T$8,0)+IF(Calculations!$E$4:$E$8=Output!G$27,Calculations!$T$4:$T$8,0))</f>
        <v>0</v>
      </c>
      <c r="H29" s="44" t="str">
        <f>SUM(IF(Calculations!$B$4:$B$8=Output!H$27,Calculations!$T$4:$T$8,0)+IF(Calculations!$E$4:$E$8=Output!H$27,Calculations!$T$4:$T$8,0))</f>
        <v>0</v>
      </c>
      <c r="I29" s="44" t="str">
        <f>SUM(IF(Calculations!$B$4:$B$8=Output!I$27,Calculations!$T$4:$T$8,0)+IF(Calculations!$E$4:$E$8=Output!I$27,Calculations!$T$4:$T$8,0))</f>
        <v>0</v>
      </c>
      <c r="J29" s="44" t="str">
        <f>SUM(IF(Calculations!$B$4:$B$8=Output!J$27,Calculations!$T$4:$T$8,0)+IF(Calculations!$E$4:$E$8=Output!J$27,Calculations!$T$4:$T$8,0))</f>
        <v>0</v>
      </c>
      <c r="K29" s="44" t="str">
        <f>SUM(IF(Calculations!$B$4:$B$8=Output!K$27,Calculations!$T$4:$T$8,0)+IF(Calculations!$E$4:$E$8=Output!K$27,Calculations!$T$4:$T$8,0))</f>
        <v>0</v>
      </c>
      <c r="L29" s="44" t="str">
        <f>SUM(IF(Calculations!$B$4:$B$8=Output!L$27,Calculations!$T$4:$T$8,0)+IF(Calculations!$E$4:$E$8=Output!L$27,Calculations!$T$4:$T$8,0))</f>
        <v>0</v>
      </c>
      <c r="M29" s="44" t="str">
        <f>SUM(IF(Calculations!$B$4:$B$8=Output!M$27,Calculations!$T$4:$T$8,0)+IF(Calculations!$E$4:$E$8=Output!M$27,Calculations!$T$4:$T$8,0))</f>
        <v>0</v>
      </c>
      <c r="N29" s="44" t="str">
        <f>SUM(B29:M29)</f>
        <v>0</v>
      </c>
    </row>
    <row r="30" spans="1:16">
      <c r="A30" s="58" t="s">
        <v>24</v>
      </c>
      <c r="B30" s="75" t="str">
        <f>SUM(IF(Calculations!$C$4:$C$8=Output!B$27,Calculations!$V$4:$V$8,0)+IF(Calculations!$F$4:$F$8=Output!B$27,Calculations!$V$4:$V$8,0))</f>
        <v>0</v>
      </c>
      <c r="C30" s="75" t="str">
        <f>SUM(IF(Calculations!$C$4:$C$8=Output!C$27,Calculations!$V$4:$V$8,0)+IF(Calculations!$F$4:$F$8=Output!C$27,Calculations!$V$4:$V$8,0))</f>
        <v>0</v>
      </c>
      <c r="D30" s="75" t="str">
        <f>SUM(IF(Calculations!$C$4:$C$8=Output!D$27,Calculations!$V$4:$V$8,0)+IF(Calculations!$F$4:$F$8=Output!D$27,Calculations!$V$4:$V$8,0))</f>
        <v>0</v>
      </c>
      <c r="E30" s="75" t="str">
        <f>SUM(IF(Calculations!$C$4:$C$8=Output!E$27,Calculations!$V$4:$V$8,0)+IF(Calculations!$F$4:$F$8=Output!E$27,Calculations!$V$4:$V$8,0))</f>
        <v>0</v>
      </c>
      <c r="F30" s="75" t="str">
        <f>SUM(IF(Calculations!$C$4:$C$8=Output!F$27,Calculations!$V$4:$V$8,0)+IF(Calculations!$F$4:$F$8=Output!F$27,Calculations!$V$4:$V$8,0))</f>
        <v>0</v>
      </c>
      <c r="G30" s="75" t="str">
        <f>SUM(IF(Calculations!$C$4:$C$8=Output!G$27,Calculations!$V$4:$V$8,0)+IF(Calculations!$F$4:$F$8=Output!G$27,Calculations!$V$4:$V$8,0))</f>
        <v>0</v>
      </c>
      <c r="H30" s="75" t="str">
        <f>SUM(IF(Calculations!$C$4:$C$8=Output!H$27,Calculations!$V$4:$V$8,0)+IF(Calculations!$F$4:$F$8=Output!H$27,Calculations!$V$4:$V$8,0))</f>
        <v>0</v>
      </c>
      <c r="I30" s="75" t="str">
        <f>SUM(IF(Calculations!$C$4:$C$8=Output!I$27,Calculations!$V$4:$V$8,0)+IF(Calculations!$F$4:$F$8=Output!I$27,Calculations!$V$4:$V$8,0))</f>
        <v>0</v>
      </c>
      <c r="J30" s="75" t="str">
        <f>SUM(IF(Calculations!$C$4:$C$8=Output!J$27,Calculations!$V$4:$V$8,0)+IF(Calculations!$F$4:$F$8=Output!J$27,Calculations!$V$4:$V$8,0))</f>
        <v>0</v>
      </c>
      <c r="K30" s="75" t="str">
        <f>SUM(IF(Calculations!$C$4:$C$8=Output!K$27,Calculations!$V$4:$V$8,0)+IF(Calculations!$F$4:$F$8=Output!K$27,Calculations!$V$4:$V$8,0))</f>
        <v>0</v>
      </c>
      <c r="L30" s="75" t="str">
        <f>SUM(IF(Calculations!$C$4:$C$8=Output!L$27,Calculations!$V$4:$V$8,0)+IF(Calculations!$F$4:$F$8=Output!L$27,Calculations!$V$4:$V$8,0))</f>
        <v>0</v>
      </c>
      <c r="M30" s="75" t="str">
        <f>SUM(IF(Calculations!$C$4:$C$8=Output!M$27,Calculations!$V$4:$V$8,0)+IF(Calculations!$F$4:$F$8=Output!M$27,Calculations!$V$4:$V$8,0))</f>
        <v>0</v>
      </c>
      <c r="N30" s="75" t="str">
        <f>SUM(B30:M30)</f>
        <v>0</v>
      </c>
    </row>
    <row r="31" spans="1:16">
      <c r="A31" s="58" t="s">
        <v>25</v>
      </c>
      <c r="B31" s="75" t="str">
        <f>SUM(IF(Output!B27&gt;=Calculations!$B$4:$B$8,Calculations!$W$4:$W$8/12,0))</f>
        <v>0</v>
      </c>
      <c r="C31" s="75" t="str">
        <f>SUM(IF(Output!C27&gt;=Calculations!$B$4:$B$8,Calculations!$W$4:$W$8/12,0))</f>
        <v>0</v>
      </c>
      <c r="D31" s="75" t="str">
        <f>SUM(IF(Output!D27&gt;=Calculations!$B$4:$B$8,Calculations!$W$4:$W$8/12,0))</f>
        <v>0</v>
      </c>
      <c r="E31" s="75" t="str">
        <f>SUM(IF(Output!E27&gt;=Calculations!$B$4:$B$8,Calculations!$W$4:$W$8/12,0))</f>
        <v>0</v>
      </c>
      <c r="F31" s="75" t="str">
        <f>SUM(IF(Output!F27&gt;=Calculations!$B$4:$B$8,Calculations!$W$4:$W$8/12,0))</f>
        <v>0</v>
      </c>
      <c r="G31" s="75" t="str">
        <f>SUM(IF(Output!G27&gt;=Calculations!$B$4:$B$8,Calculations!$W$4:$W$8/12,0))</f>
        <v>0</v>
      </c>
      <c r="H31" s="75" t="str">
        <f>SUM(IF(Output!H27&gt;=Calculations!$B$4:$B$8,Calculations!$W$4:$W$8/12,0))</f>
        <v>0</v>
      </c>
      <c r="I31" s="75" t="str">
        <f>SUM(IF(Output!I27&gt;=Calculations!$B$4:$B$8,Calculations!$W$4:$W$8/12,0))</f>
        <v>0</v>
      </c>
      <c r="J31" s="75" t="str">
        <f>SUM(IF(Output!J27&gt;=Calculations!$B$4:$B$8,Calculations!$W$4:$W$8/12,0))</f>
        <v>0</v>
      </c>
      <c r="K31" s="75" t="str">
        <f>SUM(IF(Output!K27&gt;=Calculations!$B$4:$B$8,Calculations!$W$4:$W$8/12,0))</f>
        <v>0</v>
      </c>
      <c r="L31" s="75" t="str">
        <f>SUM(IF(Output!L27&gt;=Calculations!$B$4:$B$8,Calculations!$W$4:$W$8/12,0))</f>
        <v>0</v>
      </c>
      <c r="M31" s="75" t="str">
        <f>SUM(IF(Output!M27&gt;=Calculations!$B$4:$B$8,Calculations!$W$4:$W$8/12,0))</f>
        <v>0</v>
      </c>
      <c r="N31" s="75" t="str">
        <f>SUM(B31:M31)</f>
        <v>0</v>
      </c>
    </row>
    <row r="32" spans="1:16" customHeight="1" ht="5.25">
      <c r="A32" s="58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</row>
    <row r="33" spans="1:16">
      <c r="A33" s="22" t="s">
        <v>26</v>
      </c>
      <c r="B33" s="75" t="str">
        <f>SUM(Calculations!$K$14:$K$16)/12</f>
        <v>0</v>
      </c>
      <c r="C33" s="75" t="str">
        <f>SUM(Calculations!$K$14:$K$16)/12</f>
        <v>0</v>
      </c>
      <c r="D33" s="75" t="str">
        <f>SUM(Calculations!$K$14:$K$16)/12</f>
        <v>0</v>
      </c>
      <c r="E33" s="75" t="str">
        <f>SUM(Calculations!$K$14:$K$16)/12</f>
        <v>0</v>
      </c>
      <c r="F33" s="75" t="str">
        <f>SUM(Calculations!$K$14:$K$16)/12</f>
        <v>0</v>
      </c>
      <c r="G33" s="75" t="str">
        <f>SUM(Calculations!$K$14:$K$16)/12</f>
        <v>0</v>
      </c>
      <c r="H33" s="75" t="str">
        <f>SUM(Calculations!$K$14:$K$16)/12</f>
        <v>0</v>
      </c>
      <c r="I33" s="75" t="str">
        <f>SUM(Calculations!$K$14:$K$16)/12</f>
        <v>0</v>
      </c>
      <c r="J33" s="75" t="str">
        <f>SUM(Calculations!$K$14:$K$16)/12</f>
        <v>0</v>
      </c>
      <c r="K33" s="75" t="str">
        <f>SUM(Calculations!$K$14:$K$16)/12</f>
        <v>0</v>
      </c>
      <c r="L33" s="75" t="str">
        <f>SUM(Calculations!$K$14:$K$16)/12</f>
        <v>0</v>
      </c>
      <c r="M33" s="75" t="str">
        <f>SUM(Calculations!$K$14:$K$16)/12</f>
        <v>0</v>
      </c>
      <c r="N33" s="75" t="str">
        <f>SUM(B33:M33)</f>
        <v>0</v>
      </c>
    </row>
    <row r="34" spans="1:16">
      <c r="A34" s="22" t="s">
        <v>27</v>
      </c>
      <c r="B34" s="75" t="str">
        <f>SUM(Calculations!$L$14:$L$16)/12</f>
        <v>0</v>
      </c>
      <c r="C34" s="75" t="str">
        <f>SUM(Calculations!$L$14:$L$16)/12</f>
        <v>0</v>
      </c>
      <c r="D34" s="75" t="str">
        <f>SUM(Calculations!$L$14:$L$16)/12</f>
        <v>0</v>
      </c>
      <c r="E34" s="75" t="str">
        <f>SUM(Calculations!$L$14:$L$16)/12</f>
        <v>0</v>
      </c>
      <c r="F34" s="75" t="str">
        <f>SUM(Calculations!$L$14:$L$16)/12</f>
        <v>0</v>
      </c>
      <c r="G34" s="75" t="str">
        <f>SUM(Calculations!$L$14:$L$16)/12</f>
        <v>0</v>
      </c>
      <c r="H34" s="75" t="str">
        <f>SUM(Calculations!$L$14:$L$16)/12</f>
        <v>0</v>
      </c>
      <c r="I34" s="75" t="str">
        <f>SUM(Calculations!$L$14:$L$16)/12</f>
        <v>0</v>
      </c>
      <c r="J34" s="75" t="str">
        <f>SUM(Calculations!$L$14:$L$16)/12</f>
        <v>0</v>
      </c>
      <c r="K34" s="75" t="str">
        <f>SUM(Calculations!$L$14:$L$16)/12</f>
        <v>0</v>
      </c>
      <c r="L34" s="75" t="str">
        <f>SUM(Calculations!$L$14:$L$16)/12</f>
        <v>0</v>
      </c>
      <c r="M34" s="75" t="str">
        <f>SUM(Calculations!$L$14:$L$16)/12</f>
        <v>0</v>
      </c>
      <c r="N34" s="75" t="str">
        <f>SUM(B34:M34)</f>
        <v>0</v>
      </c>
    </row>
    <row r="35" spans="1:16">
      <c r="A35" s="22" t="s">
        <v>28</v>
      </c>
      <c r="B35" s="75" t="str">
        <f>SUM(Calculations!$M$14:$M$16)/12</f>
        <v>0</v>
      </c>
      <c r="C35" s="75" t="str">
        <f>SUM(Calculations!$M$14:$M$16)/12</f>
        <v>0</v>
      </c>
      <c r="D35" s="75" t="str">
        <f>SUM(Calculations!$M$14:$M$16)/12</f>
        <v>0</v>
      </c>
      <c r="E35" s="75" t="str">
        <f>SUM(Calculations!$M$14:$M$16)/12</f>
        <v>0</v>
      </c>
      <c r="F35" s="75" t="str">
        <f>SUM(Calculations!$M$14:$M$16)/12</f>
        <v>0</v>
      </c>
      <c r="G35" s="75" t="str">
        <f>SUM(Calculations!$M$14:$M$16)/12</f>
        <v>0</v>
      </c>
      <c r="H35" s="75" t="str">
        <f>SUM(Calculations!$M$14:$M$16)/12</f>
        <v>0</v>
      </c>
      <c r="I35" s="75" t="str">
        <f>SUM(Calculations!$M$14:$M$16)/12</f>
        <v>0</v>
      </c>
      <c r="J35" s="75" t="str">
        <f>SUM(Calculations!$M$14:$M$16)/12</f>
        <v>0</v>
      </c>
      <c r="K35" s="75" t="str">
        <f>SUM(Calculations!$M$14:$M$16)/12</f>
        <v>0</v>
      </c>
      <c r="L35" s="75" t="str">
        <f>SUM(Calculations!$M$14:$M$16)/12</f>
        <v>0</v>
      </c>
      <c r="M35" s="75" t="str">
        <f>SUM(Calculations!$M$14:$M$16)/12</f>
        <v>0</v>
      </c>
      <c r="N35" s="75" t="str">
        <f>SUM(B35:M35)</f>
        <v>0</v>
      </c>
    </row>
    <row r="36" spans="1:16">
      <c r="A36" s="22" t="s">
        <v>29</v>
      </c>
      <c r="B36" s="75" t="str">
        <f>IF(Inputs!$A$27&lt;&gt;"",Inputs!$D$32,0)</f>
        <v>0</v>
      </c>
      <c r="C36" s="75" t="str">
        <f>IF(Inputs!$A$27&lt;&gt;"",Inputs!$D$32,0)</f>
        <v>0</v>
      </c>
      <c r="D36" s="75" t="str">
        <f>IF(Inputs!$A$27&lt;&gt;"",Inputs!$D$32,0)</f>
        <v>0</v>
      </c>
      <c r="E36" s="75" t="str">
        <f>IF(Inputs!$A$27&lt;&gt;"",Inputs!$D$32,0)</f>
        <v>0</v>
      </c>
      <c r="F36" s="75" t="str">
        <f>IF(Inputs!$A$27&lt;&gt;"",Inputs!$D$32,0)</f>
        <v>0</v>
      </c>
      <c r="G36" s="75" t="str">
        <f>IF(Inputs!$A$27&lt;&gt;"",Inputs!$D$32,0)</f>
        <v>0</v>
      </c>
      <c r="H36" s="75" t="str">
        <f>IF(Inputs!$A$27&lt;&gt;"",Inputs!$D$32,0)</f>
        <v>0</v>
      </c>
      <c r="I36" s="75" t="str">
        <f>IF(Inputs!$A$27&lt;&gt;"",Inputs!$D$32,0)</f>
        <v>0</v>
      </c>
      <c r="J36" s="75" t="str">
        <f>IF(Inputs!$A$27&lt;&gt;"",Inputs!$D$32,0)</f>
        <v>0</v>
      </c>
      <c r="K36" s="75" t="str">
        <f>IF(Inputs!$A$27&lt;&gt;"",Inputs!$D$32,0)</f>
        <v>0</v>
      </c>
      <c r="L36" s="75" t="str">
        <f>IF(Inputs!$A$27&lt;&gt;"",Inputs!$D$32,0)</f>
        <v>0</v>
      </c>
      <c r="M36" s="75" t="str">
        <f>IF(Inputs!$A$27&lt;&gt;"",Inputs!$D$32,0)</f>
        <v>0</v>
      </c>
      <c r="N36" s="75" t="str">
        <f>SUM(B36:M36)</f>
        <v>0</v>
      </c>
    </row>
    <row r="37" spans="1:16" customHeight="1" ht="5.25">
      <c r="A37" s="22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</row>
    <row r="38" spans="1:16">
      <c r="A38" s="22" t="s">
        <v>30</v>
      </c>
      <c r="B38" s="75" t="str">
        <f>SUMIF(Inputs!$D$48:$D$50,MONTH(Output!B27),Inputs!$B$48:$B$50)</f>
        <v>0</v>
      </c>
      <c r="C38" s="75" t="str">
        <f>SUMIF(Inputs!$D$48:$D$50,MONTH(Output!C27),Inputs!$B$48:$B$50)</f>
        <v>0</v>
      </c>
      <c r="D38" s="75" t="str">
        <f>SUMIF(Inputs!$D$48:$D$50,MONTH(Output!D27),Inputs!$B$48:$B$50)</f>
        <v>0</v>
      </c>
      <c r="E38" s="75" t="str">
        <f>SUMIF(Inputs!$D$48:$D$50,MONTH(Output!E27),Inputs!$B$48:$B$50)</f>
        <v>0</v>
      </c>
      <c r="F38" s="75" t="str">
        <f>SUMIF(Inputs!$D$48:$D$50,MONTH(Output!F27),Inputs!$B$48:$B$50)</f>
        <v>0</v>
      </c>
      <c r="G38" s="75" t="str">
        <f>SUMIF(Inputs!$D$48:$D$50,MONTH(Output!G27),Inputs!$B$48:$B$50)</f>
        <v>0</v>
      </c>
      <c r="H38" s="75" t="str">
        <f>SUMIF(Inputs!$D$48:$D$50,MONTH(Output!H27),Inputs!$B$48:$B$50)</f>
        <v>0</v>
      </c>
      <c r="I38" s="75" t="str">
        <f>SUMIF(Inputs!$D$48:$D$50,MONTH(Output!I27),Inputs!$B$48:$B$50)</f>
        <v>0</v>
      </c>
      <c r="J38" s="75" t="str">
        <f>SUMIF(Inputs!$D$48:$D$50,MONTH(Output!J27),Inputs!$B$48:$B$50)</f>
        <v>0</v>
      </c>
      <c r="K38" s="75" t="str">
        <f>SUMIF(Inputs!$D$48:$D$50,MONTH(Output!K27),Inputs!$B$48:$B$50)</f>
        <v>0</v>
      </c>
      <c r="L38" s="75" t="str">
        <f>SUMIF(Inputs!$D$48:$D$50,MONTH(Output!L27),Inputs!$B$48:$B$50)</f>
        <v>0</v>
      </c>
      <c r="M38" s="75" t="str">
        <f>SUMIF(Inputs!$D$48:$D$50,MONTH(Output!M27),Inputs!$B$48:$B$50)</f>
        <v>0</v>
      </c>
      <c r="N38" s="75" t="str">
        <f>SUM(B38:M38)</f>
        <v>0</v>
      </c>
    </row>
    <row r="39" spans="1:16">
      <c r="A39" s="58" t="s">
        <v>19</v>
      </c>
      <c r="B39" s="75" t="str">
        <f>Inputs!$B$40</f>
        <v>0</v>
      </c>
      <c r="C39" s="75" t="str">
        <f>Inputs!$B$40</f>
        <v>0</v>
      </c>
      <c r="D39" s="75" t="str">
        <f>Inputs!$B$40</f>
        <v>0</v>
      </c>
      <c r="E39" s="75" t="str">
        <f>Inputs!$B$40</f>
        <v>0</v>
      </c>
      <c r="F39" s="75" t="str">
        <f>Inputs!$B$40</f>
        <v>0</v>
      </c>
      <c r="G39" s="75" t="str">
        <f>Inputs!$B$40</f>
        <v>0</v>
      </c>
      <c r="H39" s="75" t="str">
        <f>Inputs!$B$40</f>
        <v>0</v>
      </c>
      <c r="I39" s="75" t="str">
        <f>Inputs!$B$40</f>
        <v>0</v>
      </c>
      <c r="J39" s="75" t="str">
        <f>Inputs!$B$40</f>
        <v>0</v>
      </c>
      <c r="K39" s="75" t="str">
        <f>Inputs!$B$40</f>
        <v>0</v>
      </c>
      <c r="L39" s="75" t="str">
        <f>Inputs!$B$40</f>
        <v>0</v>
      </c>
      <c r="M39" s="75" t="str">
        <f>Inputs!$B$40</f>
        <v>0</v>
      </c>
      <c r="N39" s="75" t="str">
        <f>SUM(B39:M39)</f>
        <v>0</v>
      </c>
    </row>
    <row r="40" spans="1:16" customHeight="1" ht="15.75">
      <c r="A40" s="26" t="s">
        <v>31</v>
      </c>
      <c r="B40" s="45" t="str">
        <f>($N$22-SUM($N$28:$N$39))*Parameters!$B$36/12</f>
        <v>0</v>
      </c>
      <c r="C40" s="45" t="str">
        <f>($N$22-SUM($N$28:$N$39))*Parameters!$B$36/12</f>
        <v>0</v>
      </c>
      <c r="D40" s="45" t="str">
        <f>($N$22-SUM($N$28:$N$39))*Parameters!$B$36/12</f>
        <v>0</v>
      </c>
      <c r="E40" s="45" t="str">
        <f>($N$22-SUM($N$28:$N$39))*Parameters!$B$36/12</f>
        <v>0</v>
      </c>
      <c r="F40" s="45" t="str">
        <f>($N$22-SUM($N$28:$N$39))*Parameters!$B$36/12</f>
        <v>0</v>
      </c>
      <c r="G40" s="45" t="str">
        <f>($N$22-SUM($N$28:$N$39))*Parameters!$B$36/12</f>
        <v>0</v>
      </c>
      <c r="H40" s="45" t="str">
        <f>($N$22-SUM($N$28:$N$39))*Parameters!$B$36/12</f>
        <v>0</v>
      </c>
      <c r="I40" s="45" t="str">
        <f>($N$22-SUM($N$28:$N$39))*Parameters!$B$36/12</f>
        <v>0</v>
      </c>
      <c r="J40" s="45" t="str">
        <f>($N$22-SUM($N$28:$N$39))*Parameters!$B$36/12</f>
        <v>0</v>
      </c>
      <c r="K40" s="45" t="str">
        <f>($N$22-SUM($N$28:$N$39))*Parameters!$B$36/12</f>
        <v>0</v>
      </c>
      <c r="L40" s="45" t="str">
        <f>($N$22-SUM($N$28:$N$39))*Parameters!$B$36/12</f>
        <v>0</v>
      </c>
      <c r="M40" s="45" t="str">
        <f>($N$22-SUM($N$28:$N$39))*Parameters!$B$36/12</f>
        <v>0</v>
      </c>
      <c r="N40" s="45" t="str">
        <f>SUM(B40:M40)</f>
        <v>0</v>
      </c>
    </row>
    <row r="41" spans="1:16" customHeight="1" ht="15.75">
      <c r="A41" s="1" t="s">
        <v>20</v>
      </c>
      <c r="B41" s="27" t="str">
        <f>SUM(B28:B40)</f>
        <v>0</v>
      </c>
      <c r="C41" s="27" t="str">
        <f>SUM(C28:C40)</f>
        <v>0</v>
      </c>
      <c r="D41" s="27" t="str">
        <f>SUM(D28:D40)</f>
        <v>0</v>
      </c>
      <c r="E41" s="27" t="str">
        <f>SUM(E28:E40)</f>
        <v>0</v>
      </c>
      <c r="F41" s="27" t="str">
        <f>SUM(F28:F40)</f>
        <v>0</v>
      </c>
      <c r="G41" s="27" t="str">
        <f>SUM(G28:G40)</f>
        <v>0</v>
      </c>
      <c r="H41" s="27" t="str">
        <f>SUM(H28:H40)</f>
        <v>0</v>
      </c>
      <c r="I41" s="27" t="str">
        <f>SUM(I28:I40)</f>
        <v>0</v>
      </c>
      <c r="J41" s="27" t="str">
        <f>SUM(J28:J40)</f>
        <v>0</v>
      </c>
      <c r="K41" s="27" t="str">
        <f>SUM(K28:K40)</f>
        <v>0</v>
      </c>
      <c r="L41" s="27" t="str">
        <f>SUM(L28:L40)</f>
        <v>0</v>
      </c>
      <c r="M41" s="27" t="str">
        <f>SUM(M28:M40)</f>
        <v>0</v>
      </c>
      <c r="N41" s="27" t="str">
        <f>SUM(N28:N40)</f>
        <v>0</v>
      </c>
    </row>
    <row r="44" spans="1:16">
      <c r="A44" s="4" t="s">
        <v>32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5"/>
    </row>
    <row r="46" spans="1:16">
      <c r="A46" s="6" t="s">
        <v>33</v>
      </c>
      <c r="B46" s="6"/>
    </row>
    <row r="47" spans="1:16">
      <c r="A47" t="s">
        <v>34</v>
      </c>
      <c r="B47" s="44" t="str">
        <f>Inputs!B72</f>
        <v>0</v>
      </c>
    </row>
    <row r="48" spans="1:16">
      <c r="A48" t="s">
        <v>35</v>
      </c>
      <c r="B48" s="44" t="str">
        <f>Inputs!B70</f>
        <v>0</v>
      </c>
    </row>
    <row r="49" spans="1:16">
      <c r="A49" t="s">
        <v>36</v>
      </c>
      <c r="B49" s="44" t="str">
        <f>SUMPRODUCT(Inputs!B23:B25,Calculations!I14:I16)</f>
        <v>0</v>
      </c>
    </row>
    <row r="50" spans="1:16">
      <c r="A50" t="s">
        <v>37</v>
      </c>
      <c r="B50" s="44" t="str">
        <f>IF(Inputs!B65="Yes",SUM(Inputs!B6:B10)*INDEX(Parameters!$B$39:$B$42,MATCH(Inputs!$B$66,Parameters!$C$39:$C$42,0)),0)</f>
        <v>0</v>
      </c>
    </row>
    <row r="51" spans="1:16">
      <c r="A51" t="s">
        <v>38</v>
      </c>
      <c r="B51" s="44" t="str">
        <f>IF(Inputs!B67="Yes",Inputs!B68,0)</f>
        <v>0</v>
      </c>
    </row>
    <row r="52" spans="1:16">
      <c r="A52" t="s">
        <v>39</v>
      </c>
      <c r="B52" s="44" t="str">
        <f>Inputs!B69</f>
        <v>0</v>
      </c>
    </row>
    <row r="53" spans="1:16" customHeight="1" ht="15.75">
      <c r="A53" s="26" t="s">
        <v>40</v>
      </c>
      <c r="B53" s="45" t="str">
        <f>Inputs!B71</f>
        <v>0</v>
      </c>
    </row>
    <row r="54" spans="1:16" customHeight="1" ht="15.75">
      <c r="A54" s="1" t="s">
        <v>41</v>
      </c>
      <c r="B54" s="27" t="str">
        <f>SUM(B47:B53)</f>
        <v>0</v>
      </c>
    </row>
    <row r="56" spans="1:16">
      <c r="A56" s="6" t="s">
        <v>42</v>
      </c>
      <c r="B56" s="6"/>
    </row>
    <row r="57" spans="1:16">
      <c r="A57" t="s">
        <v>43</v>
      </c>
      <c r="B57" s="44" t="str">
        <f>Inputs!B74</f>
        <v>0</v>
      </c>
    </row>
    <row r="58" spans="1:16">
      <c r="A58" t="s">
        <v>44</v>
      </c>
      <c r="B58" s="44" t="str">
        <f>SUM(Inputs!B55:B59)</f>
        <v>0</v>
      </c>
    </row>
    <row r="59" spans="1:16" customHeight="1" ht="15.75">
      <c r="A59" s="26" t="s">
        <v>45</v>
      </c>
      <c r="B59" s="45" t="str">
        <f>Inputs!B61</f>
        <v>0</v>
      </c>
    </row>
    <row r="60" spans="1:16" customHeight="1" ht="15.75">
      <c r="A60" s="1" t="s">
        <v>46</v>
      </c>
      <c r="B60" s="27" t="str">
        <f>SUM(B57:B59)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5"/>
  <sheetViews>
    <sheetView tabSelected="1" workbookViewId="0" zoomScale="90" zoomScaleNormal="90" showGridLines="false" showRowColHeaders="1">
      <selection activeCell="D29" sqref="D29"/>
    </sheetView>
  </sheetViews>
  <sheetFormatPr defaultRowHeight="14.4" outlineLevelRow="0" outlineLevelCol="0"/>
  <cols>
    <col min="1" max="1" width="39" customWidth="true" style="0"/>
    <col min="2" max="2" width="16.140625" customWidth="true" style="0"/>
    <col min="3" max="3" width="32.5703125" customWidth="true" style="0"/>
    <col min="4" max="4" width="23" customWidth="true" style="0"/>
    <col min="5" max="5" width="25" customWidth="true" style="0"/>
    <col min="6" max="6" width="19.7109375" customWidth="true" style="0"/>
    <col min="7" max="7" width="19.7109375" customWidth="true" style="0"/>
    <col min="8" max="8" width="26.140625" customWidth="true" style="0"/>
    <col min="9" max="9" width="31.42578125" customWidth="true" style="0"/>
  </cols>
  <sheetData>
    <row r="1" spans="1:16">
      <c r="A1" s="4" t="s">
        <v>47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5"/>
      <c r="P1" s="5"/>
    </row>
    <row r="3" spans="1:16">
      <c r="A3" s="20" t="s">
        <v>48</v>
      </c>
    </row>
    <row r="4" spans="1:16">
      <c r="A4" s="58"/>
      <c r="B4" s="58"/>
      <c r="C4" s="58"/>
      <c r="D4" s="58"/>
      <c r="E4" s="58"/>
      <c r="F4" s="58"/>
      <c r="G4" s="58"/>
    </row>
    <row r="5" spans="1:16" customHeight="1" ht="28.5">
      <c r="A5" s="13" t="s">
        <v>49</v>
      </c>
      <c r="B5" s="13" t="s">
        <v>50</v>
      </c>
      <c r="C5" s="13" t="s">
        <v>51</v>
      </c>
      <c r="D5" s="13" t="s">
        <v>52</v>
      </c>
      <c r="E5" s="13" t="s">
        <v>53</v>
      </c>
      <c r="F5" s="13" t="s">
        <v>54</v>
      </c>
      <c r="G5" s="13" t="s">
        <v>55</v>
      </c>
      <c r="H5" s="13" t="s">
        <v>56</v>
      </c>
      <c r="I5" s="13" t="s">
        <v>57</v>
      </c>
    </row>
    <row r="6" spans="1:16">
      <c r="A6" s="61" t="s">
        <v>58</v>
      </c>
      <c r="B6" s="61">
        <v>1.5</v>
      </c>
      <c r="C6" s="65" t="s">
        <v>59</v>
      </c>
      <c r="D6" s="65" t="s">
        <v>59</v>
      </c>
      <c r="E6" s="65">
        <v>3</v>
      </c>
      <c r="F6" s="65" t="s">
        <v>59</v>
      </c>
      <c r="G6" s="70" t="s">
        <v>60</v>
      </c>
      <c r="H6" s="71" t="s">
        <v>61</v>
      </c>
      <c r="I6" s="91">
        <v>2</v>
      </c>
      <c r="J6" s="56"/>
    </row>
    <row r="7" spans="1:16">
      <c r="A7" s="62" t="s">
        <v>62</v>
      </c>
      <c r="B7" s="62">
        <v>2</v>
      </c>
      <c r="C7" s="67" t="s">
        <v>63</v>
      </c>
      <c r="D7" s="67" t="s">
        <v>63</v>
      </c>
      <c r="E7" s="67">
        <v>2</v>
      </c>
      <c r="F7" s="67" t="s">
        <v>59</v>
      </c>
      <c r="G7" s="70" t="s">
        <v>64</v>
      </c>
      <c r="H7" s="72" t="s">
        <v>65</v>
      </c>
      <c r="I7" s="92">
        <v>5</v>
      </c>
    </row>
    <row r="8" spans="1:16">
      <c r="A8" s="62"/>
      <c r="B8" s="62"/>
      <c r="C8" s="67"/>
      <c r="D8" s="67"/>
      <c r="E8" s="67"/>
      <c r="F8" s="67"/>
      <c r="G8" s="70"/>
      <c r="H8" s="72"/>
      <c r="I8" s="92"/>
    </row>
    <row r="9" spans="1:16">
      <c r="A9" s="62"/>
      <c r="B9" s="62"/>
      <c r="C9" s="67"/>
      <c r="D9" s="67"/>
      <c r="E9" s="67"/>
      <c r="F9" s="67"/>
      <c r="G9" s="70"/>
      <c r="H9" s="72"/>
      <c r="I9" s="92"/>
    </row>
    <row r="10" spans="1:16">
      <c r="A10" s="63"/>
      <c r="B10" s="63"/>
      <c r="C10" s="69"/>
      <c r="D10" s="69"/>
      <c r="E10" s="69"/>
      <c r="F10" s="69"/>
      <c r="G10" s="73"/>
      <c r="H10" s="74"/>
      <c r="I10" s="93"/>
    </row>
    <row r="12" spans="1:16">
      <c r="A12" s="20" t="str">
        <f>IF(OR(A10="Other crops",A9="Other crops",A8="Other crops",A7="Other crops",A6="Other crops"),"Please provide the following details about the 'Other crops' crop(s) indicated above","")</f>
        <v>0</v>
      </c>
    </row>
    <row r="14" spans="1:16">
      <c r="A14" t="str">
        <f>IF(A12&lt;&gt;"","What is the Other crop(s) that you are planting?","")</f>
        <v>0</v>
      </c>
      <c r="D14" s="23" t="s">
        <v>66</v>
      </c>
    </row>
    <row r="15" spans="1:16">
      <c r="A15" t="str">
        <f>IF(A12&lt;&gt;"","How many Kg are you expecting to harvest in one year?","")</f>
        <v>0</v>
      </c>
      <c r="D15" s="24">
        <v>3000</v>
      </c>
    </row>
    <row r="16" spans="1:16">
      <c r="A16" t="str">
        <f>IF(A12&lt;&gt;"","What is the price/ Kg you are going to be paid (in Ksh)?","")</f>
        <v>0</v>
      </c>
      <c r="D16" s="24">
        <v>30</v>
      </c>
    </row>
    <row r="18" spans="1:16">
      <c r="A18" s="4" t="s">
        <v>36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5"/>
      <c r="P18" s="5"/>
    </row>
    <row r="20" spans="1:16">
      <c r="A20" s="20" t="s">
        <v>67</v>
      </c>
    </row>
    <row r="21" spans="1:16">
      <c r="A21" s="58"/>
      <c r="B21" s="58"/>
      <c r="C21" s="58"/>
      <c r="D21" s="58"/>
      <c r="E21" s="58"/>
      <c r="F21" s="58"/>
      <c r="G21" s="58"/>
    </row>
    <row r="22" spans="1:16" customHeight="1" ht="41.25">
      <c r="A22" s="13" t="s">
        <v>68</v>
      </c>
      <c r="B22" s="13" t="s">
        <v>69</v>
      </c>
      <c r="C22" s="13" t="s">
        <v>70</v>
      </c>
      <c r="D22" s="13" t="s">
        <v>71</v>
      </c>
      <c r="E22" s="13" t="s">
        <v>72</v>
      </c>
      <c r="F22" s="13" t="s">
        <v>73</v>
      </c>
      <c r="G22" s="13" t="s">
        <v>74</v>
      </c>
    </row>
    <row r="23" spans="1:16">
      <c r="A23" s="61" t="s">
        <v>75</v>
      </c>
      <c r="B23" s="61">
        <v>5</v>
      </c>
      <c r="C23" s="65">
        <v>3</v>
      </c>
      <c r="D23" s="65" t="s">
        <v>63</v>
      </c>
      <c r="E23" s="65" t="s">
        <v>76</v>
      </c>
      <c r="F23" s="71">
        <v>0.3</v>
      </c>
      <c r="G23" s="71">
        <v>0</v>
      </c>
    </row>
    <row r="24" spans="1:16">
      <c r="A24" s="62" t="s">
        <v>77</v>
      </c>
      <c r="B24" s="62">
        <v>10</v>
      </c>
      <c r="C24" s="67">
        <v>9</v>
      </c>
      <c r="D24" s="67" t="s">
        <v>59</v>
      </c>
      <c r="E24" s="67" t="s">
        <v>78</v>
      </c>
      <c r="F24" s="72">
        <v>0.5</v>
      </c>
      <c r="G24" s="72">
        <v>0.5</v>
      </c>
    </row>
    <row r="25" spans="1:16">
      <c r="A25" s="63" t="s">
        <v>79</v>
      </c>
      <c r="B25" s="63">
        <v>10</v>
      </c>
      <c r="C25" s="69">
        <v>10</v>
      </c>
      <c r="D25" s="69" t="s">
        <v>59</v>
      </c>
      <c r="E25" s="69" t="s">
        <v>80</v>
      </c>
      <c r="F25" s="74">
        <v>0</v>
      </c>
      <c r="G25" s="74">
        <v>0.1</v>
      </c>
    </row>
    <row r="27" spans="1:16">
      <c r="A27" s="20" t="str">
        <f>IF(OR(A25="Other animals",A24="Other animals",A23="Other animals"),"Please provide the following details about the 'Other animals' animal(s) indicated above","")</f>
        <v>0</v>
      </c>
    </row>
    <row r="29" spans="1:16">
      <c r="A29" t="str">
        <f>IF(A27&lt;&gt;"","What is the Other animal(s) that you are breeding?","")</f>
        <v>0</v>
      </c>
      <c r="D29" s="23" t="s">
        <v>81</v>
      </c>
    </row>
    <row r="30" spans="1:16">
      <c r="A30" t="str">
        <f>IF(A27&lt;&gt;"","How much meat or produce are you going to sell in one year?","")</f>
        <v>0</v>
      </c>
      <c r="D30" s="24">
        <v>20</v>
      </c>
    </row>
    <row r="31" spans="1:16">
      <c r="A31" t="str">
        <f>IF(A27&lt;&gt;"","What is the price you are going to be paid for the meat or the produce (in Ksh)?","")</f>
        <v>0</v>
      </c>
      <c r="D31" s="24">
        <v>500</v>
      </c>
    </row>
    <row r="32" spans="1:16">
      <c r="A32" t="str">
        <f>IF(A27&lt;&gt;"","How much do you spend per month in feeds + labor + veterinary for these 'Other animals'?","")</f>
        <v>0</v>
      </c>
      <c r="D32" s="24">
        <v>3000</v>
      </c>
    </row>
    <row r="34" spans="1:16">
      <c r="A34" s="4" t="s">
        <v>82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5"/>
      <c r="P34" s="5"/>
    </row>
    <row r="35" spans="1:16" customHeight="1" ht="6"/>
    <row r="36" spans="1:16">
      <c r="A36" s="20" t="s">
        <v>83</v>
      </c>
    </row>
    <row r="38" spans="1:16">
      <c r="A38" s="60" t="s">
        <v>84</v>
      </c>
      <c r="B38" s="61" t="s">
        <v>85</v>
      </c>
      <c r="C38" s="61"/>
    </row>
    <row r="39" spans="1:16">
      <c r="A39" s="59" t="s">
        <v>86</v>
      </c>
      <c r="B39" s="66">
        <v>5000</v>
      </c>
      <c r="C39" s="62"/>
    </row>
    <row r="40" spans="1:16">
      <c r="A40" s="6" t="s">
        <v>87</v>
      </c>
      <c r="B40" s="68">
        <v>1000</v>
      </c>
      <c r="C40" s="63"/>
    </row>
    <row r="42" spans="1:16">
      <c r="A42" s="4" t="s">
        <v>88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5"/>
      <c r="P42" s="5"/>
    </row>
    <row r="43" spans="1:16">
      <c r="A43" s="58"/>
    </row>
    <row r="44" spans="1:16" customHeight="1" ht="30">
      <c r="A44" s="97" t="s">
        <v>89</v>
      </c>
      <c r="B44" s="100">
        <v>0.2</v>
      </c>
    </row>
    <row r="46" spans="1:16">
      <c r="A46" s="20" t="s">
        <v>90</v>
      </c>
    </row>
    <row r="47" spans="1:16" customHeight="1" ht="30">
      <c r="A47" s="13" t="s">
        <v>91</v>
      </c>
      <c r="B47" s="13" t="s">
        <v>92</v>
      </c>
      <c r="C47" s="13" t="s">
        <v>93</v>
      </c>
      <c r="D47" s="77" t="s">
        <v>94</v>
      </c>
    </row>
    <row r="48" spans="1:16">
      <c r="A48" s="61" t="s">
        <v>95</v>
      </c>
      <c r="B48" s="64">
        <v>300000</v>
      </c>
      <c r="C48" s="65" t="s">
        <v>96</v>
      </c>
      <c r="D48" s="78" t="str">
        <f>IFERROR(VLOOKUP(C48,Parameters!$C$53:$D$64,2,0),"")</f>
        <v>0</v>
      </c>
    </row>
    <row r="49" spans="1:16">
      <c r="A49" s="62"/>
      <c r="B49" s="66"/>
      <c r="C49" s="67"/>
      <c r="D49" s="78" t="str">
        <f>IFERROR(VLOOKUP(C49,Parameters!$C$53:$D$64,2,0),"")</f>
        <v>0</v>
      </c>
    </row>
    <row r="50" spans="1:16">
      <c r="A50" s="63"/>
      <c r="B50" s="68"/>
      <c r="C50" s="69"/>
      <c r="D50" s="78" t="str">
        <f>IFERROR(VLOOKUP(C50,Parameters!$C$53:$D$64,2,0),"")</f>
        <v>0</v>
      </c>
    </row>
    <row r="52" spans="1:16">
      <c r="A52" s="4" t="s">
        <v>97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5"/>
      <c r="P52" s="5"/>
    </row>
    <row r="54" spans="1:16" customHeight="1" ht="30.75">
      <c r="A54" s="111" t="s">
        <v>98</v>
      </c>
      <c r="B54" s="13" t="s">
        <v>99</v>
      </c>
      <c r="C54" s="13" t="s">
        <v>100</v>
      </c>
      <c r="D54" s="13" t="s">
        <v>101</v>
      </c>
      <c r="E54" s="13" t="s">
        <v>102</v>
      </c>
    </row>
    <row r="55" spans="1:16">
      <c r="A55" s="64">
        <v>100000</v>
      </c>
      <c r="B55" s="64">
        <v>3000</v>
      </c>
      <c r="C55" s="116">
        <v>42370</v>
      </c>
      <c r="D55" s="112" t="s">
        <v>103</v>
      </c>
      <c r="E55" s="112" t="s">
        <v>63</v>
      </c>
    </row>
    <row r="56" spans="1:16">
      <c r="A56" s="66">
        <v>50000</v>
      </c>
      <c r="B56" s="66">
        <v>0</v>
      </c>
      <c r="C56" s="117">
        <v>42161</v>
      </c>
      <c r="D56" s="113" t="s">
        <v>103</v>
      </c>
      <c r="E56" s="113" t="s">
        <v>63</v>
      </c>
    </row>
    <row r="57" spans="1:16">
      <c r="A57" s="66">
        <v>10000</v>
      </c>
      <c r="B57" s="66">
        <v>0</v>
      </c>
      <c r="C57" s="117">
        <v>42005</v>
      </c>
      <c r="D57" s="113" t="s">
        <v>103</v>
      </c>
      <c r="E57" s="113" t="s">
        <v>63</v>
      </c>
    </row>
    <row r="58" spans="1:16">
      <c r="A58" s="66"/>
      <c r="B58" s="66"/>
      <c r="C58" s="117"/>
      <c r="D58" s="113"/>
      <c r="E58" s="113"/>
    </row>
    <row r="59" spans="1:16">
      <c r="A59" s="68"/>
      <c r="B59" s="68"/>
      <c r="C59" s="118"/>
      <c r="D59" s="114"/>
      <c r="E59" s="114"/>
    </row>
    <row r="61" spans="1:16">
      <c r="A61" t="s">
        <v>104</v>
      </c>
      <c r="B61" s="85">
        <v>2000000</v>
      </c>
    </row>
    <row r="63" spans="1:16">
      <c r="A63" s="4" t="s">
        <v>105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5"/>
      <c r="P63" s="5"/>
    </row>
    <row r="65" spans="1:16">
      <c r="A65" s="94" t="s">
        <v>106</v>
      </c>
      <c r="B65" s="84" t="s">
        <v>63</v>
      </c>
    </row>
    <row r="66" spans="1:16">
      <c r="A66" s="94" t="s">
        <v>107</v>
      </c>
      <c r="B66" s="84" t="s">
        <v>108</v>
      </c>
    </row>
    <row r="67" spans="1:16">
      <c r="A67" s="95" t="s">
        <v>109</v>
      </c>
      <c r="B67" s="84" t="s">
        <v>63</v>
      </c>
    </row>
    <row r="68" spans="1:16">
      <c r="A68" s="95" t="s">
        <v>110</v>
      </c>
      <c r="B68" s="85">
        <v>2000000</v>
      </c>
    </row>
    <row r="69" spans="1:16" customHeight="1" ht="30">
      <c r="A69" s="96" t="s">
        <v>111</v>
      </c>
      <c r="B69" s="85">
        <v>500000</v>
      </c>
    </row>
    <row r="70" spans="1:16" customHeight="1" ht="30">
      <c r="A70" s="96" t="s">
        <v>112</v>
      </c>
      <c r="B70" s="85">
        <v>50000</v>
      </c>
    </row>
    <row r="71" spans="1:16" customHeight="1" ht="45">
      <c r="A71" s="96" t="s">
        <v>113</v>
      </c>
      <c r="B71" s="85">
        <v>0</v>
      </c>
    </row>
    <row r="72" spans="1:16" customHeight="1" ht="30">
      <c r="A72" s="96" t="s">
        <v>114</v>
      </c>
      <c r="B72" s="85">
        <v>10000</v>
      </c>
    </row>
    <row r="73" spans="1:16">
      <c r="A73" s="58"/>
      <c r="B73" s="44"/>
    </row>
    <row r="74" spans="1:16">
      <c r="A74" s="97" t="s">
        <v>115</v>
      </c>
      <c r="B74" s="85">
        <v>10000</v>
      </c>
    </row>
    <row r="75" spans="1:16">
      <c r="A75" s="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D14:D16">
    <cfRule type="expression" dxfId="0" priority="1">
      <formula>$A$12&lt;&gt;""</formula>
    </cfRule>
  </conditionalFormatting>
  <conditionalFormatting sqref="D29:D32">
    <cfRule type="expression" dxfId="0" priority="2">
      <formula>$A$12&lt;&gt;""</formula>
    </cfRule>
  </conditionalFormatting>
  <dataValidations count="15">
    <dataValidation type="list" allowBlank="1" showDropDown="0" showInputMessage="1" showErrorMessage="1" sqref="F6">
      <formula1>$A$40:$A$41</formula1>
    </dataValidation>
    <dataValidation type="list" allowBlank="1" showDropDown="0" showInputMessage="1" showErrorMessage="1" sqref="F7">
      <formula1>$A$40:$A$41</formula1>
    </dataValidation>
    <dataValidation type="list" allowBlank="1" showDropDown="0" showInputMessage="1" showErrorMessage="1" sqref="F8">
      <formula1>$A$40:$A$41</formula1>
    </dataValidation>
    <dataValidation type="list" allowBlank="1" showDropDown="0" showInputMessage="1" showErrorMessage="1" sqref="F9">
      <formula1>$A$40:$A$41</formula1>
    </dataValidation>
    <dataValidation type="list" allowBlank="1" showDropDown="0" showInputMessage="1" showErrorMessage="1" sqref="F10">
      <formula1>$A$40:$A$41</formula1>
    </dataValidation>
    <dataValidation type="list" allowBlank="1" showDropDown="0" showInputMessage="1" showErrorMessage="1" sqref="D23">
      <formula1>$A$40:$A$41</formula1>
    </dataValidation>
    <dataValidation type="list" allowBlank="1" showDropDown="0" showInputMessage="1" showErrorMessage="1" sqref="D24">
      <formula1>$A$40:$A$41</formula1>
    </dataValidation>
    <dataValidation type="list" allowBlank="1" showDropDown="0" showInputMessage="1" showErrorMessage="1" sqref="D25">
      <formula1>$A$40:$A$41</formula1>
    </dataValidation>
    <dataValidation type="list" allowBlank="1" showDropDown="0" showInputMessage="1" showErrorMessage="1" sqref="B44">
      <formula1>$B$40:$B$70</formula1>
    </dataValidation>
    <dataValidation type="list" allowBlank="1" showDropDown="0" showInputMessage="1" showErrorMessage="1" sqref="F23">
      <formula1>$B$40:$B$70</formula1>
    </dataValidation>
    <dataValidation type="list" allowBlank="1" showDropDown="0" showInputMessage="1" showErrorMessage="1" sqref="F24">
      <formula1>$B$40:$B$70</formula1>
    </dataValidation>
    <dataValidation type="list" allowBlank="1" showDropDown="0" showInputMessage="1" showErrorMessage="1" sqref="F25">
      <formula1>$B$40:$B$70</formula1>
    </dataValidation>
    <dataValidation type="list" allowBlank="1" showDropDown="0" showInputMessage="1" showErrorMessage="1" sqref="G23">
      <formula1>$B$40:$B$70</formula1>
    </dataValidation>
    <dataValidation type="list" allowBlank="1" showDropDown="0" showInputMessage="1" showErrorMessage="1" sqref="G24">
      <formula1>$B$40:$B$70</formula1>
    </dataValidation>
    <dataValidation type="list" allowBlank="1" showDropDown="0" showInputMessage="1" showErrorMessage="1" sqref="G25">
      <formula1>$B$40:$B$70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L19"/>
  <sheetViews>
    <sheetView tabSelected="0" workbookViewId="0" zoomScale="90" zoomScaleNormal="90" showGridLines="false" showRowColHeaders="1">
      <selection activeCell="C16" sqref="C16"/>
    </sheetView>
  </sheetViews>
  <sheetFormatPr defaultRowHeight="14.4" outlineLevelRow="0" outlineLevelCol="0"/>
  <cols>
    <col min="1" max="1" width="15.7109375" customWidth="true" style="0"/>
    <col min="2" max="2" width="18.85546875" customWidth="true" style="0"/>
    <col min="3" max="3" width="19.42578125" customWidth="true" style="0"/>
    <col min="4" max="4" width="19.42578125" customWidth="true" style="0"/>
    <col min="5" max="5" width="17.5703125" customWidth="true" style="0"/>
    <col min="6" max="6" width="17.140625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9.5703125" customWidth="true" style="0"/>
    <col min="12" max="12" width="10.42578125" customWidth="true" style="0"/>
    <col min="13" max="13" width="12.28515625" customWidth="true" style="0"/>
    <col min="14" max="14" width="8.7109375" customWidth="true" style="0"/>
    <col min="15" max="15" width="13" customWidth="true" style="0"/>
    <col min="16" max="16" width="13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4" max="24" width="10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</cols>
  <sheetData>
    <row r="1" spans="1:38">
      <c r="A1" s="4" t="s">
        <v>47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5"/>
    </row>
    <row r="3" spans="1:38" customHeight="1" ht="28.5">
      <c r="A3" s="21" t="s">
        <v>49</v>
      </c>
      <c r="B3" s="21" t="s">
        <v>116</v>
      </c>
      <c r="C3" s="21" t="s">
        <v>117</v>
      </c>
      <c r="D3" s="21" t="s">
        <v>118</v>
      </c>
      <c r="E3" s="21" t="s">
        <v>119</v>
      </c>
      <c r="F3" s="21" t="s">
        <v>120</v>
      </c>
      <c r="G3" s="21" t="s">
        <v>121</v>
      </c>
      <c r="H3" s="21" t="s">
        <v>122</v>
      </c>
      <c r="I3" s="21"/>
      <c r="J3" s="21" t="s">
        <v>123</v>
      </c>
      <c r="K3" s="21" t="s">
        <v>124</v>
      </c>
      <c r="L3" s="21" t="s">
        <v>125</v>
      </c>
      <c r="M3" s="21" t="s">
        <v>126</v>
      </c>
      <c r="N3" s="21" t="s">
        <v>127</v>
      </c>
      <c r="O3" s="21" t="s">
        <v>128</v>
      </c>
      <c r="P3" s="21" t="s">
        <v>129</v>
      </c>
      <c r="Q3" s="40" t="s">
        <v>17</v>
      </c>
      <c r="R3" s="21" t="s">
        <v>130</v>
      </c>
      <c r="S3" s="21" t="s">
        <v>131</v>
      </c>
      <c r="T3" s="40" t="s">
        <v>132</v>
      </c>
      <c r="U3" s="40" t="s">
        <v>133</v>
      </c>
      <c r="V3" s="40" t="s">
        <v>134</v>
      </c>
      <c r="W3" s="40" t="s">
        <v>135</v>
      </c>
      <c r="X3" s="101" t="str">
        <f>Output!B3</f>
        <v>0</v>
      </c>
      <c r="Y3" s="101" t="str">
        <f>Output!C3</f>
        <v>0</v>
      </c>
      <c r="Z3" s="101" t="str">
        <f>Output!D3</f>
        <v>0</v>
      </c>
      <c r="AA3" s="101" t="str">
        <f>Output!E3</f>
        <v>0</v>
      </c>
      <c r="AB3" s="101" t="str">
        <f>Output!F3</f>
        <v>0</v>
      </c>
      <c r="AC3" s="101" t="str">
        <f>Output!G3</f>
        <v>0</v>
      </c>
      <c r="AD3" s="101" t="str">
        <f>Output!H3</f>
        <v>0</v>
      </c>
      <c r="AE3" s="101" t="str">
        <f>Output!I3</f>
        <v>0</v>
      </c>
      <c r="AF3" s="101" t="str">
        <f>Output!J3</f>
        <v>0</v>
      </c>
      <c r="AG3" s="101" t="str">
        <f>Output!K3</f>
        <v>0</v>
      </c>
      <c r="AH3" s="101" t="str">
        <f>Output!L3</f>
        <v>0</v>
      </c>
      <c r="AI3" s="101" t="str">
        <f>Output!M3</f>
        <v>0</v>
      </c>
      <c r="AJ3" s="21"/>
      <c r="AK3" s="21"/>
    </row>
    <row r="4" spans="1:38" s="29" customFormat="1">
      <c r="A4" s="28" t="str">
        <f>Inputs!A6</f>
        <v>0</v>
      </c>
      <c r="B4" s="53" t="str">
        <f>IFERROR(IF(DATE(YEAR(TODAY()),VLOOKUP(VLOOKUP(A4,Inputs!$A$6:$G$10,MATCH(Inputs!$G$5,Inputs!$A$5:$H$5,0),0),Parameters!$C$53:$D$64,2,0),28)&gt;TODAY(),DATE(YEAR(TODAY()),VLOOKUP(VLOOKUP(A4,Inputs!$A$6:$G$10,MATCH(Inputs!$G$5,Inputs!$A$5:$H$5,0),0),Parameters!$C$53:$D$64,2,0),28),DATE(YEAR(TODAY())+1,VLOOKUP(VLOOKUP(A4,Inputs!$A$6:$G$10,MATCH(Inputs!$G$5,Inputs!$A$5:$H$5,0),0),Parameters!$C$53:$D$64,2,0),28)),"")</f>
        <v>0</v>
      </c>
      <c r="C4" s="53" t="str">
        <f>IFERROR(DATE(YEAR(B4),MONTH(B4)+ROUND(S4/2,0),DAY(B4)),B4)</f>
        <v>0</v>
      </c>
      <c r="D4" s="53" t="str">
        <f>IFERROR(DATE(YEAR(B4),MONTH(B4)+S4,DAY(B4)),"")</f>
        <v>0</v>
      </c>
      <c r="E4" s="53" t="str">
        <f>IF($R4=0,"",IF($R4=2,DATE(YEAR(B4),MONTH(B4)+6,DAY(B4)),IF($R4=1,B4,"")))</f>
        <v>0</v>
      </c>
      <c r="F4" s="53" t="str">
        <f>IF($R4=0,"",IF($R4=2,DATE(YEAR(C4),MONTH(C4)+6,DAY(C4)),IF($R4=1,C4,"")))</f>
        <v>0</v>
      </c>
      <c r="G4" s="53" t="str">
        <f>IF($R4=0,"",IF($R4=2,DATE(YEAR(D4),MONTH(D4)+6,DAY(D4)),IF($R4=1,D4,"")))</f>
        <v>0</v>
      </c>
      <c r="H4" s="28" t="str">
        <f>Inputs!B6</f>
        <v>0</v>
      </c>
      <c r="I4" s="28"/>
      <c r="J4" s="34" t="str">
        <f>IFERROR(Inputs!E6/Calculations!H4*50,"")</f>
        <v>0</v>
      </c>
      <c r="K4" s="34" t="str">
        <f>IFERROR(INDEX(Parameters!$A$3:$R$17,MATCH(Calculations!$A4,Parameters!$A$3:$A$17,0),MATCH(Parameters!$I$3,Parameters!$A$3:$R$3,0)),0)</f>
        <v>0</v>
      </c>
      <c r="L4" s="37" t="str">
        <f>IFERROR(IF(A4="Other crops",Inputs!$D$15/Calculations!H4,IF(Inputs!C6="yes",INDEX(Parameters!$A$3:$R$17,MATCH(Calculations!A4,Parameters!$A$3:$A$17,0),MATCH(Parameters!$H$3,Parameters!$A$3:$R$3,0)),1)*INDEX(Parameters!$A$3:$R$17,MATCH(Calculations!$A4,Parameters!$A$3:$A$17,0),MATCH(Parameters!$B$3,Parameters!$A$3:$R$3,0))*(1+IF(Inputs!D6="Yes",INDEX(Parameters!$A$3:$R$17,MATCH(Calculations!$A4,Parameters!$A$3:$A$17,0),MATCH(Parameters!$C$3,Parameters!$A$3:$R$3,0)),0))*(1+IF(Inputs!F6="Yes",INDEX(Parameters!$A$3:$R$17,MATCH(Calculations!$A4,Parameters!$A$3:$A$17,0),MATCH(Parameters!$F$3,Parameters!$A$3:$R$3,0)),0))*(1+IF(J4=0,0,IF(J4/K4&lt;0.5,INDEX(Parameters!$A$3:$R$17,MATCH(Calculations!$A4,Parameters!$A$3:$A$17,0),MATCH(Parameters!$D$3,Parameters!$A$3:$R$3,0)),IFERROR(INDEX(Parameters!$A$3:$R$17,MATCH(Calculations!$A4,Parameters!$A$3:$A$17,0),MATCH(Parameters!$E$3,Parameters!$A$3:$R$3,0)),0))))),0)</f>
        <v>0</v>
      </c>
      <c r="M4" s="33" t="str">
        <f>L4*H4</f>
        <v>0</v>
      </c>
      <c r="N4" s="30" t="str">
        <f>Inputs!H6</f>
        <v>0</v>
      </c>
      <c r="O4" s="38" t="str">
        <f>IFERROR(IF(A4="Other crops",Inputs!$D$16,INDEX(Parameters!$A$3:$R$17,MATCH(Calculations!$A4,Parameters!$A$3:$A$17,0),MATCH(Parameters!$O$3,Parameters!$A$3:$R$3,0))),0)</f>
        <v>0</v>
      </c>
      <c r="P4" s="30" t="str">
        <f>IFERROR(INDEX(Parameters!$A$3:$R$17,MATCH(Calculations!$A4,Parameters!$A$3:$A$17,0),MATCH($P$3,Parameters!$A$3:$R$3,0)),0)</f>
        <v>0</v>
      </c>
      <c r="Q4" s="41" t="str">
        <f>M4*O4*(1-N4)</f>
        <v>0</v>
      </c>
      <c r="R4" s="33" t="str">
        <f>IFERROR(INDEX(Parameters!$A$3:$R$17,MATCH(Calculations!$A4,Parameters!$A$3:$A$17,0),MATCH(Parameters!$R$3,Parameters!$A$3:$R$3,0)),0)</f>
        <v>0</v>
      </c>
      <c r="S4" s="33" t="str">
        <f>IFERROR(INDEX(Parameters!$A$3:$R$17,MATCH(Calculations!$A4,Parameters!$A$3:$A$17,0),MATCH(Parameters!$Q$3,Parameters!$A$3:$R$3,0)),"N/A")</f>
        <v>0</v>
      </c>
      <c r="T4" s="41" t="str">
        <f>IFERROR(IF(Inputs!D6="Yes",INDEX(Parameters!$A$3:$R$17,MATCH(Calculations!$A4,Parameters!$A$3:$A$17,0),MATCH(Parameters!$M$3,Parameters!$A$3:$R$3,0)),INDEX(Parameters!$A$3:$R$17,MATCH(Calculations!$A4,Parameters!$A$3:$A$17,0),MATCH(Parameters!$L$3,Parameters!$A$3:$R$3,0)))*INDEX(Parameters!$A$3:$R$17,MATCH(Calculations!$A4,Parameters!$A$3:$A$17,0),MATCH(Parameters!$J$3,Parameters!$A$3:$R$3,0))*Calculations!H4,0)</f>
        <v>0</v>
      </c>
      <c r="U4" s="41" t="str">
        <f>IFERROR(J4*H4*Parameters!$B$34,0)</f>
        <v>0</v>
      </c>
      <c r="V4" s="41" t="str">
        <f>IF(Inputs!F6="Yes",H4*Parameters!$B$35,0)</f>
        <v>0</v>
      </c>
      <c r="W4" s="41" t="str">
        <f>H4*IFERROR(INDEX(Parameters!$A$3:$AD$17,MATCH(Calculations!A4,Parameters!$A$3:$A$17,0),MATCH(Parameters!$N$3,Parameters!$A$3:$AD$3,0)),AVERAGE(Parameters!$N$4:$N$17))*(1-Inputs!$B$44)</f>
        <v>0</v>
      </c>
      <c r="X4" s="102" t="str">
        <f>IFERROR(IF($A4="Other crops",1/12,INDEX(Parameters!$S$2:$AD$17,MATCH(Calculations!$A4,Parameters!$A$2:$A$17,0),MATCH(MONTH(Calculations!X$3),Parameters!$S$2:$AD$2,0))),0)</f>
        <v>0</v>
      </c>
      <c r="Y4" s="102" t="str">
        <f>IFERROR(IF($A4="Other crops",1/12,INDEX(Parameters!$S$2:$AD$17,MATCH(Calculations!$A4,Parameters!$A$2:$A$17,0),MATCH(MONTH(Calculations!Y$3),Parameters!$S$2:$AD$2,0))),0)</f>
        <v>0</v>
      </c>
      <c r="Z4" s="102" t="str">
        <f>IFERROR(IF($A4="Other crops",1/12,INDEX(Parameters!$S$2:$AD$17,MATCH(Calculations!$A4,Parameters!$A$2:$A$17,0),MATCH(MONTH(Calculations!Z$3),Parameters!$S$2:$AD$2,0))),0)</f>
        <v>0</v>
      </c>
      <c r="AA4" s="102" t="str">
        <f>IFERROR(IF($A4="Other crops",1/12,INDEX(Parameters!$S$2:$AD$17,MATCH(Calculations!$A4,Parameters!$A$2:$A$17,0),MATCH(MONTH(Calculations!AA$3),Parameters!$S$2:$AD$2,0))),0)</f>
        <v>0</v>
      </c>
      <c r="AB4" s="102" t="str">
        <f>IFERROR(IF($A4="Other crops",1/12,INDEX(Parameters!$S$2:$AD$17,MATCH(Calculations!$A4,Parameters!$A$2:$A$17,0),MATCH(MONTH(Calculations!AB$3),Parameters!$S$2:$AD$2,0))),0)</f>
        <v>0</v>
      </c>
      <c r="AC4" s="102" t="str">
        <f>IFERROR(IF($A4="Other crops",1/12,INDEX(Parameters!$S$2:$AD$17,MATCH(Calculations!$A4,Parameters!$A$2:$A$17,0),MATCH(MONTH(Calculations!AC$3),Parameters!$S$2:$AD$2,0))),0)</f>
        <v>0</v>
      </c>
      <c r="AD4" s="102" t="str">
        <f>IFERROR(IF($A4="Other crops",1/12,INDEX(Parameters!$S$2:$AD$17,MATCH(Calculations!$A4,Parameters!$A$2:$A$17,0),MATCH(MONTH(Calculations!AD$3),Parameters!$S$2:$AD$2,0))),0)</f>
        <v>0</v>
      </c>
      <c r="AE4" s="102" t="str">
        <f>IFERROR(IF($A4="Other crops",1/12,INDEX(Parameters!$S$2:$AD$17,MATCH(Calculations!$A4,Parameters!$A$2:$A$17,0),MATCH(MONTH(Calculations!AE$3),Parameters!$S$2:$AD$2,0))),0)</f>
        <v>0</v>
      </c>
      <c r="AF4" s="102" t="str">
        <f>IFERROR(IF($A4="Other crops",1/12,INDEX(Parameters!$S$2:$AD$17,MATCH(Calculations!$A4,Parameters!$A$2:$A$17,0),MATCH(MONTH(Calculations!AF$3),Parameters!$S$2:$AD$2,0))),0)</f>
        <v>0</v>
      </c>
      <c r="AG4" s="102" t="str">
        <f>IFERROR(IF($A4="Other crops",1/12,INDEX(Parameters!$S$2:$AD$17,MATCH(Calculations!$A4,Parameters!$A$2:$A$17,0),MATCH(MONTH(Calculations!AG$3),Parameters!$S$2:$AD$2,0))),0)</f>
        <v>0</v>
      </c>
      <c r="AH4" s="102" t="str">
        <f>IFERROR(IF($A4="Other crops",1/12,INDEX(Parameters!$S$2:$AD$17,MATCH(Calculations!$A4,Parameters!$A$2:$A$17,0),MATCH(MONTH(Calculations!AH$3),Parameters!$S$2:$AD$2,0))),0)</f>
        <v>0</v>
      </c>
      <c r="AI4" s="102" t="str">
        <f>IFERROR(IF($A4="Other crops",1/12,INDEX(Parameters!$S$2:$AD$17,MATCH(Calculations!$A4,Parameters!$A$2:$A$17,0),MATCH(MONTH(Calculations!AI$3),Parameters!$S$2:$AD$2,0))),0)</f>
        <v>0</v>
      </c>
      <c r="AJ4" s="33"/>
      <c r="AK4" s="33"/>
    </row>
    <row r="5" spans="1:38" s="29" customFormat="1">
      <c r="A5" s="22" t="str">
        <f>Inputs!A7</f>
        <v>0</v>
      </c>
      <c r="B5" s="54" t="str">
        <f>IFERROR(IF(DATE(YEAR(TODAY()),VLOOKUP(VLOOKUP(A5,Inputs!$A$6:$G$10,MATCH(Inputs!$G$5,Inputs!$A$5:$H$5,0),0),Parameters!$C$53:$D$64,2,0),28)&gt;TODAY(),DATE(YEAR(TODAY()),VLOOKUP(VLOOKUP(A5,Inputs!$A$6:$G$10,MATCH(Inputs!$G$5,Inputs!$A$5:$H$5,0),0),Parameters!$C$53:$D$64,2,0),28),DATE(YEAR(TODAY())+1,VLOOKUP(VLOOKUP(A5,Inputs!$A$6:$G$10,MATCH(Inputs!$G$5,Inputs!$A$5:$H$5,0),0),Parameters!$C$53:$D$64,2,0),28)),"")</f>
        <v>0</v>
      </c>
      <c r="C5" s="54" t="str">
        <f>IFERROR(DATE(YEAR(B5),MONTH(B5)+ROUND(S5/2,0),DAY(B5)),B5)</f>
        <v>0</v>
      </c>
      <c r="D5" s="54" t="str">
        <f>IFERROR(DATE(YEAR(B5),MONTH(B5)+S5,DAY(B5)),"")</f>
        <v>0</v>
      </c>
      <c r="E5" s="54" t="str">
        <f>IF($R5=0,"",IF($R5=2,DATE(YEAR(B5),MONTH(B5)+6,DAY(B5)),IF($R5=1,B5,"")))</f>
        <v>0</v>
      </c>
      <c r="F5" s="54" t="str">
        <f>IF($R5=0,"",IF($R5=2,DATE(YEAR(C5),MONTH(C5)+6,DAY(C5)),IF($R5=1,C5,"")))</f>
        <v>0</v>
      </c>
      <c r="G5" s="54" t="str">
        <f>IF($R5=0,"",IF($R5=2,DATE(YEAR(D5),MONTH(D5)+6,DAY(D5)),IF($R5=1,D5,"")))</f>
        <v>0</v>
      </c>
      <c r="H5" s="22" t="str">
        <f>Inputs!B7</f>
        <v>0</v>
      </c>
      <c r="I5" s="22"/>
      <c r="J5" s="35" t="str">
        <f>IFERROR(Inputs!E7/Calculations!H5*50,"")</f>
        <v>0</v>
      </c>
      <c r="K5" s="35" t="str">
        <f>IFERROR(INDEX(Parameters!$A$3:$R$17,MATCH(Calculations!$A5,Parameters!$A$3:$A$17,0),MATCH(Parameters!$I$3,Parameters!$A$3:$R$3,0)),0)</f>
        <v>0</v>
      </c>
      <c r="L5" s="38" t="str">
        <f>IFERROR(IF(A5="Other crops",Inputs!$D$15/Calculations!H5,IF(Inputs!C7="yes",INDEX(Parameters!$A$3:$R$17,MATCH(Calculations!A5,Parameters!$A$3:$A$17,0),MATCH(Parameters!$H$3,Parameters!$A$3:$R$3,0)),1)*INDEX(Parameters!$A$3:$R$17,MATCH(Calculations!$A5,Parameters!$A$3:$A$17,0),MATCH(Parameters!$B$3,Parameters!$A$3:$R$3,0))*(1+IF(Inputs!D7="Yes",INDEX(Parameters!$A$3:$R$17,MATCH(Calculations!$A5,Parameters!$A$3:$A$17,0),MATCH(Parameters!$C$3,Parameters!$A$3:$R$3,0)),0))*(1+IF(Inputs!F7="Yes",INDEX(Parameters!$A$3:$R$17,MATCH(Calculations!$A5,Parameters!$A$3:$A$17,0),MATCH(Parameters!$F$3,Parameters!$A$3:$R$3,0)),0))*(1+IF(J5=0,0,IF(J5/K5&lt;0.5,INDEX(Parameters!$A$3:$R$17,MATCH(Calculations!$A5,Parameters!$A$3:$A$17,0),MATCH(Parameters!$D$3,Parameters!$A$3:$R$3,0)),IFERROR(INDEX(Parameters!$A$3:$R$17,MATCH(Calculations!$A5,Parameters!$A$3:$A$17,0),MATCH(Parameters!$E$3,Parameters!$A$3:$R$3,0)),0))))),0)</f>
        <v>0</v>
      </c>
      <c r="M5" s="38" t="str">
        <f>L5*H5</f>
        <v>0</v>
      </c>
      <c r="N5" s="30" t="str">
        <f>Inputs!H7</f>
        <v>0</v>
      </c>
      <c r="O5" s="38" t="str">
        <f>IFERROR(IF(A5="Other crops",Inputs!$D$16,INDEX(Parameters!$A$3:$R$17,MATCH(Calculations!$A5,Parameters!$A$3:$A$17,0),MATCH(Parameters!$O$3,Parameters!$A$3:$R$3,0))),0)</f>
        <v>0</v>
      </c>
      <c r="P5" s="30" t="str">
        <f>IFERROR(INDEX(Parameters!$A$3:$R$17,MATCH(Calculations!$A5,Parameters!$A$3:$A$17,0),MATCH($P$3,Parameters!$A$3:$R$3,0)),0)</f>
        <v>0</v>
      </c>
      <c r="Q5" s="42" t="str">
        <f>M5*O5*(1-N5)</f>
        <v>0</v>
      </c>
      <c r="R5" s="38" t="str">
        <f>IFERROR(INDEX(Parameters!$A$3:$R$17,MATCH(Calculations!$A5,Parameters!$A$3:$A$17,0),MATCH(Parameters!$R$3,Parameters!$A$3:$R$3,0)),0)</f>
        <v>0</v>
      </c>
      <c r="S5" s="38" t="str">
        <f>IFERROR(INDEX(Parameters!$A$3:$R$17,MATCH(Calculations!$A5,Parameters!$A$3:$A$17,0),MATCH(Parameters!$Q$3,Parameters!$A$3:$R$3,0)),"N/A")</f>
        <v>0</v>
      </c>
      <c r="T5" s="42" t="str">
        <f>IFERROR(IF(Inputs!D7="Yes",INDEX(Parameters!$A$3:$R$17,MATCH(Calculations!$A5,Parameters!$A$3:$A$17,0),MATCH(Parameters!$M$3,Parameters!$A$3:$R$3,0)),INDEX(Parameters!$A$3:$R$17,MATCH(Calculations!$A5,Parameters!$A$3:$A$17,0),MATCH(Parameters!$L$3,Parameters!$A$3:$R$3,0)))*INDEX(Parameters!$A$3:$R$17,MATCH(Calculations!$A5,Parameters!$A$3:$A$17,0),MATCH(Parameters!$J$3,Parameters!$A$3:$R$3,0))*Calculations!H5,0)</f>
        <v>0</v>
      </c>
      <c r="U5" s="42" t="str">
        <f>IFERROR(J5*H5*Parameters!$B$34,0)</f>
        <v>0</v>
      </c>
      <c r="V5" s="42" t="str">
        <f>IF(Inputs!F7="Yes",H5*Parameters!$B$35,0)</f>
        <v>0</v>
      </c>
      <c r="W5" s="42" t="str">
        <f>H5*IFERROR(INDEX(Parameters!$A$3:$AD$17,MATCH(Calculations!A5,Parameters!$A$3:$A$17,0),MATCH(Parameters!$N$3,Parameters!$A$3:$AD$3,0)),AVERAGE(Parameters!$N$4:$N$17))*(1-Inputs!$B$44)</f>
        <v>0</v>
      </c>
      <c r="X5" s="30" t="str">
        <f>IFERROR(IF($A5="Other crops",1/12,INDEX(Parameters!$S$2:$AD$17,MATCH(Calculations!$A5,Parameters!$A$2:$A$17,0),MATCH(MONTH(Calculations!X$3),Parameters!$S$2:$AD$2,0))),0)</f>
        <v>0</v>
      </c>
      <c r="Y5" s="30" t="str">
        <f>IFERROR(IF($A5="Other crops",1/12,INDEX(Parameters!$S$2:$AD$17,MATCH(Calculations!$A5,Parameters!$A$2:$A$17,0),MATCH(MONTH(Calculations!Y$3),Parameters!$S$2:$AD$2,0))),0)</f>
        <v>0</v>
      </c>
      <c r="Z5" s="30" t="str">
        <f>IFERROR(IF($A5="Other crops",1/12,INDEX(Parameters!$S$2:$AD$17,MATCH(Calculations!$A5,Parameters!$A$2:$A$17,0),MATCH(MONTH(Calculations!Z$3),Parameters!$S$2:$AD$2,0))),0)</f>
        <v>0</v>
      </c>
      <c r="AA5" s="30" t="str">
        <f>IFERROR(IF($A5="Other crops",1/12,INDEX(Parameters!$S$2:$AD$17,MATCH(Calculations!$A5,Parameters!$A$2:$A$17,0),MATCH(MONTH(Calculations!AA$3),Parameters!$S$2:$AD$2,0))),0)</f>
        <v>0</v>
      </c>
      <c r="AB5" s="30" t="str">
        <f>IFERROR(IF($A5="Other crops",1/12,INDEX(Parameters!$S$2:$AD$17,MATCH(Calculations!$A5,Parameters!$A$2:$A$17,0),MATCH(MONTH(Calculations!AB$3),Parameters!$S$2:$AD$2,0))),0)</f>
        <v>0</v>
      </c>
      <c r="AC5" s="30" t="str">
        <f>IFERROR(IF($A5="Other crops",1/12,INDEX(Parameters!$S$2:$AD$17,MATCH(Calculations!$A5,Parameters!$A$2:$A$17,0),MATCH(MONTH(Calculations!AC$3),Parameters!$S$2:$AD$2,0))),0)</f>
        <v>0</v>
      </c>
      <c r="AD5" s="30" t="str">
        <f>IFERROR(IF($A5="Other crops",1/12,INDEX(Parameters!$S$2:$AD$17,MATCH(Calculations!$A5,Parameters!$A$2:$A$17,0),MATCH(MONTH(Calculations!AD$3),Parameters!$S$2:$AD$2,0))),0)</f>
        <v>0</v>
      </c>
      <c r="AE5" s="30" t="str">
        <f>IFERROR(IF($A5="Other crops",1/12,INDEX(Parameters!$S$2:$AD$17,MATCH(Calculations!$A5,Parameters!$A$2:$A$17,0),MATCH(MONTH(Calculations!AE$3),Parameters!$S$2:$AD$2,0))),0)</f>
        <v>0</v>
      </c>
      <c r="AF5" s="30" t="str">
        <f>IFERROR(IF($A5="Other crops",1/12,INDEX(Parameters!$S$2:$AD$17,MATCH(Calculations!$A5,Parameters!$A$2:$A$17,0),MATCH(MONTH(Calculations!AF$3),Parameters!$S$2:$AD$2,0))),0)</f>
        <v>0</v>
      </c>
      <c r="AG5" s="30" t="str">
        <f>IFERROR(IF($A5="Other crops",1/12,INDEX(Parameters!$S$2:$AD$17,MATCH(Calculations!$A5,Parameters!$A$2:$A$17,0),MATCH(MONTH(Calculations!AG$3),Parameters!$S$2:$AD$2,0))),0)</f>
        <v>0</v>
      </c>
      <c r="AH5" s="30" t="str">
        <f>IFERROR(IF($A5="Other crops",1/12,INDEX(Parameters!$S$2:$AD$17,MATCH(Calculations!$A5,Parameters!$A$2:$A$17,0),MATCH(MONTH(Calculations!AH$3),Parameters!$S$2:$AD$2,0))),0)</f>
        <v>0</v>
      </c>
      <c r="AI5" s="30" t="str">
        <f>IFERROR(IF($A5="Other crops",1/12,INDEX(Parameters!$S$2:$AD$17,MATCH(Calculations!$A5,Parameters!$A$2:$A$17,0),MATCH(MONTH(Calculations!AI$3),Parameters!$S$2:$AD$2,0))),0)</f>
        <v>0</v>
      </c>
      <c r="AJ5" s="38"/>
      <c r="AK5" s="38"/>
    </row>
    <row r="6" spans="1:38" s="29" customFormat="1">
      <c r="A6" s="22" t="str">
        <f>Inputs!A8</f>
        <v>0</v>
      </c>
      <c r="B6" s="54" t="str">
        <f>IFERROR(IF(DATE(YEAR(TODAY()),VLOOKUP(VLOOKUP(A6,Inputs!$A$6:$G$10,MATCH(Inputs!$G$5,Inputs!$A$5:$H$5,0),0),Parameters!$C$53:$D$64,2,0),28)&gt;TODAY(),DATE(YEAR(TODAY()),VLOOKUP(VLOOKUP(A6,Inputs!$A$6:$G$10,MATCH(Inputs!$G$5,Inputs!$A$5:$H$5,0),0),Parameters!$C$53:$D$64,2,0),28),DATE(YEAR(TODAY())+1,VLOOKUP(VLOOKUP(A6,Inputs!$A$6:$G$10,MATCH(Inputs!$G$5,Inputs!$A$5:$H$5,0),0),Parameters!$C$53:$D$64,2,0),28)),"")</f>
        <v>0</v>
      </c>
      <c r="C6" s="54" t="str">
        <f>IFERROR(DATE(YEAR(B6),MONTH(B6)+ROUND(S6/2,0),DAY(B6)),B6)</f>
        <v>0</v>
      </c>
      <c r="D6" s="54" t="str">
        <f>IFERROR(DATE(YEAR(B6),MONTH(B6)+S6,DAY(B6)),"")</f>
        <v>0</v>
      </c>
      <c r="E6" s="54" t="str">
        <f>IF($R6=0,"",IF($R6=2,DATE(YEAR(B6),MONTH(B6)+6,DAY(B6)),IF($R6=1,B6,"")))</f>
        <v>0</v>
      </c>
      <c r="F6" s="54" t="str">
        <f>IF($R6=0,"",IF($R6=2,DATE(YEAR(C6),MONTH(C6)+6,DAY(C6)),IF($R6=1,C6,"")))</f>
        <v>0</v>
      </c>
      <c r="G6" s="54" t="str">
        <f>IF($R6=0,"",IF($R6=2,DATE(YEAR(D6),MONTH(D6)+6,DAY(D6)),IF($R6=1,D6,"")))</f>
        <v>0</v>
      </c>
      <c r="H6" s="22" t="str">
        <f>Inputs!B8</f>
        <v>0</v>
      </c>
      <c r="I6" s="22"/>
      <c r="J6" s="35" t="str">
        <f>IFERROR(Inputs!E8/Calculations!H6*50,"")</f>
        <v>0</v>
      </c>
      <c r="K6" s="35" t="str">
        <f>IFERROR(INDEX(Parameters!$A$3:$R$17,MATCH(Calculations!$A6,Parameters!$A$3:$A$17,0),MATCH(Parameters!$I$3,Parameters!$A$3:$R$3,0)),0)</f>
        <v>0</v>
      </c>
      <c r="L6" s="38" t="str">
        <f>IFERROR(IF(A6="Other crops",Inputs!$D$15/Calculations!H6,IF(Inputs!C8="yes",INDEX(Parameters!$A$3:$R$17,MATCH(Calculations!A6,Parameters!$A$3:$A$17,0),MATCH(Parameters!$H$3,Parameters!$A$3:$R$3,0)),1)*INDEX(Parameters!$A$3:$R$17,MATCH(Calculations!$A6,Parameters!$A$3:$A$17,0),MATCH(Parameters!$B$3,Parameters!$A$3:$R$3,0))*(1+IF(Inputs!D8="Yes",INDEX(Parameters!$A$3:$R$17,MATCH(Calculations!$A6,Parameters!$A$3:$A$17,0),MATCH(Parameters!$C$3,Parameters!$A$3:$R$3,0)),0))*(1+IF(Inputs!F8="Yes",INDEX(Parameters!$A$3:$R$17,MATCH(Calculations!$A6,Parameters!$A$3:$A$17,0),MATCH(Parameters!$F$3,Parameters!$A$3:$R$3,0)),0))*(1+IF(J6=0,0,IF(J6/K6&lt;0.5,INDEX(Parameters!$A$3:$R$17,MATCH(Calculations!$A6,Parameters!$A$3:$A$17,0),MATCH(Parameters!$D$3,Parameters!$A$3:$R$3,0)),IFERROR(INDEX(Parameters!$A$3:$R$17,MATCH(Calculations!$A6,Parameters!$A$3:$A$17,0),MATCH(Parameters!$E$3,Parameters!$A$3:$R$3,0)),0))))),0)</f>
        <v>0</v>
      </c>
      <c r="M6" s="38" t="str">
        <f>L6*H6</f>
        <v>0</v>
      </c>
      <c r="N6" s="30" t="str">
        <f>Inputs!H8</f>
        <v>0</v>
      </c>
      <c r="O6" s="38" t="str">
        <f>IFERROR(IF(A6="Other crops",Inputs!$D$16,INDEX(Parameters!$A$3:$R$17,MATCH(Calculations!$A6,Parameters!$A$3:$A$17,0),MATCH(Parameters!$O$3,Parameters!$A$3:$R$3,0))),0)</f>
        <v>0</v>
      </c>
      <c r="P6" s="30" t="str">
        <f>IFERROR(INDEX(Parameters!$A$3:$R$17,MATCH(Calculations!$A6,Parameters!$A$3:$A$17,0),MATCH($P$3,Parameters!$A$3:$R$3,0)),0)</f>
        <v>0</v>
      </c>
      <c r="Q6" s="42" t="str">
        <f>M6*O6*(1-N6)</f>
        <v>0</v>
      </c>
      <c r="R6" s="38" t="str">
        <f>IFERROR(INDEX(Parameters!$A$3:$R$17,MATCH(Calculations!$A6,Parameters!$A$3:$A$17,0),MATCH(Parameters!$R$3,Parameters!$A$3:$R$3,0)),0)</f>
        <v>0</v>
      </c>
      <c r="S6" s="38" t="str">
        <f>IFERROR(INDEX(Parameters!$A$3:$R$17,MATCH(Calculations!$A6,Parameters!$A$3:$A$17,0),MATCH(Parameters!$Q$3,Parameters!$A$3:$R$3,0)),"N/A")</f>
        <v>0</v>
      </c>
      <c r="T6" s="42" t="str">
        <f>IFERROR(IF(Inputs!D8="Yes",INDEX(Parameters!$A$3:$R$17,MATCH(Calculations!$A6,Parameters!$A$3:$A$17,0),MATCH(Parameters!$M$3,Parameters!$A$3:$R$3,0)),INDEX(Parameters!$A$3:$R$17,MATCH(Calculations!$A6,Parameters!$A$3:$A$17,0),MATCH(Parameters!$L$3,Parameters!$A$3:$R$3,0)))*INDEX(Parameters!$A$3:$R$17,MATCH(Calculations!$A6,Parameters!$A$3:$A$17,0),MATCH(Parameters!$J$3,Parameters!$A$3:$R$3,0))*Calculations!H6,0)</f>
        <v>0</v>
      </c>
      <c r="U6" s="42" t="str">
        <f>IFERROR(J6*H6*Parameters!$B$34,0)</f>
        <v>0</v>
      </c>
      <c r="V6" s="42" t="str">
        <f>IF(Inputs!F8="Yes",H6*Parameters!$B$35,0)</f>
        <v>0</v>
      </c>
      <c r="W6" s="42" t="str">
        <f>H6*IFERROR(INDEX(Parameters!$A$3:$AD$17,MATCH(Calculations!A6,Parameters!$A$3:$A$17,0),MATCH(Parameters!$N$3,Parameters!$A$3:$AD$3,0)),AVERAGE(Parameters!$N$4:$N$17))*(1-Inputs!$B$44)</f>
        <v>0</v>
      </c>
      <c r="X6" s="30" t="str">
        <f>IFERROR(IF($A6="Other crops",1/12,INDEX(Parameters!$S$2:$AD$17,MATCH(Calculations!$A6,Parameters!$A$2:$A$17,0),MATCH(MONTH(Calculations!X$3),Parameters!$S$2:$AD$2,0))),0)</f>
        <v>0</v>
      </c>
      <c r="Y6" s="30" t="str">
        <f>IFERROR(IF($A6="Other crops",1/12,INDEX(Parameters!$S$2:$AD$17,MATCH(Calculations!$A6,Parameters!$A$2:$A$17,0),MATCH(MONTH(Calculations!Y$3),Parameters!$S$2:$AD$2,0))),0)</f>
        <v>0</v>
      </c>
      <c r="Z6" s="30" t="str">
        <f>IFERROR(IF($A6="Other crops",1/12,INDEX(Parameters!$S$2:$AD$17,MATCH(Calculations!$A6,Parameters!$A$2:$A$17,0),MATCH(MONTH(Calculations!Z$3),Parameters!$S$2:$AD$2,0))),0)</f>
        <v>0</v>
      </c>
      <c r="AA6" s="30" t="str">
        <f>IFERROR(IF($A6="Other crops",1/12,INDEX(Parameters!$S$2:$AD$17,MATCH(Calculations!$A6,Parameters!$A$2:$A$17,0),MATCH(MONTH(Calculations!AA$3),Parameters!$S$2:$AD$2,0))),0)</f>
        <v>0</v>
      </c>
      <c r="AB6" s="30" t="str">
        <f>IFERROR(IF($A6="Other crops",1/12,INDEX(Parameters!$S$2:$AD$17,MATCH(Calculations!$A6,Parameters!$A$2:$A$17,0),MATCH(MONTH(Calculations!AB$3),Parameters!$S$2:$AD$2,0))),0)</f>
        <v>0</v>
      </c>
      <c r="AC6" s="30" t="str">
        <f>IFERROR(IF($A6="Other crops",1/12,INDEX(Parameters!$S$2:$AD$17,MATCH(Calculations!$A6,Parameters!$A$2:$A$17,0),MATCH(MONTH(Calculations!AC$3),Parameters!$S$2:$AD$2,0))),0)</f>
        <v>0</v>
      </c>
      <c r="AD6" s="30" t="str">
        <f>IFERROR(IF($A6="Other crops",1/12,INDEX(Parameters!$S$2:$AD$17,MATCH(Calculations!$A6,Parameters!$A$2:$A$17,0),MATCH(MONTH(Calculations!AD$3),Parameters!$S$2:$AD$2,0))),0)</f>
        <v>0</v>
      </c>
      <c r="AE6" s="30" t="str">
        <f>IFERROR(IF($A6="Other crops",1/12,INDEX(Parameters!$S$2:$AD$17,MATCH(Calculations!$A6,Parameters!$A$2:$A$17,0),MATCH(MONTH(Calculations!AE$3),Parameters!$S$2:$AD$2,0))),0)</f>
        <v>0</v>
      </c>
      <c r="AF6" s="30" t="str">
        <f>IFERROR(IF($A6="Other crops",1/12,INDEX(Parameters!$S$2:$AD$17,MATCH(Calculations!$A6,Parameters!$A$2:$A$17,0),MATCH(MONTH(Calculations!AF$3),Parameters!$S$2:$AD$2,0))),0)</f>
        <v>0</v>
      </c>
      <c r="AG6" s="30" t="str">
        <f>IFERROR(IF($A6="Other crops",1/12,INDEX(Parameters!$S$2:$AD$17,MATCH(Calculations!$A6,Parameters!$A$2:$A$17,0),MATCH(MONTH(Calculations!AG$3),Parameters!$S$2:$AD$2,0))),0)</f>
        <v>0</v>
      </c>
      <c r="AH6" s="30" t="str">
        <f>IFERROR(IF($A6="Other crops",1/12,INDEX(Parameters!$S$2:$AD$17,MATCH(Calculations!$A6,Parameters!$A$2:$A$17,0),MATCH(MONTH(Calculations!AH$3),Parameters!$S$2:$AD$2,0))),0)</f>
        <v>0</v>
      </c>
      <c r="AI6" s="30" t="str">
        <f>IFERROR(IF($A6="Other crops",1/12,INDEX(Parameters!$S$2:$AD$17,MATCH(Calculations!$A6,Parameters!$A$2:$A$17,0),MATCH(MONTH(Calculations!AI$3),Parameters!$S$2:$AD$2,0))),0)</f>
        <v>0</v>
      </c>
      <c r="AJ6" s="38"/>
      <c r="AK6" s="38"/>
    </row>
    <row r="7" spans="1:38" s="29" customFormat="1">
      <c r="A7" s="22" t="str">
        <f>Inputs!A9</f>
        <v>0</v>
      </c>
      <c r="B7" s="54" t="str">
        <f>IFERROR(IF(DATE(YEAR(TODAY()),VLOOKUP(VLOOKUP(A7,Inputs!$A$6:$G$10,MATCH(Inputs!$G$5,Inputs!$A$5:$H$5,0),0),Parameters!$C$53:$D$64,2,0),28)&gt;TODAY(),DATE(YEAR(TODAY()),VLOOKUP(VLOOKUP(A7,Inputs!$A$6:$G$10,MATCH(Inputs!$G$5,Inputs!$A$5:$H$5,0),0),Parameters!$C$53:$D$64,2,0),28),DATE(YEAR(TODAY())+1,VLOOKUP(VLOOKUP(A7,Inputs!$A$6:$G$10,MATCH(Inputs!$G$5,Inputs!$A$5:$H$5,0),0),Parameters!$C$53:$D$64,2,0),28)),"")</f>
        <v>0</v>
      </c>
      <c r="C7" s="54" t="str">
        <f>IFERROR(DATE(YEAR(B7),MONTH(B7)+ROUND(S7/2,0),DAY(B7)),B7)</f>
        <v>0</v>
      </c>
      <c r="D7" s="54" t="str">
        <f>IFERROR(DATE(YEAR(B7),MONTH(B7)+S7,DAY(B7)),"")</f>
        <v>0</v>
      </c>
      <c r="E7" s="54" t="str">
        <f>IF($R7=0,"",IF($R7=2,DATE(YEAR(B7),MONTH(B7)+6,DAY(B7)),IF($R7=1,B7,"")))</f>
        <v>0</v>
      </c>
      <c r="F7" s="54" t="str">
        <f>IF($R7=0,"",IF($R7=2,DATE(YEAR(C7),MONTH(C7)+6,DAY(C7)),IF($R7=1,C7,"")))</f>
        <v>0</v>
      </c>
      <c r="G7" s="54" t="str">
        <f>IF($R7=0,"",IF($R7=2,DATE(YEAR(D7),MONTH(D7)+6,DAY(D7)),IF($R7=1,D7,"")))</f>
        <v>0</v>
      </c>
      <c r="H7" s="22" t="str">
        <f>Inputs!B9</f>
        <v>0</v>
      </c>
      <c r="I7" s="22"/>
      <c r="J7" s="35" t="str">
        <f>IFERROR(Inputs!E9/Calculations!H7*50,"")</f>
        <v>0</v>
      </c>
      <c r="K7" s="35" t="str">
        <f>IFERROR(INDEX(Parameters!$A$3:$R$17,MATCH(Calculations!$A7,Parameters!$A$3:$A$17,0),MATCH(Parameters!$I$3,Parameters!$A$3:$R$3,0)),0)</f>
        <v>0</v>
      </c>
      <c r="L7" s="38" t="str">
        <f>IFERROR(IF(A7="Other crops",Inputs!$D$15/Calculations!H7,IF(Inputs!C9="yes",INDEX(Parameters!$A$3:$R$17,MATCH(Calculations!A7,Parameters!$A$3:$A$17,0),MATCH(Parameters!$H$3,Parameters!$A$3:$R$3,0)),1)*INDEX(Parameters!$A$3:$R$17,MATCH(Calculations!$A7,Parameters!$A$3:$A$17,0),MATCH(Parameters!$B$3,Parameters!$A$3:$R$3,0))*(1+IF(Inputs!D9="Yes",INDEX(Parameters!$A$3:$R$17,MATCH(Calculations!$A7,Parameters!$A$3:$A$17,0),MATCH(Parameters!$C$3,Parameters!$A$3:$R$3,0)),0))*(1+IF(Inputs!F9="Yes",INDEX(Parameters!$A$3:$R$17,MATCH(Calculations!$A7,Parameters!$A$3:$A$17,0),MATCH(Parameters!$F$3,Parameters!$A$3:$R$3,0)),0))*(1+IF(J7=0,0,IF(J7/K7&lt;0.5,INDEX(Parameters!$A$3:$R$17,MATCH(Calculations!$A7,Parameters!$A$3:$A$17,0),MATCH(Parameters!$D$3,Parameters!$A$3:$R$3,0)),IFERROR(INDEX(Parameters!$A$3:$R$17,MATCH(Calculations!$A7,Parameters!$A$3:$A$17,0),MATCH(Parameters!$E$3,Parameters!$A$3:$R$3,0)),0))))),0)</f>
        <v>0</v>
      </c>
      <c r="M7" s="38" t="str">
        <f>L7*H7</f>
        <v>0</v>
      </c>
      <c r="N7" s="30" t="str">
        <f>Inputs!H9</f>
        <v>0</v>
      </c>
      <c r="O7" s="38" t="str">
        <f>IFERROR(IF(A7="Other crops",Inputs!$D$16,INDEX(Parameters!$A$3:$R$17,MATCH(Calculations!$A7,Parameters!$A$3:$A$17,0),MATCH(Parameters!$O$3,Parameters!$A$3:$R$3,0))),0)</f>
        <v>0</v>
      </c>
      <c r="P7" s="30" t="str">
        <f>IFERROR(INDEX(Parameters!$A$3:$R$17,MATCH(Calculations!$A7,Parameters!$A$3:$A$17,0),MATCH($P$3,Parameters!$A$3:$R$3,0)),0)</f>
        <v>0</v>
      </c>
      <c r="Q7" s="42" t="str">
        <f>M7*O7*(1-N7)</f>
        <v>0</v>
      </c>
      <c r="R7" s="38" t="str">
        <f>IFERROR(INDEX(Parameters!$A$3:$R$17,MATCH(Calculations!$A7,Parameters!$A$3:$A$17,0),MATCH(Parameters!$R$3,Parameters!$A$3:$R$3,0)),0)</f>
        <v>0</v>
      </c>
      <c r="S7" s="38" t="str">
        <f>IFERROR(INDEX(Parameters!$A$3:$R$17,MATCH(Calculations!$A7,Parameters!$A$3:$A$17,0),MATCH(Parameters!$Q$3,Parameters!$A$3:$R$3,0)),"N/A")</f>
        <v>0</v>
      </c>
      <c r="T7" s="42" t="str">
        <f>IFERROR(IF(Inputs!D9="Yes",INDEX(Parameters!$A$3:$R$17,MATCH(Calculations!$A7,Parameters!$A$3:$A$17,0),MATCH(Parameters!$M$3,Parameters!$A$3:$R$3,0)),INDEX(Parameters!$A$3:$R$17,MATCH(Calculations!$A7,Parameters!$A$3:$A$17,0),MATCH(Parameters!$L$3,Parameters!$A$3:$R$3,0)))*INDEX(Parameters!$A$3:$R$17,MATCH(Calculations!$A7,Parameters!$A$3:$A$17,0),MATCH(Parameters!$J$3,Parameters!$A$3:$R$3,0))*Calculations!H7,0)</f>
        <v>0</v>
      </c>
      <c r="U7" s="42" t="str">
        <f>IFERROR(J7*H7*Parameters!$B$34,0)</f>
        <v>0</v>
      </c>
      <c r="V7" s="42" t="str">
        <f>IF(Inputs!F9="Yes",H7*Parameters!$B$35,0)</f>
        <v>0</v>
      </c>
      <c r="W7" s="42" t="str">
        <f>H7*IFERROR(INDEX(Parameters!$A$3:$AD$17,MATCH(Calculations!A7,Parameters!$A$3:$A$17,0),MATCH(Parameters!$N$3,Parameters!$A$3:$AD$3,0)),AVERAGE(Parameters!$N$4:$N$17))*(1-Inputs!$B$44)</f>
        <v>0</v>
      </c>
      <c r="X7" s="30" t="str">
        <f>IFERROR(IF($A7="Other crops",1/12,INDEX(Parameters!$S$2:$AD$17,MATCH(Calculations!$A7,Parameters!$A$2:$A$17,0),MATCH(MONTH(Calculations!X$3),Parameters!$S$2:$AD$2,0))),0)</f>
        <v>0</v>
      </c>
      <c r="Y7" s="30" t="str">
        <f>IFERROR(IF($A7="Other crops",1/12,INDEX(Parameters!$S$2:$AD$17,MATCH(Calculations!$A7,Parameters!$A$2:$A$17,0),MATCH(MONTH(Calculations!Y$3),Parameters!$S$2:$AD$2,0))),0)</f>
        <v>0</v>
      </c>
      <c r="Z7" s="30" t="str">
        <f>IFERROR(IF($A7="Other crops",1/12,INDEX(Parameters!$S$2:$AD$17,MATCH(Calculations!$A7,Parameters!$A$2:$A$17,0),MATCH(MONTH(Calculations!Z$3),Parameters!$S$2:$AD$2,0))),0)</f>
        <v>0</v>
      </c>
      <c r="AA7" s="30" t="str">
        <f>IFERROR(IF($A7="Other crops",1/12,INDEX(Parameters!$S$2:$AD$17,MATCH(Calculations!$A7,Parameters!$A$2:$A$17,0),MATCH(MONTH(Calculations!AA$3),Parameters!$S$2:$AD$2,0))),0)</f>
        <v>0</v>
      </c>
      <c r="AB7" s="30" t="str">
        <f>IFERROR(IF($A7="Other crops",1/12,INDEX(Parameters!$S$2:$AD$17,MATCH(Calculations!$A7,Parameters!$A$2:$A$17,0),MATCH(MONTH(Calculations!AB$3),Parameters!$S$2:$AD$2,0))),0)</f>
        <v>0</v>
      </c>
      <c r="AC7" s="30" t="str">
        <f>IFERROR(IF($A7="Other crops",1/12,INDEX(Parameters!$S$2:$AD$17,MATCH(Calculations!$A7,Parameters!$A$2:$A$17,0),MATCH(MONTH(Calculations!AC$3),Parameters!$S$2:$AD$2,0))),0)</f>
        <v>0</v>
      </c>
      <c r="AD7" s="30" t="str">
        <f>IFERROR(IF($A7="Other crops",1/12,INDEX(Parameters!$S$2:$AD$17,MATCH(Calculations!$A7,Parameters!$A$2:$A$17,0),MATCH(MONTH(Calculations!AD$3),Parameters!$S$2:$AD$2,0))),0)</f>
        <v>0</v>
      </c>
      <c r="AE7" s="30" t="str">
        <f>IFERROR(IF($A7="Other crops",1/12,INDEX(Parameters!$S$2:$AD$17,MATCH(Calculations!$A7,Parameters!$A$2:$A$17,0),MATCH(MONTH(Calculations!AE$3),Parameters!$S$2:$AD$2,0))),0)</f>
        <v>0</v>
      </c>
      <c r="AF7" s="30" t="str">
        <f>IFERROR(IF($A7="Other crops",1/12,INDEX(Parameters!$S$2:$AD$17,MATCH(Calculations!$A7,Parameters!$A$2:$A$17,0),MATCH(MONTH(Calculations!AF$3),Parameters!$S$2:$AD$2,0))),0)</f>
        <v>0</v>
      </c>
      <c r="AG7" s="30" t="str">
        <f>IFERROR(IF($A7="Other crops",1/12,INDEX(Parameters!$S$2:$AD$17,MATCH(Calculations!$A7,Parameters!$A$2:$A$17,0),MATCH(MONTH(Calculations!AG$3),Parameters!$S$2:$AD$2,0))),0)</f>
        <v>0</v>
      </c>
      <c r="AH7" s="30" t="str">
        <f>IFERROR(IF($A7="Other crops",1/12,INDEX(Parameters!$S$2:$AD$17,MATCH(Calculations!$A7,Parameters!$A$2:$A$17,0),MATCH(MONTH(Calculations!AH$3),Parameters!$S$2:$AD$2,0))),0)</f>
        <v>0</v>
      </c>
      <c r="AI7" s="30" t="str">
        <f>IFERROR(IF($A7="Other crops",1/12,INDEX(Parameters!$S$2:$AD$17,MATCH(Calculations!$A7,Parameters!$A$2:$A$17,0),MATCH(MONTH(Calculations!AI$3),Parameters!$S$2:$AD$2,0))),0)</f>
        <v>0</v>
      </c>
      <c r="AJ7" s="38"/>
      <c r="AK7" s="38"/>
    </row>
    <row r="8" spans="1:38" s="29" customFormat="1">
      <c r="A8" s="31" t="str">
        <f>Inputs!A10</f>
        <v>0</v>
      </c>
      <c r="B8" s="55" t="str">
        <f>IFERROR(IF(DATE(YEAR(TODAY()),VLOOKUP(VLOOKUP(A8,Inputs!$A$6:$G$10,MATCH(Inputs!$G$5,Inputs!$A$5:$H$5,0),0),Parameters!$C$53:$D$64,2,0),28)&gt;TODAY(),DATE(YEAR(TODAY()),VLOOKUP(VLOOKUP(A8,Inputs!$A$6:$G$10,MATCH(Inputs!$G$5,Inputs!$A$5:$H$5,0),0),Parameters!$C$53:$D$64,2,0),28),DATE(YEAR(TODAY())+1,VLOOKUP(VLOOKUP(A8,Inputs!$A$6:$G$10,MATCH(Inputs!$G$5,Inputs!$A$5:$H$5,0),0),Parameters!$C$53:$D$64,2,0),28)),"")</f>
        <v>0</v>
      </c>
      <c r="C8" s="55" t="str">
        <f>IFERROR(DATE(YEAR(B8),MONTH(B8)+ROUND(S8/2,0),DAY(B8)),B8)</f>
        <v>0</v>
      </c>
      <c r="D8" s="55" t="str">
        <f>IFERROR(DATE(YEAR(B8),MONTH(B8)+S8,DAY(B8)),"")</f>
        <v>0</v>
      </c>
      <c r="E8" s="55" t="str">
        <f>IF($R8=0,"",IF($R8=2,DATE(YEAR(B8),MONTH(B8)+6,DAY(B8)),IF($R8=1,B8,"")))</f>
        <v>0</v>
      </c>
      <c r="F8" s="55" t="str">
        <f>IF($R8=0,"",IF($R8=2,DATE(YEAR(C8),MONTH(C8)+6,DAY(C8)),IF($R8=1,C8,"")))</f>
        <v>0</v>
      </c>
      <c r="G8" s="55" t="str">
        <f>IF($R8=0,"",IF($R8=2,DATE(YEAR(D8),MONTH(D8)+6,DAY(D8)),IF($R8=1,D8,"")))</f>
        <v>0</v>
      </c>
      <c r="H8" s="31" t="str">
        <f>Inputs!B10</f>
        <v>0</v>
      </c>
      <c r="I8" s="31"/>
      <c r="J8" s="36" t="str">
        <f>IFERROR(Inputs!E10/Calculations!H8*50,"")</f>
        <v>0</v>
      </c>
      <c r="K8" s="36" t="str">
        <f>IFERROR(INDEX(Parameters!$A$3:$R$17,MATCH(Calculations!$A8,Parameters!$A$3:$A$17,0),MATCH(Parameters!$I$3,Parameters!$A$3:$R$3,0)),0)</f>
        <v>0</v>
      </c>
      <c r="L8" s="39" t="str">
        <f>IFERROR(IF(A8="Other crops",Inputs!$D$15/Calculations!H8,IF(Inputs!C10="yes",INDEX(Parameters!$A$3:$R$17,MATCH(Calculations!A8,Parameters!$A$3:$A$17,0),MATCH(Parameters!$H$3,Parameters!$A$3:$R$3,0)),1)*INDEX(Parameters!$A$3:$R$17,MATCH(Calculations!$A8,Parameters!$A$3:$A$17,0),MATCH(Parameters!$B$3,Parameters!$A$3:$R$3,0))*(1+IF(Inputs!D10="Yes",INDEX(Parameters!$A$3:$R$17,MATCH(Calculations!$A8,Parameters!$A$3:$A$17,0),MATCH(Parameters!$C$3,Parameters!$A$3:$R$3,0)),0))*(1+IF(Inputs!F10="Yes",INDEX(Parameters!$A$3:$R$17,MATCH(Calculations!$A8,Parameters!$A$3:$A$17,0),MATCH(Parameters!$F$3,Parameters!$A$3:$R$3,0)),0))*(1+IF(J8=0,0,IF(J8/K8&lt;0.5,INDEX(Parameters!$A$3:$R$17,MATCH(Calculations!$A8,Parameters!$A$3:$A$17,0),MATCH(Parameters!$D$3,Parameters!$A$3:$R$3,0)),IFERROR(INDEX(Parameters!$A$3:$R$17,MATCH(Calculations!$A8,Parameters!$A$3:$A$17,0),MATCH(Parameters!$E$3,Parameters!$A$3:$R$3,0)),0))))),0)</f>
        <v>0</v>
      </c>
      <c r="M8" s="39" t="str">
        <f>L8*H8</f>
        <v>0</v>
      </c>
      <c r="N8" s="32" t="str">
        <f>Inputs!H10</f>
        <v>0</v>
      </c>
      <c r="O8" s="39" t="str">
        <f>IFERROR(IF(A8="Other crops",Inputs!$D$16,INDEX(Parameters!$A$3:$R$17,MATCH(Calculations!$A8,Parameters!$A$3:$A$17,0),MATCH(Parameters!$O$3,Parameters!$A$3:$R$3,0))),0)</f>
        <v>0</v>
      </c>
      <c r="P8" s="32" t="str">
        <f>IFERROR(INDEX(Parameters!$A$3:$R$17,MATCH(Calculations!$A8,Parameters!$A$3:$A$17,0),MATCH($P$3,Parameters!$A$3:$R$3,0)),0)</f>
        <v>0</v>
      </c>
      <c r="Q8" s="43" t="str">
        <f>M8*O8*(1-N8)</f>
        <v>0</v>
      </c>
      <c r="R8" s="39" t="str">
        <f>IFERROR(INDEX(Parameters!$A$3:$R$17,MATCH(Calculations!$A8,Parameters!$A$3:$A$17,0),MATCH(Parameters!$R$3,Parameters!$A$3:$R$3,0)),0)</f>
        <v>0</v>
      </c>
      <c r="S8" s="39" t="str">
        <f>IFERROR(INDEX(Parameters!$A$3:$R$17,MATCH(Calculations!$A8,Parameters!$A$3:$A$17,0),MATCH(Parameters!$Q$3,Parameters!$A$3:$R$3,0)),"N/A")</f>
        <v>0</v>
      </c>
      <c r="T8" s="43" t="str">
        <f>IFERROR(IF(Inputs!D10="Yes",INDEX(Parameters!$A$3:$R$17,MATCH(Calculations!$A8,Parameters!$A$3:$A$17,0),MATCH(Parameters!$M$3,Parameters!$A$3:$R$3,0)),INDEX(Parameters!$A$3:$R$17,MATCH(Calculations!$A8,Parameters!$A$3:$A$17,0),MATCH(Parameters!$L$3,Parameters!$A$3:$R$3,0)))*INDEX(Parameters!$A$3:$R$17,MATCH(Calculations!$A8,Parameters!$A$3:$A$17,0),MATCH(Parameters!$J$3,Parameters!$A$3:$R$3,0))*Calculations!H8,0)</f>
        <v>0</v>
      </c>
      <c r="U8" s="43" t="str">
        <f>IFERROR(J8*H8*Parameters!$B$34,0)</f>
        <v>0</v>
      </c>
      <c r="V8" s="43" t="str">
        <f>IF(Inputs!F10="Yes",H8*Parameters!$B$35,0)</f>
        <v>0</v>
      </c>
      <c r="W8" s="43" t="str">
        <f>H8*IFERROR(INDEX(Parameters!$A$3:$AD$17,MATCH(Calculations!A8,Parameters!$A$3:$A$17,0),MATCH(Parameters!$N$3,Parameters!$A$3:$AD$3,0)),AVERAGE(Parameters!$N$4:$N$17))*(1-Inputs!$B$44)</f>
        <v>0</v>
      </c>
      <c r="X8" s="32" t="str">
        <f>IFERROR(IF($A8="Other crops",1/12,INDEX(Parameters!$S$2:$AD$17,MATCH(Calculations!$A8,Parameters!$A$2:$A$17,0),MATCH(MONTH(Calculations!X$3),Parameters!$S$2:$AD$2,0))),0)</f>
        <v>0</v>
      </c>
      <c r="Y8" s="32" t="str">
        <f>IFERROR(IF($A8="Other crops",1/12,INDEX(Parameters!$S$2:$AD$17,MATCH(Calculations!$A8,Parameters!$A$2:$A$17,0),MATCH(MONTH(Calculations!Y$3),Parameters!$S$2:$AD$2,0))),0)</f>
        <v>0</v>
      </c>
      <c r="Z8" s="32" t="str">
        <f>IFERROR(IF($A8="Other crops",1/12,INDEX(Parameters!$S$2:$AD$17,MATCH(Calculations!$A8,Parameters!$A$2:$A$17,0),MATCH(MONTH(Calculations!Z$3),Parameters!$S$2:$AD$2,0))),0)</f>
        <v>0</v>
      </c>
      <c r="AA8" s="32" t="str">
        <f>IFERROR(IF($A8="Other crops",1/12,INDEX(Parameters!$S$2:$AD$17,MATCH(Calculations!$A8,Parameters!$A$2:$A$17,0),MATCH(MONTH(Calculations!AA$3),Parameters!$S$2:$AD$2,0))),0)</f>
        <v>0</v>
      </c>
      <c r="AB8" s="32" t="str">
        <f>IFERROR(IF($A8="Other crops",1/12,INDEX(Parameters!$S$2:$AD$17,MATCH(Calculations!$A8,Parameters!$A$2:$A$17,0),MATCH(MONTH(Calculations!AB$3),Parameters!$S$2:$AD$2,0))),0)</f>
        <v>0</v>
      </c>
      <c r="AC8" s="32" t="str">
        <f>IFERROR(IF($A8="Other crops",1/12,INDEX(Parameters!$S$2:$AD$17,MATCH(Calculations!$A8,Parameters!$A$2:$A$17,0),MATCH(MONTH(Calculations!AC$3),Parameters!$S$2:$AD$2,0))),0)</f>
        <v>0</v>
      </c>
      <c r="AD8" s="32" t="str">
        <f>IFERROR(IF($A8="Other crops",1/12,INDEX(Parameters!$S$2:$AD$17,MATCH(Calculations!$A8,Parameters!$A$2:$A$17,0),MATCH(MONTH(Calculations!AD$3),Parameters!$S$2:$AD$2,0))),0)</f>
        <v>0</v>
      </c>
      <c r="AE8" s="32" t="str">
        <f>IFERROR(IF($A8="Other crops",1/12,INDEX(Parameters!$S$2:$AD$17,MATCH(Calculations!$A8,Parameters!$A$2:$A$17,0),MATCH(MONTH(Calculations!AE$3),Parameters!$S$2:$AD$2,0))),0)</f>
        <v>0</v>
      </c>
      <c r="AF8" s="32" t="str">
        <f>IFERROR(IF($A8="Other crops",1/12,INDEX(Parameters!$S$2:$AD$17,MATCH(Calculations!$A8,Parameters!$A$2:$A$17,0),MATCH(MONTH(Calculations!AF$3),Parameters!$S$2:$AD$2,0))),0)</f>
        <v>0</v>
      </c>
      <c r="AG8" s="32" t="str">
        <f>IFERROR(IF($A8="Other crops",1/12,INDEX(Parameters!$S$2:$AD$17,MATCH(Calculations!$A8,Parameters!$A$2:$A$17,0),MATCH(MONTH(Calculations!AG$3),Parameters!$S$2:$AD$2,0))),0)</f>
        <v>0</v>
      </c>
      <c r="AH8" s="32" t="str">
        <f>IFERROR(IF($A8="Other crops",1/12,INDEX(Parameters!$S$2:$AD$17,MATCH(Calculations!$A8,Parameters!$A$2:$A$17,0),MATCH(MONTH(Calculations!AH$3),Parameters!$S$2:$AD$2,0))),0)</f>
        <v>0</v>
      </c>
      <c r="AI8" s="32" t="str">
        <f>IFERROR(IF($A8="Other crops",1/12,INDEX(Parameters!$S$2:$AD$17,MATCH(Calculations!$A8,Parameters!$A$2:$A$17,0),MATCH(MONTH(Calculations!AI$3),Parameters!$S$2:$AD$2,0))),0)</f>
        <v>0</v>
      </c>
      <c r="AJ8" s="39"/>
      <c r="AK8" s="39"/>
    </row>
    <row r="11" spans="1:38">
      <c r="A11" s="4" t="s">
        <v>36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5"/>
    </row>
    <row r="13" spans="1:38" customHeight="1" ht="45">
      <c r="A13" s="21" t="s">
        <v>68</v>
      </c>
      <c r="B13" s="21" t="s">
        <v>18</v>
      </c>
      <c r="C13" s="21" t="s">
        <v>136</v>
      </c>
      <c r="D13" s="21" t="s">
        <v>137</v>
      </c>
      <c r="E13" s="21" t="s">
        <v>138</v>
      </c>
      <c r="F13" s="21" t="str">
        <f>IFERROR(INDEX(Parameters!$A$22:$N$28,MATCH(Calculations!$A13,Parameters!$A$22:$A$28,0),MATCH(Parameters!$J$22,Parameters!$A$22:$N$22,0)),"")</f>
        <v>0</v>
      </c>
      <c r="G13" s="21" t="s">
        <v>139</v>
      </c>
      <c r="H13" s="21" t="s">
        <v>140</v>
      </c>
      <c r="I13" s="106" t="s">
        <v>141</v>
      </c>
      <c r="J13" s="106" t="s">
        <v>17</v>
      </c>
      <c r="K13" s="106" t="s">
        <v>142</v>
      </c>
      <c r="L13" s="106" t="s">
        <v>143</v>
      </c>
      <c r="M13" s="106" t="s">
        <v>144</v>
      </c>
    </row>
    <row r="14" spans="1:38">
      <c r="A14" s="28" t="str">
        <f>IFERROR(LEFT(C14,FIND(":",C14)-1),C14)</f>
        <v>0</v>
      </c>
      <c r="B14" s="28" t="s">
        <v>145</v>
      </c>
      <c r="C14" s="28" t="str">
        <f>IF(Inputs!A23=Parameters!$A$29,Inputs!$D$29,Inputs!A23&amp;": meat")</f>
        <v>0</v>
      </c>
      <c r="D14" t="str">
        <f>IFERROR(INDEX(Parameters!$A$22:$N$28,MATCH(Calculations!$A14,Parameters!$A$22:$A$28,0),MATCH(Parameters!$N$22,Parameters!$A$22:$N$22,0)),"")</f>
        <v>0</v>
      </c>
      <c r="E14" t="str">
        <f>IFERROR(INDEX(Parameters!$A$22:$N$28,MATCH(Calculations!$A14,Parameters!$A$22:$A$28,0),MATCH(Parameters!$H$22,Parameters!$A$22:$N$22,0)),"")</f>
        <v>0</v>
      </c>
      <c r="F14" s="34" t="str">
        <f>IFERROR(INDEX(Parameters!$A$22:$N$28,MATCH(Calculations!$A14,Parameters!$A$22:$A$28,0),MATCH(Parameters!$J$22,Parameters!$A$22:$N$22,0)),"")</f>
        <v>0</v>
      </c>
      <c r="G14" s="34"/>
      <c r="H14" s="34"/>
      <c r="I14" s="107" t="str">
        <f>IFERROR(IF(OR(A14=Parameters!$A$24,A14=Parameters!$A$25),IF(Inputs!D23="Yes",Parameters!$B$43,Parameters!$B$44),INDEX(Parameters!$B$45:$B$48,MATCH(Calculations!A14,Parameters!$A$45:$A$48,0))),0)</f>
        <v>0</v>
      </c>
      <c r="J14" s="107" t="str">
        <f>IFERROR(Inputs!B23*12/Calculations!D14*Calculations!E14*Calculations!F14*(1-Inputs!G23),Inputs!$D$30*Inputs!$D$31)</f>
        <v>0</v>
      </c>
      <c r="K14" s="107" t="str">
        <f>IFERROR(Inputs!B23*INDEX(Parameters!$A$22:$N$28,MATCH(Calculations!$A14,Parameters!$A$22:$A$28,0),MATCH(Parameters!$K$22,Parameters!$A$22:$N$22,0))*IF(Inputs!E23="Always",1,IF(Inputs!E23="Sometimes",0.5,0))*365,"")</f>
        <v>0</v>
      </c>
      <c r="L14" s="107" t="str">
        <f>IFERROR(Inputs!B23*INDEX(Parameters!$A$22:$N$28,MATCH(Calculations!$A14,Parameters!$A$22:$A$28,0),MATCH(Parameters!$L$22,Parameters!$A$22:$N$22,0)),"")</f>
        <v>0</v>
      </c>
      <c r="M14" s="107" t="str">
        <f>IFERROR(Inputs!B23*INDEX(Parameters!$A$22:$N$28,MATCH(Calculations!$A14,Parameters!$A$22:$A$28,0),MATCH(Parameters!$M$22,Parameters!$A$22:$N$22,0)),"")</f>
        <v>0</v>
      </c>
    </row>
    <row r="15" spans="1:38">
      <c r="A15" s="22" t="str">
        <f>IFERROR(LEFT(C15,FIND(":",C15)-1),C15)</f>
        <v>0</v>
      </c>
      <c r="B15" s="22" t="s">
        <v>145</v>
      </c>
      <c r="C15" s="22" t="str">
        <f>IF(Inputs!A24=Parameters!$A$29,Inputs!$D$29,Inputs!A24&amp;": meat")</f>
        <v>0</v>
      </c>
      <c r="D15" t="str">
        <f>IFERROR(INDEX(Parameters!$A$22:$N$28,MATCH(Calculations!$A15,Parameters!$A$22:$A$28,0),MATCH(Parameters!$N$22,Parameters!$A$22:$N$22,0)),"")</f>
        <v>0</v>
      </c>
      <c r="E15" s="35" t="str">
        <f>IFERROR(INDEX(Parameters!$A$22:$N$28,MATCH(Calculations!$A15,Parameters!$A$22:$A$28,0),MATCH(Parameters!$H$22,Parameters!$A$22:$N$22,0)),"")</f>
        <v>0</v>
      </c>
      <c r="F15" s="35" t="str">
        <f>IFERROR(INDEX(Parameters!$A$22:$N$28,MATCH(Calculations!$A15,Parameters!$A$22:$A$28,0),MATCH(Parameters!$J$22,Parameters!$A$22:$N$22,0)),"")</f>
        <v>0</v>
      </c>
      <c r="G15" s="35"/>
      <c r="H15" s="35"/>
      <c r="I15" s="108" t="str">
        <f>IFERROR(IF(OR(A15=Parameters!$A$24,A15=Parameters!$A$25),IF(Inputs!D24="Yes",Parameters!$B$43,Parameters!$B$44),INDEX(Parameters!$B$45:$B$48,MATCH(Calculations!A15,Parameters!$A$45:$A$48,0))),0)</f>
        <v>0</v>
      </c>
      <c r="J15" s="108" t="str">
        <f>IFERROR(Inputs!B24*12/Calculations!D15*Calculations!E15*Calculations!F15*(1-Inputs!G24),Inputs!$D$30*Inputs!$D$31)</f>
        <v>0</v>
      </c>
      <c r="K15" s="108" t="str">
        <f>IFERROR(Inputs!B24*INDEX(Parameters!$A$22:$N$28,MATCH(Calculations!$A15,Parameters!$A$22:$A$28,0),MATCH(Parameters!$K$22,Parameters!$A$22:$N$22,0))*IF(Inputs!E24="Always",1,IF(Inputs!E24="Sometimes",0.5,0))*365,"")</f>
        <v>0</v>
      </c>
      <c r="L15" s="108" t="str">
        <f>IFERROR(Inputs!B24*INDEX(Parameters!$A$22:$N$28,MATCH(Calculations!$A15,Parameters!$A$22:$A$28,0),MATCH(Parameters!$L$22,Parameters!$A$22:$N$22,0)),"")</f>
        <v>0</v>
      </c>
      <c r="M15" s="108" t="str">
        <f>IFERROR(Inputs!B24*INDEX(Parameters!$A$22:$N$28,MATCH(Calculations!$A15,Parameters!$A$22:$A$28,0),MATCH(Parameters!$M$22,Parameters!$A$22:$N$22,0)),"")</f>
        <v>0</v>
      </c>
    </row>
    <row r="16" spans="1:38">
      <c r="A16" s="22" t="str">
        <f>IFERROR(LEFT(C16,FIND(":",C16)-1),C16)</f>
        <v>0</v>
      </c>
      <c r="B16" s="22" t="s">
        <v>145</v>
      </c>
      <c r="C16" s="22" t="str">
        <f>IF(Inputs!A25=Parameters!$A$29,Inputs!$D$29,Inputs!A25&amp;": meat")</f>
        <v>0</v>
      </c>
      <c r="D16" t="str">
        <f>IFERROR(INDEX(Parameters!$A$22:$N$28,MATCH(Calculations!$A16,Parameters!$A$22:$A$28,0),MATCH(Parameters!$N$22,Parameters!$A$22:$N$22,0)),"")</f>
        <v>0</v>
      </c>
      <c r="E16" s="35" t="str">
        <f>IFERROR(INDEX(Parameters!$A$22:$N$28,MATCH(Calculations!$A16,Parameters!$A$22:$A$28,0),MATCH(Parameters!$H$22,Parameters!$A$22:$N$22,0)),"")</f>
        <v>0</v>
      </c>
      <c r="F16" s="35" t="str">
        <f>IFERROR(INDEX(Parameters!$A$22:$N$28,MATCH(Calculations!$A16,Parameters!$A$22:$A$28,0),MATCH(Parameters!$J$22,Parameters!$A$22:$N$22,0)),"")</f>
        <v>0</v>
      </c>
      <c r="G16" s="35"/>
      <c r="H16" s="35"/>
      <c r="I16" s="108" t="str">
        <f>IFERROR(IF(OR(A16=Parameters!$A$24,A16=Parameters!$A$25),IF(Inputs!D25="Yes",Parameters!$B$43,Parameters!$B$44),INDEX(Parameters!$B$45:$B$48,MATCH(Calculations!A16,Parameters!$A$45:$A$48,0))),0)</f>
        <v>0</v>
      </c>
      <c r="J16" s="108" t="str">
        <f>IFERROR(Inputs!B25*12/Calculations!D16*Calculations!E16*Calculations!F16*(1-Inputs!G25),Inputs!$D$30*Inputs!$D$31)</f>
        <v>0</v>
      </c>
      <c r="K16" s="108" t="str">
        <f>IFERROR(Inputs!B25*INDEX(Parameters!$A$22:$N$28,MATCH(Calculations!$A16,Parameters!$A$22:$A$28,0),MATCH(Parameters!$K$22,Parameters!$A$22:$N$22,0))*IF(Inputs!E25="Always",1,IF(Inputs!E25="Sometimes",0.5,0))*365,"")</f>
        <v>0</v>
      </c>
      <c r="L16" s="108" t="str">
        <f>IFERROR(Inputs!B25*INDEX(Parameters!$A$22:$N$28,MATCH(Calculations!$A16,Parameters!$A$22:$A$28,0),MATCH(Parameters!$L$22,Parameters!$A$22:$N$22,0)),"")</f>
        <v>0</v>
      </c>
      <c r="M16" s="108" t="str">
        <f>IFERROR(Inputs!B25*INDEX(Parameters!$A$22:$N$28,MATCH(Calculations!$A16,Parameters!$A$22:$A$28,0),MATCH(Parameters!$M$22,Parameters!$A$22:$N$22,0)),"")</f>
        <v>0</v>
      </c>
    </row>
    <row r="17" spans="1:38">
      <c r="A17" s="22" t="str">
        <f>IFERROR(LEFT(C17,FIND(":",C17)-1),C17)</f>
        <v>0</v>
      </c>
      <c r="B17" s="22" t="s">
        <v>146</v>
      </c>
      <c r="C17" s="22" t="str">
        <f>IF(INDEX(Parameters!$A$22:$N$29,MATCH(Inputs!A23,Parameters!$A$22:$A$29,0),MATCH(Parameters!$B$22,Parameters!$A$22:$N$22,0))&lt;&gt;"N/A",Inputs!A23&amp;": "&amp;INDEX(Parameters!$A$22:$N$29,MATCH(Inputs!A23,Parameters!$A$22:$A$29,0),MATCH(Parameters!$B$22,Parameters!$A$22:$N$22,0)),"")</f>
        <v>0</v>
      </c>
      <c r="D17" s="35"/>
      <c r="E17" s="35"/>
      <c r="F17" s="35"/>
      <c r="G17" s="35" t="str">
        <f>IFERROR(INDEX(Parameters!$A$22:$N$28,MATCH(Calculations!$A17,Parameters!$A$22:$A$28,0),MATCH(Parameters!$D$22,Parameters!$A$22:$N$22,0))*(1+IF(Inputs!E23="Always",INDEX(Parameters!$A$22:$N$28,MATCH(Calculations!$A17,Parameters!$A$22:$A$28,0),MATCH(Parameters!$F$22,Parameters!$A$22:$N$22,0)),IF(Inputs!E23="Sometimes",INDEX(Parameters!$A$22:$N$28,MATCH(Calculations!$A17,Parameters!$A$22:$A$28,0),MATCH(Parameters!$E$22,Parameters!$A$22:$N$22,0)),0)))*(1+IF(Inputs!D23="Yes",INDEX(Parameters!$A$22:$N$28,MATCH(Calculations!$A17,Parameters!$A$22:$A$28,0),MATCH(Parameters!$G$22,Parameters!$A$22:$N$22,0)),0)),"")</f>
        <v>0</v>
      </c>
      <c r="H17" s="35" t="str">
        <f>IFERROR(INDEX(Parameters!$A$22:$N$28,MATCH(Calculations!$A17,Parameters!$A$22:$A$28,0),MATCH(Parameters!$I$22,Parameters!$A$22:$N$22,0)),"")</f>
        <v>0</v>
      </c>
      <c r="I17" s="108"/>
      <c r="J17" s="108" t="str">
        <f>IFERROR(Inputs!C23*Calculations!G17*Calculations!H17*(1-Inputs!F23)*365,"")</f>
        <v>0</v>
      </c>
      <c r="K17" s="108"/>
      <c r="L17" s="108"/>
      <c r="M17" s="108"/>
    </row>
    <row r="18" spans="1:38">
      <c r="A18" s="58" t="str">
        <f>IFERROR(LEFT(C18,FIND(":",C18)-1),C18)</f>
        <v>0</v>
      </c>
      <c r="B18" s="58" t="s">
        <v>146</v>
      </c>
      <c r="C18" s="58" t="str">
        <f>IF(INDEX(Parameters!$A$22:$N$29,MATCH(Inputs!A24,Parameters!$A$22:$A$29,0),MATCH(Parameters!$B$22,Parameters!$A$22:$N$22,0))&lt;&gt;"N/A",Inputs!A24&amp;": "&amp;INDEX(Parameters!$A$22:$N$29,MATCH(Inputs!A24,Parameters!$A$22:$A$29,0),MATCH(Parameters!$B$22,Parameters!$A$22:$N$22,0)),"")</f>
        <v>0</v>
      </c>
      <c r="D18" s="75"/>
      <c r="E18" s="75"/>
      <c r="F18" s="75"/>
      <c r="G18" s="75" t="str">
        <f>IFERROR(INDEX(Parameters!$A$22:$N$28,MATCH(Calculations!$A18,Parameters!$A$22:$A$28,0),MATCH(Parameters!$D$22,Parameters!$A$22:$N$22,0))*(1+IF(Inputs!E24="Always",INDEX(Parameters!$A$22:$N$28,MATCH(Calculations!$A18,Parameters!$A$22:$A$28,0),MATCH(Parameters!$F$22,Parameters!$A$22:$N$22,0)),IF(Inputs!E24="Sometimes",INDEX(Parameters!$A$22:$N$28,MATCH(Calculations!$A18,Parameters!$A$22:$A$28,0),MATCH(Parameters!$E$22,Parameters!$A$22:$N$22,0)),0)))*(1+IF(Inputs!D24="Yes",INDEX(Parameters!$A$22:$N$28,MATCH(Calculations!$A18,Parameters!$A$22:$A$28,0),MATCH(Parameters!$G$22,Parameters!$A$22:$N$22,0)),0)),"")</f>
        <v>0</v>
      </c>
      <c r="H18" s="75" t="str">
        <f>IFERROR(INDEX(Parameters!$A$22:$N$28,MATCH(Calculations!$A18,Parameters!$A$22:$A$28,0),MATCH(Parameters!$I$22,Parameters!$A$22:$N$22,0)),"")</f>
        <v>0</v>
      </c>
      <c r="I18" s="108"/>
      <c r="J18" s="108" t="str">
        <f>IFERROR(Inputs!C24*Calculations!G18*Calculations!H18*(1-Inputs!F24)*365,"")</f>
        <v>0</v>
      </c>
      <c r="K18" s="108"/>
      <c r="L18" s="108"/>
      <c r="M18" s="108"/>
    </row>
    <row r="19" spans="1:38">
      <c r="A19" s="7" t="str">
        <f>IFERROR(LEFT(C19,FIND(":",C19)-1),C19)</f>
        <v>0</v>
      </c>
      <c r="B19" s="7" t="s">
        <v>146</v>
      </c>
      <c r="C19" s="7" t="str">
        <f>IF(INDEX(Parameters!$A$22:$N$29,MATCH(Inputs!A25,Parameters!$A$22:$A$29,0),MATCH(Parameters!$B$22,Parameters!$A$22:$N$22,0))&lt;&gt;"N/A",Inputs!A25&amp;": "&amp;INDEX(Parameters!$A$22:$N$29,MATCH(Inputs!A25,Parameters!$A$22:$A$29,0),MATCH(Parameters!$B$22,Parameters!$A$22:$N$22,0)),"")</f>
        <v>0</v>
      </c>
      <c r="D19" s="104"/>
      <c r="E19" s="104"/>
      <c r="F19" s="104"/>
      <c r="G19" s="104" t="str">
        <f>IFERROR(INDEX(Parameters!$A$22:$N$28,MATCH(Calculations!$A19,Parameters!$A$22:$A$28,0),MATCH(Parameters!$D$22,Parameters!$A$22:$N$22,0))*(1+IF(Inputs!E25="Always",INDEX(Parameters!$A$22:$N$28,MATCH(Calculations!$A19,Parameters!$A$22:$A$28,0),MATCH(Parameters!$F$22,Parameters!$A$22:$N$22,0)),IF(Inputs!E25="Sometimes",INDEX(Parameters!$A$22:$N$28,MATCH(Calculations!$A19,Parameters!$A$22:$A$28,0),MATCH(Parameters!$E$22,Parameters!$A$22:$N$22,0)),0)))*(1+IF(Inputs!D25="Yes",INDEX(Parameters!$A$22:$N$28,MATCH(Calculations!$A19,Parameters!$A$22:$A$28,0),MATCH(Parameters!$G$22,Parameters!$A$22:$N$22,0)),0)),"")</f>
        <v>0</v>
      </c>
      <c r="H19" s="104" t="str">
        <f>IFERROR(INDEX(Parameters!$A$22:$N$28,MATCH(Calculations!$A19,Parameters!$A$22:$A$28,0),MATCH(Parameters!$I$22,Parameters!$A$22:$N$22,0)),"")</f>
        <v>0</v>
      </c>
      <c r="I19" s="109"/>
      <c r="J19" s="109" t="str">
        <f>IFERROR(Inputs!C25*Calculations!G19*Calculations!H19*(1-Inputs!F25)*365,"")</f>
        <v>0</v>
      </c>
      <c r="K19" s="109"/>
      <c r="L19" s="109"/>
      <c r="M19" s="10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8"/>
  <sheetViews>
    <sheetView tabSelected="0" workbookViewId="0" zoomScale="90" zoomScaleNormal="90" showGridLines="false" showRowColHeaders="1">
      <pane xSplit="13" topLeftCell="N1" activePane="topRight" state="frozen"/>
      <selection pane="topRight" activeCell="A22" sqref="A22"/>
    </sheetView>
  </sheetViews>
  <sheetFormatPr defaultRowHeight="14.4" outlineLevelRow="0" outlineLevelCol="0"/>
  <cols>
    <col min="1" max="1" width="27.85546875" customWidth="true" style="0"/>
    <col min="2" max="2" width="18" customWidth="true" style="15"/>
    <col min="3" max="3" width="21" customWidth="true" style="15"/>
    <col min="4" max="4" width="18" customWidth="true" style="15"/>
    <col min="5" max="5" width="18" customWidth="true" style="15"/>
    <col min="6" max="6" width="19.42578125" customWidth="true" style="15"/>
    <col min="7" max="7" width="18" customWidth="true" style="15"/>
    <col min="8" max="8" width="18" customWidth="true" style="15"/>
    <col min="9" max="9" width="19.85546875" customWidth="true" style="15"/>
    <col min="10" max="10" width="18" customWidth="true" style="15"/>
    <col min="11" max="11" width="18" customWidth="true" style="15"/>
    <col min="12" max="12" width="18" customWidth="true" style="15"/>
    <col min="13" max="13" width="18" customWidth="true" style="15"/>
    <col min="14" max="14" width="16" customWidth="true" style="15"/>
    <col min="15" max="15" width="18" customWidth="true" style="15"/>
    <col min="16" max="16" width="18" customWidth="true" style="15"/>
    <col min="17" max="17" width="18" customWidth="true" style="15"/>
    <col min="18" max="18" width="18" customWidth="true" style="15"/>
    <col min="19" max="19" width="7.140625" customWidth="true" style="15"/>
    <col min="20" max="20" width="7.140625" customWidth="true" style="15"/>
    <col min="21" max="21" width="7.140625" customWidth="true" style="15"/>
    <col min="22" max="22" width="7.140625" customWidth="true" style="15"/>
    <col min="23" max="23" width="7.140625" customWidth="true" style="15"/>
    <col min="24" max="24" width="7.140625" customWidth="true" style="15"/>
    <col min="25" max="25" width="7.140625" customWidth="true" style="15"/>
    <col min="26" max="26" width="7.140625" customWidth="true" style="15"/>
    <col min="27" max="27" width="7.140625" customWidth="true" style="15"/>
    <col min="28" max="28" width="7.140625" customWidth="true" style="15"/>
    <col min="29" max="29" width="7.140625" customWidth="true" style="15"/>
    <col min="30" max="30" width="7.140625" customWidth="true" style="15"/>
  </cols>
  <sheetData>
    <row r="1" spans="1:31">
      <c r="A1" s="4" t="s">
        <v>47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</row>
    <row r="2" spans="1:31">
      <c r="A2" s="7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>
        <v>1</v>
      </c>
      <c r="T2" s="16">
        <v>2</v>
      </c>
      <c r="U2" s="16">
        <v>3</v>
      </c>
      <c r="V2" s="16">
        <v>4</v>
      </c>
      <c r="W2" s="16">
        <v>5</v>
      </c>
      <c r="X2" s="16">
        <v>6</v>
      </c>
      <c r="Y2" s="16">
        <v>7</v>
      </c>
      <c r="Z2" s="16">
        <v>8</v>
      </c>
      <c r="AA2" s="16">
        <v>9</v>
      </c>
      <c r="AB2" s="16">
        <v>10</v>
      </c>
      <c r="AC2" s="16">
        <v>11</v>
      </c>
      <c r="AD2" s="16">
        <v>12</v>
      </c>
    </row>
    <row r="3" spans="1:31" customHeight="1" ht="30">
      <c r="A3" s="11" t="s">
        <v>49</v>
      </c>
      <c r="B3" s="13" t="s">
        <v>147</v>
      </c>
      <c r="C3" s="13" t="s">
        <v>148</v>
      </c>
      <c r="D3" s="13" t="s">
        <v>149</v>
      </c>
      <c r="E3" s="13" t="s">
        <v>150</v>
      </c>
      <c r="F3" s="13" t="s">
        <v>151</v>
      </c>
      <c r="G3" s="13" t="s">
        <v>152</v>
      </c>
      <c r="H3" s="13" t="s">
        <v>153</v>
      </c>
      <c r="I3" s="13" t="s">
        <v>154</v>
      </c>
      <c r="J3" s="13" t="s">
        <v>155</v>
      </c>
      <c r="K3" s="13" t="s">
        <v>156</v>
      </c>
      <c r="L3" s="13" t="s">
        <v>157</v>
      </c>
      <c r="M3" s="13" t="s">
        <v>158</v>
      </c>
      <c r="N3" s="13" t="s">
        <v>159</v>
      </c>
      <c r="O3" s="13" t="s">
        <v>160</v>
      </c>
      <c r="P3" s="13" t="s">
        <v>129</v>
      </c>
      <c r="Q3" s="13" t="s">
        <v>161</v>
      </c>
      <c r="R3" s="13" t="s">
        <v>130</v>
      </c>
      <c r="S3" s="13" t="s">
        <v>162</v>
      </c>
      <c r="T3" s="13" t="s">
        <v>163</v>
      </c>
      <c r="U3" s="13" t="s">
        <v>164</v>
      </c>
      <c r="V3" s="13" t="s">
        <v>165</v>
      </c>
      <c r="W3" s="13" t="s">
        <v>166</v>
      </c>
      <c r="X3" s="13" t="s">
        <v>167</v>
      </c>
      <c r="Y3" s="13" t="s">
        <v>168</v>
      </c>
      <c r="Z3" s="13" t="s">
        <v>169</v>
      </c>
      <c r="AA3" s="13" t="s">
        <v>170</v>
      </c>
      <c r="AB3" s="13" t="s">
        <v>171</v>
      </c>
      <c r="AC3" s="13" t="s">
        <v>172</v>
      </c>
      <c r="AD3" s="13" t="s">
        <v>173</v>
      </c>
    </row>
    <row r="4" spans="1:31">
      <c r="A4" t="s">
        <v>58</v>
      </c>
      <c r="B4" s="9">
        <v>6675.86164</v>
      </c>
      <c r="C4" s="46">
        <v>0</v>
      </c>
      <c r="D4" s="48">
        <v>0.1</v>
      </c>
      <c r="E4" s="48" t="str">
        <f>D4*1.5</f>
        <v>0</v>
      </c>
      <c r="F4" s="48">
        <v>0</v>
      </c>
      <c r="G4" s="9" t="str">
        <f>B4*(1+C4)*(1+E4)*(1+F4)</f>
        <v>0</v>
      </c>
      <c r="H4" s="48">
        <v>0.8</v>
      </c>
      <c r="I4" s="50">
        <v>100</v>
      </c>
      <c r="J4" s="9">
        <v>0</v>
      </c>
      <c r="K4" s="9" t="s">
        <v>174</v>
      </c>
      <c r="L4" s="50">
        <v>0</v>
      </c>
      <c r="M4" s="50">
        <v>0</v>
      </c>
      <c r="N4" s="50">
        <v>30000</v>
      </c>
      <c r="O4" s="9">
        <v>39.3368</v>
      </c>
      <c r="P4" s="48">
        <v>0</v>
      </c>
      <c r="Q4" s="9" t="s">
        <v>174</v>
      </c>
      <c r="R4" s="15" t="str">
        <f>IF(Q4&lt;=6,2,IF(Q4="N/A",0,1))</f>
        <v>0</v>
      </c>
      <c r="S4" s="48" t="str">
        <f>1/12</f>
        <v>0</v>
      </c>
      <c r="T4" s="48" t="str">
        <f>1/12</f>
        <v>0</v>
      </c>
      <c r="U4" s="48" t="str">
        <f>1/12</f>
        <v>0</v>
      </c>
      <c r="V4" s="48" t="str">
        <f>1/12</f>
        <v>0</v>
      </c>
      <c r="W4" s="48" t="str">
        <f>1/12</f>
        <v>0</v>
      </c>
      <c r="X4" s="48" t="str">
        <f>1/12</f>
        <v>0</v>
      </c>
      <c r="Y4" s="48" t="str">
        <f>1/12</f>
        <v>0</v>
      </c>
      <c r="Z4" s="48" t="str">
        <f>1/12</f>
        <v>0</v>
      </c>
      <c r="AA4" s="48" t="str">
        <f>1/12</f>
        <v>0</v>
      </c>
      <c r="AB4" s="48" t="str">
        <f>1/12</f>
        <v>0</v>
      </c>
      <c r="AC4" s="48" t="str">
        <f>1/12</f>
        <v>0</v>
      </c>
      <c r="AD4" s="48" t="str">
        <f>1/12</f>
        <v>0</v>
      </c>
    </row>
    <row r="5" spans="1:31">
      <c r="A5" s="58" t="s">
        <v>175</v>
      </c>
      <c r="B5" s="86">
        <v>154.59262</v>
      </c>
      <c r="C5" s="87">
        <v>0.2</v>
      </c>
      <c r="D5" s="88">
        <v>0.4</v>
      </c>
      <c r="E5" s="88" t="str">
        <f>D5*1.5</f>
        <v>0</v>
      </c>
      <c r="F5" s="88">
        <v>0.1</v>
      </c>
      <c r="G5" s="86" t="str">
        <f>B5*(1+C5)*(1+E5)*(1+F5)</f>
        <v>0</v>
      </c>
      <c r="H5" s="48">
        <v>0.8</v>
      </c>
      <c r="I5" s="89">
        <v>100</v>
      </c>
      <c r="J5" s="86">
        <v>28.28</v>
      </c>
      <c r="K5" s="86" t="s">
        <v>176</v>
      </c>
      <c r="L5" s="89" t="str">
        <f>O5*2</f>
        <v>0</v>
      </c>
      <c r="M5" s="89" t="str">
        <f>O5*4</f>
        <v>0</v>
      </c>
      <c r="N5" s="89">
        <v>20000</v>
      </c>
      <c r="O5" s="86">
        <v>58.79</v>
      </c>
      <c r="P5" s="88">
        <v>0.05</v>
      </c>
      <c r="Q5" s="86">
        <v>4</v>
      </c>
      <c r="R5" s="90" t="str">
        <f>IF(Q5&lt;=6,2,IF(Q5="N/A",0,1))</f>
        <v>0</v>
      </c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</row>
    <row r="6" spans="1:31">
      <c r="A6" t="s">
        <v>177</v>
      </c>
      <c r="B6" s="9">
        <v>9305.43502</v>
      </c>
      <c r="C6" s="46">
        <v>0</v>
      </c>
      <c r="D6" s="48">
        <v>0.4</v>
      </c>
      <c r="E6" s="48" t="str">
        <f>D6*1.5</f>
        <v>0</v>
      </c>
      <c r="F6" s="48">
        <v>0</v>
      </c>
      <c r="G6" s="9" t="str">
        <f>B6*(1+C6)*(1+E6)*(1+F6)</f>
        <v>0</v>
      </c>
      <c r="H6" s="48">
        <v>0.8</v>
      </c>
      <c r="I6" s="50">
        <v>100</v>
      </c>
      <c r="J6" s="8">
        <v>0.1212</v>
      </c>
      <c r="K6" s="9" t="s">
        <v>176</v>
      </c>
      <c r="L6" s="50">
        <v>2000</v>
      </c>
      <c r="M6" s="50">
        <v>2000</v>
      </c>
      <c r="N6" s="50">
        <v>15000</v>
      </c>
      <c r="O6" s="9">
        <v>13.4672</v>
      </c>
      <c r="P6" s="48">
        <v>0</v>
      </c>
      <c r="Q6" s="9">
        <v>3</v>
      </c>
      <c r="R6" s="15" t="str">
        <f>IF(Q6&lt;=6,2,IF(Q6="N/A",0,1))</f>
        <v>0</v>
      </c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</row>
    <row r="7" spans="1:31">
      <c r="A7" t="s">
        <v>178</v>
      </c>
      <c r="B7" s="9">
        <v>5877.75762</v>
      </c>
      <c r="C7" s="46">
        <v>0</v>
      </c>
      <c r="D7" s="48">
        <v>0.3</v>
      </c>
      <c r="E7" s="48">
        <v>0.45</v>
      </c>
      <c r="F7" s="48">
        <v>0.1</v>
      </c>
      <c r="G7" s="9" t="str">
        <f>B7*(1+C7)*(1+E7)*(1+F7)</f>
        <v>0</v>
      </c>
      <c r="H7" s="48">
        <v>0.8</v>
      </c>
      <c r="I7" s="50">
        <v>100</v>
      </c>
      <c r="J7" s="8">
        <v>5.5</v>
      </c>
      <c r="K7" s="9" t="s">
        <v>176</v>
      </c>
      <c r="L7" s="50" t="str">
        <f>O7*3</f>
        <v>0</v>
      </c>
      <c r="M7" s="50" t="str">
        <f>O7*6</f>
        <v>0</v>
      </c>
      <c r="N7" s="50">
        <v>20000</v>
      </c>
      <c r="O7" s="9">
        <v>28</v>
      </c>
      <c r="P7" s="48">
        <v>0</v>
      </c>
      <c r="Q7" s="9">
        <v>4</v>
      </c>
      <c r="R7" s="15" t="str">
        <f>IF(Q7&lt;=6,2,IF(Q7="N/A",0,1))</f>
        <v>0</v>
      </c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</row>
    <row r="8" spans="1:31">
      <c r="A8" t="s">
        <v>179</v>
      </c>
      <c r="B8" s="9">
        <v>3995.92158</v>
      </c>
      <c r="C8" s="46">
        <v>0.2</v>
      </c>
      <c r="D8" s="48">
        <v>0.1</v>
      </c>
      <c r="E8" s="48" t="str">
        <f>D8*1.5</f>
        <v>0</v>
      </c>
      <c r="F8" s="48">
        <v>0.1</v>
      </c>
      <c r="G8" s="9" t="str">
        <f>B8*(1+C8)*(1+E8)*(1+F8)</f>
        <v>0</v>
      </c>
      <c r="H8" s="48">
        <v>0.8</v>
      </c>
      <c r="I8" s="50">
        <v>100</v>
      </c>
      <c r="J8" s="9">
        <v>4040</v>
      </c>
      <c r="K8" s="9" t="s">
        <v>180</v>
      </c>
      <c r="L8" s="19" t="str">
        <f>10000/$J8</f>
        <v>0</v>
      </c>
      <c r="M8" s="19" t="str">
        <f>10000/$J8</f>
        <v>0</v>
      </c>
      <c r="N8" s="50">
        <v>20000</v>
      </c>
      <c r="O8" s="9">
        <v>19.2428</v>
      </c>
      <c r="P8" s="48">
        <v>0</v>
      </c>
      <c r="Q8" s="9">
        <v>13</v>
      </c>
      <c r="R8" s="15" t="str">
        <f>IF(Q8&lt;=6,2,IF(Q8="N/A",0,1))</f>
        <v>0</v>
      </c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</row>
    <row r="9" spans="1:31">
      <c r="A9" t="s">
        <v>181</v>
      </c>
      <c r="B9" s="9">
        <v>110.40512</v>
      </c>
      <c r="C9" s="46">
        <v>0</v>
      </c>
      <c r="D9" s="48">
        <v>0.3</v>
      </c>
      <c r="E9" s="48" t="str">
        <f>D9*1.5</f>
        <v>0</v>
      </c>
      <c r="F9" s="48">
        <v>0.2</v>
      </c>
      <c r="G9" s="9" t="str">
        <f>B9*(1+C9)*(1+E9)*(1+F9)</f>
        <v>0</v>
      </c>
      <c r="H9" s="48">
        <v>0.8</v>
      </c>
      <c r="I9" s="50">
        <v>150</v>
      </c>
      <c r="J9" s="9">
        <v>0</v>
      </c>
      <c r="K9" s="9" t="s">
        <v>174</v>
      </c>
      <c r="L9" s="50">
        <v>0</v>
      </c>
      <c r="M9" s="50">
        <v>0</v>
      </c>
      <c r="N9" s="50">
        <v>30000</v>
      </c>
      <c r="O9" s="9">
        <v>289.9808</v>
      </c>
      <c r="P9" s="48">
        <v>0.05</v>
      </c>
      <c r="Q9" s="9" t="s">
        <v>174</v>
      </c>
      <c r="R9" s="52" t="str">
        <f>IF(Q9&lt;=6,2,IF(Q9="N/A",0,1))</f>
        <v>0</v>
      </c>
      <c r="S9" s="48">
        <v>0.15</v>
      </c>
      <c r="T9" s="48">
        <v>0.12</v>
      </c>
      <c r="U9" s="48">
        <v>0.07</v>
      </c>
      <c r="V9" s="48">
        <v>0.03</v>
      </c>
      <c r="W9" s="48">
        <v>0.04</v>
      </c>
      <c r="X9" s="48">
        <v>0.09</v>
      </c>
      <c r="Y9" s="48">
        <v>0.09</v>
      </c>
      <c r="Z9" s="48">
        <v>0.04</v>
      </c>
      <c r="AA9" s="48">
        <v>0.03</v>
      </c>
      <c r="AB9" s="48">
        <v>0.07</v>
      </c>
      <c r="AC9" s="48">
        <v>0.12</v>
      </c>
      <c r="AD9" s="48">
        <v>0.15</v>
      </c>
    </row>
    <row r="10" spans="1:31">
      <c r="A10" t="s">
        <v>182</v>
      </c>
      <c r="B10" s="9">
        <v>472.14874</v>
      </c>
      <c r="C10" s="2">
        <v>0.15</v>
      </c>
      <c r="D10" s="3">
        <v>0.3</v>
      </c>
      <c r="E10" s="3" t="str">
        <f>D10*1.5</f>
        <v>0</v>
      </c>
      <c r="F10" s="3">
        <v>0</v>
      </c>
      <c r="G10" s="9" t="str">
        <f>B10*(1+C10)*(1+E10)*(1+F10)</f>
        <v>0</v>
      </c>
      <c r="H10" s="48">
        <v>0.8</v>
      </c>
      <c r="I10" s="9">
        <v>100</v>
      </c>
      <c r="J10" s="9">
        <v>10.1</v>
      </c>
      <c r="K10" s="9" t="s">
        <v>176</v>
      </c>
      <c r="L10" s="50" t="str">
        <f>O10*3</f>
        <v>0</v>
      </c>
      <c r="M10" s="50" t="str">
        <f>O10*6</f>
        <v>0</v>
      </c>
      <c r="N10" s="50">
        <v>20000</v>
      </c>
      <c r="O10" s="9">
        <v>30.6264</v>
      </c>
      <c r="P10" s="48">
        <v>0.1</v>
      </c>
      <c r="Q10" s="9">
        <v>4</v>
      </c>
      <c r="R10" s="15" t="str">
        <f>IF(Q10&lt;=6,2,IF(Q10="N/A",0,1))</f>
        <v>0</v>
      </c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</row>
    <row r="11" spans="1:31">
      <c r="A11" t="s">
        <v>183</v>
      </c>
      <c r="B11" s="9">
        <v>3428.1723</v>
      </c>
      <c r="C11" s="46">
        <v>0</v>
      </c>
      <c r="D11" s="48">
        <v>0</v>
      </c>
      <c r="E11" s="48" t="str">
        <f>D11*1.5</f>
        <v>0</v>
      </c>
      <c r="F11" s="48">
        <v>0</v>
      </c>
      <c r="G11" s="9" t="str">
        <f>B11*(1+C11)*(1+E11)*(1+F11)</f>
        <v>0</v>
      </c>
      <c r="H11" s="48">
        <v>0.8</v>
      </c>
      <c r="I11" s="50">
        <v>0</v>
      </c>
      <c r="J11" s="9">
        <v>0</v>
      </c>
      <c r="K11" s="9" t="s">
        <v>174</v>
      </c>
      <c r="L11" s="50">
        <v>0</v>
      </c>
      <c r="M11" s="50">
        <v>0</v>
      </c>
      <c r="N11" s="50">
        <v>20000</v>
      </c>
      <c r="O11" s="9">
        <v>14.4572</v>
      </c>
      <c r="P11" s="48">
        <v>0</v>
      </c>
      <c r="Q11" s="9" t="s">
        <v>174</v>
      </c>
      <c r="R11" s="52" t="str">
        <f>IF(Q11&lt;=6,2,IF(Q11="N/A",0,1))</f>
        <v>0</v>
      </c>
      <c r="S11" s="48">
        <v>0.083333333333333</v>
      </c>
      <c r="T11" s="48">
        <v>0.083333333333333</v>
      </c>
      <c r="U11" s="48">
        <v>0.083333333333333</v>
      </c>
      <c r="V11" s="48">
        <v>0.083333333333333</v>
      </c>
      <c r="W11" s="48">
        <v>0.083333333333333</v>
      </c>
      <c r="X11" s="48">
        <v>0.083333333333333</v>
      </c>
      <c r="Y11" s="48">
        <v>0.083333333333333</v>
      </c>
      <c r="Z11" s="48">
        <v>0.083333333333333</v>
      </c>
      <c r="AA11" s="48">
        <v>0.083333333333333</v>
      </c>
      <c r="AB11" s="48">
        <v>0.083333333333333</v>
      </c>
      <c r="AC11" s="48">
        <v>0.083333333333333</v>
      </c>
      <c r="AD11" s="48">
        <v>0.083333333333333</v>
      </c>
    </row>
    <row r="12" spans="1:31">
      <c r="A12" t="s">
        <v>184</v>
      </c>
      <c r="B12" s="9">
        <v>3302</v>
      </c>
      <c r="C12" s="46">
        <v>0.1</v>
      </c>
      <c r="D12" s="48">
        <v>0.3</v>
      </c>
      <c r="E12" s="48" t="str">
        <f>D12*1.5</f>
        <v>0</v>
      </c>
      <c r="F12" s="48">
        <v>0.1</v>
      </c>
      <c r="G12" s="9" t="str">
        <f>B12*(1+C12)*(1+E12)*(1+F12)</f>
        <v>0</v>
      </c>
      <c r="H12" s="48">
        <v>0.8</v>
      </c>
      <c r="I12" s="50">
        <v>100</v>
      </c>
      <c r="J12" s="9">
        <v>3</v>
      </c>
      <c r="K12" s="9" t="s">
        <v>176</v>
      </c>
      <c r="L12" s="50" t="str">
        <f>O12*0.3</f>
        <v>0</v>
      </c>
      <c r="M12" s="50" t="str">
        <f>L12*2</f>
        <v>0</v>
      </c>
      <c r="N12" s="50">
        <v>15000</v>
      </c>
      <c r="O12" s="9">
        <v>95</v>
      </c>
      <c r="P12" s="48">
        <v>0</v>
      </c>
      <c r="Q12" s="9">
        <v>6</v>
      </c>
      <c r="R12" s="15" t="str">
        <f>IF(Q12&lt;=6,2,IF(Q12="N/A",0,1))</f>
        <v>0</v>
      </c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</row>
    <row r="13" spans="1:31">
      <c r="A13" t="s">
        <v>185</v>
      </c>
      <c r="B13" s="9">
        <v>4915.78514</v>
      </c>
      <c r="C13" s="2">
        <v>0.3</v>
      </c>
      <c r="D13" s="3">
        <v>0.2</v>
      </c>
      <c r="E13" s="3" t="str">
        <f>D13*1.5</f>
        <v>0</v>
      </c>
      <c r="F13" s="3">
        <v>0.2</v>
      </c>
      <c r="G13" s="9" t="str">
        <f>B13*(1+C13)*(1+E13)*(1+F13)</f>
        <v>0</v>
      </c>
      <c r="H13" s="48">
        <v>0.8</v>
      </c>
      <c r="I13" s="9">
        <v>100</v>
      </c>
      <c r="J13" s="9">
        <v>808</v>
      </c>
      <c r="K13" s="9" t="s">
        <v>176</v>
      </c>
      <c r="L13" s="50" t="str">
        <f>O13*0.3</f>
        <v>0</v>
      </c>
      <c r="M13" s="19" t="str">
        <f>O13*2</f>
        <v>0</v>
      </c>
      <c r="N13" s="50">
        <v>15000</v>
      </c>
      <c r="O13" s="9">
        <v>25.8644</v>
      </c>
      <c r="P13" s="48">
        <v>0.05</v>
      </c>
      <c r="Q13" s="9">
        <v>4</v>
      </c>
      <c r="R13" s="15" t="str">
        <f>IF(Q13&lt;=6,2,IF(Q13="N/A",0,1))</f>
        <v>0</v>
      </c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</row>
    <row r="14" spans="1:31">
      <c r="A14" t="s">
        <v>186</v>
      </c>
      <c r="B14" s="9">
        <v>4372.45564</v>
      </c>
      <c r="C14" s="46">
        <v>0</v>
      </c>
      <c r="D14" s="48">
        <v>0.05</v>
      </c>
      <c r="E14" s="48" t="str">
        <f>D14*1.5</f>
        <v>0</v>
      </c>
      <c r="F14" s="48">
        <v>0</v>
      </c>
      <c r="G14" s="9" t="str">
        <f>B14*(1+C14)*(1+E14)*(1+F14)</f>
        <v>0</v>
      </c>
      <c r="H14" s="48">
        <v>0.8</v>
      </c>
      <c r="I14" s="50">
        <v>40.4</v>
      </c>
      <c r="J14" s="9">
        <v>10908</v>
      </c>
      <c r="K14" s="9" t="s">
        <v>180</v>
      </c>
      <c r="L14" s="18">
        <v>1</v>
      </c>
      <c r="M14" s="18">
        <v>1</v>
      </c>
      <c r="N14" s="50">
        <v>15000</v>
      </c>
      <c r="O14" s="9">
        <v>28.436</v>
      </c>
      <c r="P14" s="48">
        <v>0</v>
      </c>
      <c r="Q14" s="9">
        <v>4</v>
      </c>
      <c r="R14" s="15" t="str">
        <f>IF(Q14&lt;=6,2,IF(Q14="N/A",0,1))</f>
        <v>0</v>
      </c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</row>
    <row r="15" spans="1:31">
      <c r="A15" t="s">
        <v>187</v>
      </c>
      <c r="B15" s="9">
        <v>581.90342</v>
      </c>
      <c r="C15" s="46">
        <v>0</v>
      </c>
      <c r="D15" s="48">
        <v>0.1</v>
      </c>
      <c r="E15" s="48" t="str">
        <f>D15*1.5</f>
        <v>0</v>
      </c>
      <c r="F15" s="48">
        <v>0.2</v>
      </c>
      <c r="G15" s="9" t="str">
        <f>B15*(1+C15)*(1+E15)*(1+F15)</f>
        <v>0</v>
      </c>
      <c r="H15" s="48">
        <v>0.8</v>
      </c>
      <c r="I15" s="50">
        <v>100</v>
      </c>
      <c r="J15" s="9">
        <v>0</v>
      </c>
      <c r="K15" s="9" t="s">
        <v>174</v>
      </c>
      <c r="L15" s="50">
        <v>0</v>
      </c>
      <c r="M15" s="50">
        <v>0</v>
      </c>
      <c r="N15" s="50">
        <v>30000</v>
      </c>
      <c r="O15" s="9">
        <v>230.1448</v>
      </c>
      <c r="P15" s="48">
        <v>0</v>
      </c>
      <c r="Q15" s="9" t="s">
        <v>174</v>
      </c>
      <c r="R15" s="52" t="str">
        <f>IF(Q15&lt;=6,2,IF(Q15="N/A",0,1))</f>
        <v>0</v>
      </c>
      <c r="S15" s="48">
        <v>0.049019607843137</v>
      </c>
      <c r="T15" s="48">
        <v>0.049019607843137</v>
      </c>
      <c r="U15" s="48">
        <v>0.07843137254902</v>
      </c>
      <c r="V15" s="48">
        <v>0.22549019607843</v>
      </c>
      <c r="W15" s="48">
        <v>0.17647058823529</v>
      </c>
      <c r="X15" s="48">
        <v>0.029411764705882</v>
      </c>
      <c r="Y15" s="48">
        <v>0.019607843137255</v>
      </c>
      <c r="Z15" s="48">
        <v>0.019607843137255</v>
      </c>
      <c r="AA15" s="48">
        <v>0.029411764705882</v>
      </c>
      <c r="AB15" s="48">
        <v>0.058823529411765</v>
      </c>
      <c r="AC15" s="48">
        <v>0.14705882352941</v>
      </c>
      <c r="AD15" s="48">
        <v>0.11764705882353</v>
      </c>
    </row>
    <row r="16" spans="1:31">
      <c r="A16" t="s">
        <v>188</v>
      </c>
      <c r="B16" s="9">
        <v>5355.96334</v>
      </c>
      <c r="C16" s="46">
        <v>0</v>
      </c>
      <c r="D16" s="48">
        <v>0.4</v>
      </c>
      <c r="E16" s="48" t="str">
        <f>D16*1.5</f>
        <v>0</v>
      </c>
      <c r="F16" s="48">
        <v>0.2</v>
      </c>
      <c r="G16" s="9" t="str">
        <f>B16*(1+C16)*(1+E16)*(1+F16)</f>
        <v>0</v>
      </c>
      <c r="H16" s="48">
        <v>0.8</v>
      </c>
      <c r="I16" s="50">
        <v>100</v>
      </c>
      <c r="J16" s="17">
        <v>0.505</v>
      </c>
      <c r="K16" s="9" t="s">
        <v>176</v>
      </c>
      <c r="L16" s="50">
        <v>2000</v>
      </c>
      <c r="M16" s="50">
        <v>2000</v>
      </c>
      <c r="N16" s="50">
        <v>30000</v>
      </c>
      <c r="O16" s="9">
        <v>47.7196</v>
      </c>
      <c r="P16" s="48">
        <v>0</v>
      </c>
      <c r="Q16" s="9">
        <v>3</v>
      </c>
      <c r="R16" s="15" t="str">
        <f>IF(Q16&lt;=6,2,IF(Q16="N/A",0,1))</f>
        <v>0</v>
      </c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</row>
    <row r="17" spans="1:31">
      <c r="A17" s="7" t="s">
        <v>189</v>
      </c>
      <c r="B17" s="10">
        <v>943.23698</v>
      </c>
      <c r="C17" s="47">
        <v>0.15</v>
      </c>
      <c r="D17" s="49">
        <v>0.2</v>
      </c>
      <c r="E17" s="49" t="str">
        <f>D17*1.5</f>
        <v>0</v>
      </c>
      <c r="F17" s="49">
        <v>0</v>
      </c>
      <c r="G17" s="10" t="str">
        <f>B17*(1+C17)*(1+E17)*(1+F17)</f>
        <v>0</v>
      </c>
      <c r="H17" s="49">
        <v>0.8</v>
      </c>
      <c r="I17" s="51">
        <v>100</v>
      </c>
      <c r="J17" s="10">
        <v>40.4</v>
      </c>
      <c r="K17" s="10" t="s">
        <v>176</v>
      </c>
      <c r="L17" s="51" t="str">
        <f>O17*3</f>
        <v>0</v>
      </c>
      <c r="M17" s="51" t="str">
        <f>O17*6</f>
        <v>0</v>
      </c>
      <c r="N17" s="51">
        <v>20000</v>
      </c>
      <c r="O17" s="10">
        <v>34.5388</v>
      </c>
      <c r="P17" s="49">
        <v>0.1</v>
      </c>
      <c r="Q17" s="10">
        <v>5</v>
      </c>
      <c r="R17" s="16" t="str">
        <f>IF(Q17&lt;=6,2,IF(Q17="N/A",0,1))</f>
        <v>0</v>
      </c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1:31">
      <c r="A18" s="22" t="s">
        <v>62</v>
      </c>
    </row>
    <row r="20" spans="1:31">
      <c r="A20" s="4" t="s">
        <v>36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2" spans="1:31" customHeight="1" ht="45">
      <c r="A22" s="11" t="s">
        <v>68</v>
      </c>
      <c r="B22" s="11" t="s">
        <v>190</v>
      </c>
      <c r="C22" s="13" t="s">
        <v>191</v>
      </c>
      <c r="D22" s="13" t="s">
        <v>192</v>
      </c>
      <c r="E22" s="13" t="s">
        <v>193</v>
      </c>
      <c r="F22" s="13" t="s">
        <v>194</v>
      </c>
      <c r="G22" s="13" t="s">
        <v>195</v>
      </c>
      <c r="H22" s="13" t="s">
        <v>196</v>
      </c>
      <c r="I22" s="13" t="s">
        <v>197</v>
      </c>
      <c r="J22" s="13" t="s">
        <v>198</v>
      </c>
      <c r="K22" s="13" t="s">
        <v>199</v>
      </c>
      <c r="L22" s="13" t="s">
        <v>200</v>
      </c>
      <c r="M22" s="13" t="s">
        <v>201</v>
      </c>
      <c r="N22" s="13" t="s">
        <v>202</v>
      </c>
      <c r="O22" s="98"/>
      <c r="P22" s="98"/>
      <c r="AE22" s="15"/>
    </row>
    <row r="23" spans="1:31">
      <c r="A23" t="s">
        <v>203</v>
      </c>
      <c r="B23" s="15" t="s">
        <v>204</v>
      </c>
      <c r="C23" s="9" t="s">
        <v>205</v>
      </c>
      <c r="D23" s="8">
        <v>0.5</v>
      </c>
      <c r="E23" s="3">
        <v>0.15</v>
      </c>
      <c r="F23" s="3">
        <v>0.3</v>
      </c>
      <c r="G23" s="3">
        <v>0.3</v>
      </c>
      <c r="H23" s="15">
        <v>1.2</v>
      </c>
      <c r="I23" s="15">
        <v>10</v>
      </c>
      <c r="J23" s="15">
        <v>400</v>
      </c>
      <c r="K23" s="15">
        <v>5</v>
      </c>
      <c r="L23" s="9">
        <v>200</v>
      </c>
      <c r="M23" s="9">
        <v>3000</v>
      </c>
      <c r="N23" s="9">
        <v>2</v>
      </c>
      <c r="AE23" s="15"/>
    </row>
    <row r="24" spans="1:31">
      <c r="A24" s="58" t="s">
        <v>75</v>
      </c>
      <c r="B24" s="58" t="s">
        <v>206</v>
      </c>
      <c r="C24" s="86" t="s">
        <v>207</v>
      </c>
      <c r="D24" s="103">
        <v>3</v>
      </c>
      <c r="E24" s="3">
        <v>0.6</v>
      </c>
      <c r="F24" s="3">
        <v>1.2</v>
      </c>
      <c r="G24" s="99">
        <v>1.2</v>
      </c>
      <c r="H24" s="15">
        <v>200</v>
      </c>
      <c r="I24" s="15">
        <v>37</v>
      </c>
      <c r="J24" s="15">
        <v>250</v>
      </c>
      <c r="K24" s="15">
        <v>40</v>
      </c>
      <c r="L24" s="9">
        <v>2000</v>
      </c>
      <c r="M24" s="9">
        <v>20000</v>
      </c>
      <c r="N24" s="9">
        <v>60</v>
      </c>
      <c r="AE24" s="15"/>
    </row>
    <row r="25" spans="1:31">
      <c r="A25" t="s">
        <v>208</v>
      </c>
      <c r="B25" s="9" t="s">
        <v>174</v>
      </c>
      <c r="C25" s="9" t="s">
        <v>174</v>
      </c>
      <c r="D25" s="9" t="s">
        <v>174</v>
      </c>
      <c r="E25" s="9" t="s">
        <v>174</v>
      </c>
      <c r="F25" s="9" t="s">
        <v>174</v>
      </c>
      <c r="G25" s="9" t="s">
        <v>174</v>
      </c>
      <c r="H25" s="15">
        <v>200</v>
      </c>
      <c r="I25" s="9" t="s">
        <v>174</v>
      </c>
      <c r="J25" s="15">
        <v>250</v>
      </c>
      <c r="K25" s="15">
        <v>40</v>
      </c>
      <c r="L25" s="9">
        <v>2000</v>
      </c>
      <c r="M25" s="9">
        <v>20000</v>
      </c>
      <c r="N25" s="9">
        <v>18</v>
      </c>
      <c r="AE25" s="15"/>
    </row>
    <row r="26" spans="1:31">
      <c r="A26" t="s">
        <v>209</v>
      </c>
      <c r="B26" s="58" t="s">
        <v>206</v>
      </c>
      <c r="C26" s="15" t="s">
        <v>207</v>
      </c>
      <c r="D26" s="8">
        <v>1</v>
      </c>
      <c r="E26" s="3">
        <v>0</v>
      </c>
      <c r="F26" s="3">
        <v>0</v>
      </c>
      <c r="G26" s="3">
        <v>0.5</v>
      </c>
      <c r="H26" s="15">
        <v>12</v>
      </c>
      <c r="I26" s="15">
        <v>53</v>
      </c>
      <c r="J26" s="15">
        <v>360</v>
      </c>
      <c r="K26" s="15">
        <v>5</v>
      </c>
      <c r="L26" s="9">
        <v>200</v>
      </c>
      <c r="M26" s="9">
        <v>3000</v>
      </c>
      <c r="N26" s="9">
        <v>9</v>
      </c>
      <c r="AE26" s="15"/>
    </row>
    <row r="27" spans="1:31">
      <c r="A27" t="s">
        <v>210</v>
      </c>
      <c r="B27" s="22" t="s">
        <v>206</v>
      </c>
      <c r="C27" s="15" t="s">
        <v>207</v>
      </c>
      <c r="D27" s="8">
        <v>1</v>
      </c>
      <c r="E27" s="3">
        <v>0</v>
      </c>
      <c r="F27" s="3">
        <v>0</v>
      </c>
      <c r="G27" s="3">
        <v>0.5</v>
      </c>
      <c r="H27" s="15">
        <v>12</v>
      </c>
      <c r="I27" s="15">
        <v>53</v>
      </c>
      <c r="J27" s="15">
        <v>360</v>
      </c>
      <c r="K27" s="15">
        <v>5</v>
      </c>
      <c r="L27" s="9">
        <v>200</v>
      </c>
      <c r="M27" s="9">
        <v>3000</v>
      </c>
      <c r="N27" s="9">
        <v>9</v>
      </c>
      <c r="AE27" s="15"/>
    </row>
    <row r="28" spans="1:31">
      <c r="A28" s="7" t="s">
        <v>77</v>
      </c>
      <c r="B28" s="10" t="s">
        <v>174</v>
      </c>
      <c r="C28" s="10" t="s">
        <v>174</v>
      </c>
      <c r="D28" s="10" t="s">
        <v>174</v>
      </c>
      <c r="E28" s="10" t="s">
        <v>174</v>
      </c>
      <c r="F28" s="10" t="s">
        <v>174</v>
      </c>
      <c r="G28" s="10" t="s">
        <v>174</v>
      </c>
      <c r="H28" s="16">
        <v>55</v>
      </c>
      <c r="I28" s="10" t="s">
        <v>174</v>
      </c>
      <c r="J28" s="105">
        <v>230</v>
      </c>
      <c r="K28" s="16">
        <v>10</v>
      </c>
      <c r="L28" s="10">
        <v>300</v>
      </c>
      <c r="M28" s="10">
        <v>5000</v>
      </c>
      <c r="N28" s="10">
        <v>9</v>
      </c>
      <c r="AE28" s="15"/>
    </row>
    <row r="29" spans="1:31">
      <c r="A29" s="22" t="s">
        <v>79</v>
      </c>
      <c r="B29" s="15" t="s">
        <v>174</v>
      </c>
    </row>
    <row r="31" spans="1:31">
      <c r="A31" s="4" t="s">
        <v>211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3" spans="1:31">
      <c r="A33" s="6" t="s">
        <v>212</v>
      </c>
      <c r="B33" s="14" t="s">
        <v>213</v>
      </c>
    </row>
    <row r="34" spans="1:31">
      <c r="A34" t="s">
        <v>214</v>
      </c>
      <c r="B34" s="9">
        <v>70</v>
      </c>
    </row>
    <row r="35" spans="1:31">
      <c r="A35" t="s">
        <v>215</v>
      </c>
      <c r="B35" s="9">
        <v>2000</v>
      </c>
    </row>
    <row r="36" spans="1:31">
      <c r="A36" t="s">
        <v>216</v>
      </c>
      <c r="B36" s="3">
        <v>0.3</v>
      </c>
    </row>
    <row r="38" spans="1:31">
      <c r="A38" s="4" t="s">
        <v>217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1">
      <c r="A39" t="s">
        <v>218</v>
      </c>
      <c r="B39" s="9">
        <v>2500000</v>
      </c>
      <c r="C39" s="110" t="s">
        <v>108</v>
      </c>
    </row>
    <row r="40" spans="1:31">
      <c r="A40" t="s">
        <v>219</v>
      </c>
      <c r="B40" s="9">
        <v>4000000</v>
      </c>
      <c r="C40" s="110" t="s">
        <v>220</v>
      </c>
    </row>
    <row r="41" spans="1:31">
      <c r="A41" t="s">
        <v>221</v>
      </c>
      <c r="B41" s="9">
        <v>8000000</v>
      </c>
      <c r="C41" s="110" t="s">
        <v>222</v>
      </c>
    </row>
    <row r="42" spans="1:31">
      <c r="A42" t="s">
        <v>223</v>
      </c>
      <c r="B42" s="9">
        <v>12000000</v>
      </c>
      <c r="C42" s="110" t="s">
        <v>224</v>
      </c>
    </row>
    <row r="43" spans="1:31">
      <c r="A43" t="s">
        <v>225</v>
      </c>
      <c r="B43" s="9">
        <v>100000</v>
      </c>
    </row>
    <row r="44" spans="1:31">
      <c r="A44" t="s">
        <v>226</v>
      </c>
      <c r="B44" s="9">
        <v>30000</v>
      </c>
    </row>
    <row r="45" spans="1:31">
      <c r="A45" t="s">
        <v>209</v>
      </c>
      <c r="B45" s="9">
        <v>10000</v>
      </c>
    </row>
    <row r="46" spans="1:31">
      <c r="A46" t="s">
        <v>210</v>
      </c>
      <c r="B46" s="9">
        <v>10000</v>
      </c>
    </row>
    <row r="47" spans="1:31">
      <c r="A47" t="s">
        <v>203</v>
      </c>
      <c r="B47" s="9">
        <v>1000</v>
      </c>
    </row>
    <row r="48" spans="1:31">
      <c r="A48" t="s">
        <v>77</v>
      </c>
      <c r="B48" s="9">
        <v>20000</v>
      </c>
    </row>
    <row r="50" spans="1:31">
      <c r="A50" s="4" t="s">
        <v>227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2" spans="1:31">
      <c r="A52" s="6" t="s">
        <v>228</v>
      </c>
      <c r="B52" s="14" t="s">
        <v>229</v>
      </c>
      <c r="C52" s="14" t="s">
        <v>230</v>
      </c>
      <c r="D52" s="14" t="s">
        <v>231</v>
      </c>
      <c r="E52" s="14" t="s">
        <v>232</v>
      </c>
      <c r="F52" s="14" t="s">
        <v>233</v>
      </c>
    </row>
    <row r="53" spans="1:31">
      <c r="A53" t="s">
        <v>63</v>
      </c>
      <c r="B53" s="2">
        <v>0</v>
      </c>
      <c r="C53" s="15" t="s">
        <v>234</v>
      </c>
      <c r="D53" s="15">
        <v>1</v>
      </c>
      <c r="E53" s="15" t="s">
        <v>78</v>
      </c>
      <c r="F53" s="15" t="s">
        <v>108</v>
      </c>
    </row>
    <row r="54" spans="1:31">
      <c r="A54" t="s">
        <v>59</v>
      </c>
      <c r="B54" s="2">
        <v>0.1</v>
      </c>
      <c r="C54" s="15" t="s">
        <v>235</v>
      </c>
      <c r="D54" s="15" t="str">
        <f>D53+1</f>
        <v>0</v>
      </c>
      <c r="E54" s="15" t="s">
        <v>80</v>
      </c>
      <c r="F54" s="15" t="s">
        <v>220</v>
      </c>
    </row>
    <row r="55" spans="1:31">
      <c r="B55" s="2" t="str">
        <f>B54+0.1</f>
        <v>0</v>
      </c>
      <c r="C55" s="15" t="s">
        <v>236</v>
      </c>
      <c r="D55" s="15" t="str">
        <f>D54+1</f>
        <v>0</v>
      </c>
      <c r="E55" s="15" t="s">
        <v>76</v>
      </c>
      <c r="F55" s="15" t="s">
        <v>222</v>
      </c>
    </row>
    <row r="56" spans="1:31">
      <c r="B56" s="2" t="str">
        <f>B55+0.1</f>
        <v>0</v>
      </c>
      <c r="C56" s="15" t="s">
        <v>237</v>
      </c>
      <c r="D56" s="15" t="str">
        <f>D55+1</f>
        <v>0</v>
      </c>
      <c r="F56" s="15" t="s">
        <v>224</v>
      </c>
    </row>
    <row r="57" spans="1:31">
      <c r="B57" s="2" t="str">
        <f>B56+0.1</f>
        <v>0</v>
      </c>
      <c r="C57" s="15" t="s">
        <v>64</v>
      </c>
      <c r="D57" s="15" t="str">
        <f>D56+1</f>
        <v>0</v>
      </c>
    </row>
    <row r="58" spans="1:31">
      <c r="B58" s="2" t="str">
        <f>B57+0.1</f>
        <v>0</v>
      </c>
      <c r="C58" s="15" t="s">
        <v>60</v>
      </c>
      <c r="D58" s="15" t="str">
        <f>D57+1</f>
        <v>0</v>
      </c>
    </row>
    <row r="59" spans="1:31">
      <c r="B59" s="2" t="str">
        <f>B58+0.1</f>
        <v>0</v>
      </c>
      <c r="C59" s="15" t="s">
        <v>96</v>
      </c>
      <c r="D59" s="15" t="str">
        <f>D58+1</f>
        <v>0</v>
      </c>
    </row>
    <row r="60" spans="1:31">
      <c r="B60" s="2" t="str">
        <f>B59+0.1</f>
        <v>0</v>
      </c>
      <c r="C60" s="15" t="s">
        <v>238</v>
      </c>
      <c r="D60" s="15" t="str">
        <f>D59+1</f>
        <v>0</v>
      </c>
    </row>
    <row r="61" spans="1:31">
      <c r="B61" s="2" t="str">
        <f>B60+0.1</f>
        <v>0</v>
      </c>
      <c r="C61" s="15" t="s">
        <v>239</v>
      </c>
      <c r="D61" s="15" t="str">
        <f>D60+1</f>
        <v>0</v>
      </c>
    </row>
    <row r="62" spans="1:31">
      <c r="B62" s="2" t="str">
        <f>B61+0.1</f>
        <v>0</v>
      </c>
      <c r="C62" s="15" t="s">
        <v>240</v>
      </c>
      <c r="D62" s="15" t="str">
        <f>D61+1</f>
        <v>0</v>
      </c>
    </row>
    <row r="63" spans="1:31">
      <c r="B63" s="2" t="str">
        <f>B62+0.1</f>
        <v>0</v>
      </c>
      <c r="C63" s="15" t="s">
        <v>241</v>
      </c>
      <c r="D63" s="15" t="str">
        <f>D62+1</f>
        <v>0</v>
      </c>
    </row>
    <row r="64" spans="1:31">
      <c r="C64" s="15" t="s">
        <v>242</v>
      </c>
      <c r="D64" s="15" t="str">
        <f>D63+1</f>
        <v>0</v>
      </c>
    </row>
    <row r="66" spans="1:31">
      <c r="A66" s="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</row>
    <row r="68" spans="1:31">
      <c r="A68" t="s">
        <v>243</v>
      </c>
      <c r="B68" s="115" t="str">
        <f>TODAY()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Output</vt:lpstr>
      <vt:lpstr>Inputs</vt:lpstr>
      <vt:lpstr>Calculations</vt:lpstr>
      <vt:lpstr>Parameters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2016-05-31T11:40:21+00:00</dcterms:created>
  <dcterms:modified xsi:type="dcterms:W3CDTF">2016-06-11T14:24:51+00:00</dcterms:modified>
  <dc:title/>
  <dc:description/>
  <dc:subject/>
  <cp:keywords/>
  <cp:category/>
</cp:coreProperties>
</file>