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l-cashflow-model\docs\"/>
    </mc:Choice>
  </mc:AlternateContent>
  <bookViews>
    <workbookView xWindow="0" yWindow="0" windowWidth="20490" windowHeight="8340" activeTab="2"/>
  </bookViews>
  <sheets>
    <sheet name="financialSummary" sheetId="6" r:id="rId1"/>
    <sheet name="Output" sheetId="3" r:id="rId2"/>
    <sheet name="Inputs" sheetId="2" r:id="rId3"/>
    <sheet name="Calculations" sheetId="5" r:id="rId4"/>
    <sheet name="Parameters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" i="5" l="1"/>
  <c r="M16" i="5"/>
  <c r="N15" i="5"/>
  <c r="M15" i="5"/>
  <c r="N14" i="5"/>
  <c r="M14" i="5"/>
  <c r="U8" i="5"/>
  <c r="U7" i="5"/>
  <c r="U6" i="5"/>
  <c r="U5" i="5"/>
  <c r="U4" i="5"/>
  <c r="I32" i="5" l="1"/>
  <c r="F38" i="5" l="1"/>
  <c r="F37" i="5"/>
  <c r="F36" i="5"/>
  <c r="C8" i="6" l="1"/>
  <c r="Y46" i="3"/>
  <c r="X46" i="3"/>
  <c r="W46" i="3"/>
  <c r="V46" i="3"/>
  <c r="U46" i="3"/>
  <c r="T46" i="3"/>
  <c r="Y44" i="3"/>
  <c r="X44" i="3"/>
  <c r="W44" i="3"/>
  <c r="V44" i="3"/>
  <c r="U44" i="3"/>
  <c r="T44" i="3"/>
  <c r="Y26" i="3"/>
  <c r="X26" i="3"/>
  <c r="W26" i="3"/>
  <c r="V26" i="3"/>
  <c r="U26" i="3"/>
  <c r="T26" i="3"/>
  <c r="G15" i="5" l="1"/>
  <c r="F40" i="5" l="1"/>
  <c r="F39" i="5"/>
  <c r="F35" i="5"/>
  <c r="F34" i="5"/>
  <c r="F33" i="5"/>
  <c r="S8" i="1"/>
  <c r="F42" i="5" l="1"/>
  <c r="A23" i="3"/>
  <c r="A22" i="3"/>
  <c r="A21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I4" i="5"/>
  <c r="I5" i="5"/>
  <c r="I6" i="5"/>
  <c r="I7" i="5"/>
  <c r="I8" i="5"/>
  <c r="AB44" i="3" l="1"/>
  <c r="A8" i="5"/>
  <c r="A19" i="3" s="1"/>
  <c r="A7" i="5"/>
  <c r="A18" i="3" s="1"/>
  <c r="A6" i="5"/>
  <c r="A17" i="3" s="1"/>
  <c r="A5" i="5"/>
  <c r="A16" i="3" s="1"/>
  <c r="A4" i="5"/>
  <c r="A15" i="3" s="1"/>
  <c r="C6" i="6" l="1"/>
  <c r="O8" i="5"/>
  <c r="O5" i="5"/>
  <c r="O6" i="5"/>
  <c r="O7" i="5"/>
  <c r="O4" i="5"/>
  <c r="H8" i="5"/>
  <c r="H7" i="5"/>
  <c r="H6" i="5"/>
  <c r="H5" i="5"/>
  <c r="H4" i="5"/>
  <c r="J4" i="5" l="1"/>
  <c r="AB4" i="5"/>
  <c r="J8" i="5"/>
  <c r="J5" i="5"/>
  <c r="AB5" i="5"/>
  <c r="J7" i="5"/>
  <c r="J6" i="5"/>
  <c r="C25" i="6"/>
  <c r="D66" i="2"/>
  <c r="Y8" i="5" l="1"/>
  <c r="Y7" i="5"/>
  <c r="Y4" i="5"/>
  <c r="B33" i="5" l="1"/>
  <c r="A34" i="5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B83" i="5" l="1"/>
  <c r="C83" i="5" s="1"/>
  <c r="B79" i="5"/>
  <c r="C79" i="5" s="1"/>
  <c r="B75" i="5"/>
  <c r="C75" i="5" s="1"/>
  <c r="B71" i="5"/>
  <c r="C71" i="5" s="1"/>
  <c r="B67" i="5"/>
  <c r="C67" i="5" s="1"/>
  <c r="B63" i="5"/>
  <c r="C63" i="5" s="1"/>
  <c r="B59" i="5"/>
  <c r="C59" i="5" s="1"/>
  <c r="B82" i="5"/>
  <c r="C82" i="5" s="1"/>
  <c r="B78" i="5"/>
  <c r="C78" i="5" s="1"/>
  <c r="B74" i="5"/>
  <c r="C74" i="5" s="1"/>
  <c r="B70" i="5"/>
  <c r="C70" i="5" s="1"/>
  <c r="B66" i="5"/>
  <c r="C66" i="5" s="1"/>
  <c r="B62" i="5"/>
  <c r="C62" i="5" s="1"/>
  <c r="B58" i="5"/>
  <c r="C58" i="5" s="1"/>
  <c r="B81" i="5"/>
  <c r="C81" i="5" s="1"/>
  <c r="B77" i="5"/>
  <c r="C77" i="5" s="1"/>
  <c r="B73" i="5"/>
  <c r="C73" i="5" s="1"/>
  <c r="B69" i="5"/>
  <c r="C69" i="5" s="1"/>
  <c r="B65" i="5"/>
  <c r="C65" i="5" s="1"/>
  <c r="B61" i="5"/>
  <c r="C61" i="5" s="1"/>
  <c r="B57" i="5"/>
  <c r="B34" i="5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84" i="5"/>
  <c r="C84" i="5" s="1"/>
  <c r="B80" i="5"/>
  <c r="C80" i="5" s="1"/>
  <c r="B76" i="5"/>
  <c r="C76" i="5" s="1"/>
  <c r="B72" i="5"/>
  <c r="C72" i="5" s="1"/>
  <c r="B68" i="5"/>
  <c r="C68" i="5" s="1"/>
  <c r="B64" i="5"/>
  <c r="C64" i="5" s="1"/>
  <c r="B60" i="5"/>
  <c r="C60" i="5" s="1"/>
  <c r="F41" i="5"/>
  <c r="C33" i="5" s="1"/>
  <c r="D27" i="5"/>
  <c r="C27" i="5"/>
  <c r="D26" i="5"/>
  <c r="C26" i="5"/>
  <c r="D25" i="5"/>
  <c r="C25" i="5"/>
  <c r="D24" i="5"/>
  <c r="C24" i="5"/>
  <c r="D23" i="5"/>
  <c r="C23" i="5"/>
  <c r="C34" i="5" l="1"/>
  <c r="C44" i="5"/>
  <c r="C35" i="5"/>
  <c r="C36" i="5"/>
  <c r="B26" i="5"/>
  <c r="B23" i="5"/>
  <c r="B25" i="5"/>
  <c r="B27" i="5"/>
  <c r="B24" i="5"/>
  <c r="E23" i="5"/>
  <c r="E16" i="5"/>
  <c r="D16" i="5"/>
  <c r="E15" i="5"/>
  <c r="D15" i="5"/>
  <c r="E14" i="5"/>
  <c r="D14" i="5"/>
  <c r="C45" i="5" l="1"/>
  <c r="C37" i="5"/>
  <c r="C46" i="5" l="1"/>
  <c r="C38" i="5"/>
  <c r="N25" i="1"/>
  <c r="G25" i="1"/>
  <c r="M24" i="1"/>
  <c r="M23" i="1"/>
  <c r="C47" i="5" l="1"/>
  <c r="C39" i="5"/>
  <c r="Z8" i="5"/>
  <c r="Z7" i="5"/>
  <c r="Z6" i="5"/>
  <c r="Z4" i="5"/>
  <c r="C48" i="5" l="1"/>
  <c r="C40" i="5"/>
  <c r="U15" i="1"/>
  <c r="C49" i="5" l="1"/>
  <c r="C41" i="5"/>
  <c r="C50" i="5" l="1"/>
  <c r="C43" i="5"/>
  <c r="C42" i="5"/>
  <c r="I68" i="1"/>
  <c r="H68" i="1" s="1"/>
  <c r="I57" i="1"/>
  <c r="H57" i="1" s="1"/>
  <c r="I56" i="1"/>
  <c r="H56" i="1" s="1"/>
  <c r="I55" i="1"/>
  <c r="H55" i="1" s="1"/>
  <c r="I67" i="1"/>
  <c r="I62" i="1"/>
  <c r="I58" i="1"/>
  <c r="I59" i="1"/>
  <c r="I65" i="1"/>
  <c r="I63" i="1"/>
  <c r="I64" i="1"/>
  <c r="I66" i="1"/>
  <c r="I60" i="1"/>
  <c r="I61" i="1"/>
  <c r="I54" i="1"/>
  <c r="H54" i="1" s="1"/>
  <c r="H67" i="1"/>
  <c r="H62" i="1"/>
  <c r="H59" i="1"/>
  <c r="H58" i="1"/>
  <c r="H60" i="1"/>
  <c r="H66" i="1"/>
  <c r="H63" i="1"/>
  <c r="B59" i="3" s="1"/>
  <c r="H64" i="1"/>
  <c r="H65" i="1"/>
  <c r="H61" i="1"/>
  <c r="F25" i="1"/>
  <c r="E25" i="1"/>
  <c r="N23" i="1"/>
  <c r="F23" i="1"/>
  <c r="E23" i="1"/>
  <c r="D23" i="1"/>
  <c r="N24" i="1"/>
  <c r="C51" i="5" l="1"/>
  <c r="D36" i="2"/>
  <c r="C52" i="5" l="1"/>
  <c r="C53" i="5" l="1"/>
  <c r="G10" i="1"/>
  <c r="R5" i="1"/>
  <c r="O4" i="1"/>
  <c r="AB6" i="5" l="1"/>
  <c r="AB8" i="5"/>
  <c r="AB7" i="5"/>
  <c r="C54" i="5"/>
  <c r="AB14" i="3"/>
  <c r="Z14" i="3"/>
  <c r="Z32" i="3" s="1"/>
  <c r="C55" i="5" l="1"/>
  <c r="S46" i="3"/>
  <c r="R46" i="3"/>
  <c r="Q46" i="3"/>
  <c r="P46" i="3"/>
  <c r="O46" i="3"/>
  <c r="N46" i="3"/>
  <c r="M46" i="3"/>
  <c r="S26" i="3"/>
  <c r="R26" i="3"/>
  <c r="Q26" i="3"/>
  <c r="P26" i="3"/>
  <c r="O26" i="3"/>
  <c r="N26" i="3"/>
  <c r="M26" i="3"/>
  <c r="B3" i="3"/>
  <c r="A27" i="5"/>
  <c r="A26" i="5"/>
  <c r="A25" i="5"/>
  <c r="A24" i="5"/>
  <c r="A23" i="5"/>
  <c r="E27" i="5"/>
  <c r="E26" i="5"/>
  <c r="E25" i="5"/>
  <c r="E24" i="5"/>
  <c r="B7" i="3" l="1"/>
  <c r="C56" i="5"/>
  <c r="C57" i="5"/>
  <c r="A16" i="5"/>
  <c r="G16" i="5" s="1"/>
  <c r="A15" i="5"/>
  <c r="A14" i="5"/>
  <c r="G14" i="5" s="1"/>
  <c r="Q16" i="5" l="1"/>
  <c r="R16" i="5"/>
  <c r="S16" i="5"/>
  <c r="S14" i="5"/>
  <c r="Q14" i="5"/>
  <c r="R14" i="5"/>
  <c r="B15" i="5"/>
  <c r="H15" i="5" s="1"/>
  <c r="S15" i="5"/>
  <c r="Q15" i="5"/>
  <c r="R15" i="5"/>
  <c r="B14" i="5"/>
  <c r="C14" i="5" s="1"/>
  <c r="B16" i="5"/>
  <c r="C16" i="5" s="1"/>
  <c r="O14" i="5"/>
  <c r="O15" i="5"/>
  <c r="O16" i="5"/>
  <c r="K14" i="5"/>
  <c r="K15" i="5"/>
  <c r="K16" i="5"/>
  <c r="X41" i="3" l="1"/>
  <c r="T41" i="3"/>
  <c r="W41" i="3"/>
  <c r="V41" i="3"/>
  <c r="Y41" i="3"/>
  <c r="U41" i="3"/>
  <c r="X43" i="3"/>
  <c r="T43" i="3"/>
  <c r="W43" i="3"/>
  <c r="V43" i="3"/>
  <c r="Y43" i="3"/>
  <c r="U43" i="3"/>
  <c r="V42" i="3"/>
  <c r="Y42" i="3"/>
  <c r="U42" i="3"/>
  <c r="X42" i="3"/>
  <c r="T42" i="3"/>
  <c r="W42" i="3"/>
  <c r="C15" i="5"/>
  <c r="J15" i="5"/>
  <c r="D17" i="5"/>
  <c r="H14" i="5"/>
  <c r="H16" i="5"/>
  <c r="J16" i="5"/>
  <c r="I15" i="5"/>
  <c r="I14" i="5"/>
  <c r="J14" i="5"/>
  <c r="I16" i="5"/>
  <c r="A17" i="5"/>
  <c r="C17" i="5" l="1"/>
  <c r="L17" i="5"/>
  <c r="B17" i="5"/>
  <c r="G17" i="5"/>
  <c r="F17" i="5"/>
  <c r="C26" i="6"/>
  <c r="C24" i="6"/>
  <c r="B67" i="3"/>
  <c r="B57" i="3"/>
  <c r="H17" i="5" l="1"/>
  <c r="I17" i="5"/>
  <c r="P17" i="5" l="1"/>
  <c r="A24" i="3"/>
  <c r="C7" i="6" s="1"/>
  <c r="F16" i="5" l="1"/>
  <c r="P16" i="5" s="1"/>
  <c r="V23" i="3" l="1"/>
  <c r="Y23" i="3"/>
  <c r="U23" i="3"/>
  <c r="X23" i="3"/>
  <c r="T23" i="3"/>
  <c r="W23" i="3"/>
  <c r="F15" i="5"/>
  <c r="P15" i="5" s="1"/>
  <c r="F14" i="5"/>
  <c r="P14" i="5" s="1"/>
  <c r="N8" i="5"/>
  <c r="V8" i="5"/>
  <c r="N6" i="5"/>
  <c r="N5" i="5"/>
  <c r="N4" i="5"/>
  <c r="W4" i="5"/>
  <c r="V4" i="5"/>
  <c r="V21" i="3" l="1"/>
  <c r="Y21" i="3"/>
  <c r="U21" i="3"/>
  <c r="X21" i="3"/>
  <c r="T21" i="3"/>
  <c r="W21" i="3"/>
  <c r="X22" i="3"/>
  <c r="T22" i="3"/>
  <c r="W22" i="3"/>
  <c r="V22" i="3"/>
  <c r="Y22" i="3"/>
  <c r="U22" i="3"/>
  <c r="AA44" i="3"/>
  <c r="V5" i="5"/>
  <c r="Y5" i="5"/>
  <c r="Y6" i="5"/>
  <c r="V6" i="5"/>
  <c r="R5" i="5"/>
  <c r="R8" i="5"/>
  <c r="R6" i="5"/>
  <c r="R4" i="5"/>
  <c r="Z5" i="5"/>
  <c r="P43" i="3"/>
  <c r="S43" i="3"/>
  <c r="O43" i="3"/>
  <c r="R43" i="3"/>
  <c r="N43" i="3"/>
  <c r="Q43" i="3"/>
  <c r="M43" i="3"/>
  <c r="S42" i="3"/>
  <c r="O42" i="3"/>
  <c r="R42" i="3"/>
  <c r="N42" i="3"/>
  <c r="Q42" i="3"/>
  <c r="M42" i="3"/>
  <c r="P42" i="3"/>
  <c r="R41" i="3"/>
  <c r="N41" i="3"/>
  <c r="Q41" i="3"/>
  <c r="M41" i="3"/>
  <c r="P41" i="3"/>
  <c r="S41" i="3"/>
  <c r="O41" i="3"/>
  <c r="F23" i="3"/>
  <c r="S23" i="3"/>
  <c r="O23" i="3"/>
  <c r="R23" i="3"/>
  <c r="N23" i="3"/>
  <c r="Q23" i="3"/>
  <c r="M23" i="3"/>
  <c r="P23" i="3"/>
  <c r="B58" i="3"/>
  <c r="W6" i="5"/>
  <c r="I42" i="3"/>
  <c r="E42" i="3"/>
  <c r="L42" i="3"/>
  <c r="C42" i="3"/>
  <c r="J42" i="3"/>
  <c r="F42" i="3"/>
  <c r="B42" i="3"/>
  <c r="H42" i="3"/>
  <c r="D42" i="3"/>
  <c r="K42" i="3"/>
  <c r="G42" i="3"/>
  <c r="D23" i="3"/>
  <c r="I23" i="3"/>
  <c r="J23" i="3"/>
  <c r="C23" i="3"/>
  <c r="H23" i="3"/>
  <c r="I43" i="3"/>
  <c r="E43" i="3"/>
  <c r="K43" i="3"/>
  <c r="C43" i="3"/>
  <c r="J43" i="3"/>
  <c r="F43" i="3"/>
  <c r="B43" i="3"/>
  <c r="L43" i="3"/>
  <c r="H43" i="3"/>
  <c r="D43" i="3"/>
  <c r="G43" i="3"/>
  <c r="G23" i="3"/>
  <c r="L23" i="3"/>
  <c r="B23" i="3"/>
  <c r="K23" i="3"/>
  <c r="E23" i="3"/>
  <c r="I41" i="3"/>
  <c r="E41" i="3"/>
  <c r="L41" i="3"/>
  <c r="C41" i="3"/>
  <c r="J41" i="3"/>
  <c r="F41" i="3"/>
  <c r="B41" i="3"/>
  <c r="H41" i="3"/>
  <c r="D41" i="3"/>
  <c r="K41" i="3"/>
  <c r="G41" i="3"/>
  <c r="P5" i="5"/>
  <c r="P8" i="5"/>
  <c r="P4" i="5"/>
  <c r="K4" i="5"/>
  <c r="L4" i="5" s="1"/>
  <c r="P6" i="5"/>
  <c r="K6" i="5"/>
  <c r="L6" i="5" s="1"/>
  <c r="W5" i="5"/>
  <c r="W8" i="5"/>
  <c r="K5" i="5"/>
  <c r="L5" i="5" s="1"/>
  <c r="K8" i="5"/>
  <c r="L8" i="5" s="1"/>
  <c r="AB41" i="3" l="1"/>
  <c r="AB43" i="3"/>
  <c r="AB20" i="3" s="1"/>
  <c r="AB42" i="3"/>
  <c r="AB23" i="3"/>
  <c r="AA23" i="3"/>
  <c r="AA41" i="3"/>
  <c r="AA43" i="3"/>
  <c r="AA42" i="3"/>
  <c r="M4" i="5"/>
  <c r="M6" i="5"/>
  <c r="M8" i="5"/>
  <c r="M5" i="5"/>
  <c r="X5" i="5"/>
  <c r="X6" i="5"/>
  <c r="X4" i="5"/>
  <c r="X8" i="5"/>
  <c r="B22" i="3"/>
  <c r="R22" i="3"/>
  <c r="N22" i="3"/>
  <c r="Q22" i="3"/>
  <c r="M22" i="3"/>
  <c r="P22" i="3"/>
  <c r="S22" i="3"/>
  <c r="O22" i="3"/>
  <c r="Q21" i="3"/>
  <c r="M21" i="3"/>
  <c r="P21" i="3"/>
  <c r="S21" i="3"/>
  <c r="O21" i="3"/>
  <c r="R21" i="3"/>
  <c r="N21" i="3"/>
  <c r="I22" i="3"/>
  <c r="C22" i="3"/>
  <c r="D22" i="3"/>
  <c r="J22" i="3"/>
  <c r="H22" i="3"/>
  <c r="K22" i="3"/>
  <c r="E22" i="3"/>
  <c r="F22" i="3"/>
  <c r="G22" i="3"/>
  <c r="L22" i="3"/>
  <c r="J21" i="3"/>
  <c r="F21" i="3"/>
  <c r="B21" i="3"/>
  <c r="I21" i="3"/>
  <c r="E21" i="3"/>
  <c r="L21" i="3"/>
  <c r="H21" i="3"/>
  <c r="D21" i="3"/>
  <c r="K21" i="3"/>
  <c r="G21" i="3"/>
  <c r="C21" i="3"/>
  <c r="AB22" i="3" l="1"/>
  <c r="AB21" i="3"/>
  <c r="AA22" i="3"/>
  <c r="AA21" i="3"/>
  <c r="AI4" i="1"/>
  <c r="AH4" i="1"/>
  <c r="AG4" i="1"/>
  <c r="AF4" i="1"/>
  <c r="AE4" i="1"/>
  <c r="AD4" i="1"/>
  <c r="AC4" i="1"/>
  <c r="AB4" i="1"/>
  <c r="AA4" i="1"/>
  <c r="Z4" i="1"/>
  <c r="Y4" i="1"/>
  <c r="X4" i="1"/>
  <c r="B68" i="3" l="1"/>
  <c r="B66" i="3"/>
  <c r="B62" i="3"/>
  <c r="B61" i="3"/>
  <c r="B60" i="3"/>
  <c r="B56" i="3"/>
  <c r="B69" i="3" l="1"/>
  <c r="B63" i="3"/>
  <c r="L46" i="3"/>
  <c r="K46" i="3"/>
  <c r="J46" i="3"/>
  <c r="I46" i="3"/>
  <c r="H46" i="3"/>
  <c r="G46" i="3"/>
  <c r="F46" i="3"/>
  <c r="E46" i="3"/>
  <c r="D46" i="3"/>
  <c r="C46" i="3"/>
  <c r="B46" i="3"/>
  <c r="L26" i="3"/>
  <c r="K26" i="3"/>
  <c r="J26" i="3"/>
  <c r="I26" i="3"/>
  <c r="H26" i="3"/>
  <c r="G26" i="3"/>
  <c r="F26" i="3"/>
  <c r="E26" i="3"/>
  <c r="D26" i="3"/>
  <c r="C26" i="3"/>
  <c r="B26" i="3"/>
  <c r="AB46" i="3" l="1"/>
  <c r="AB26" i="3"/>
  <c r="AA46" i="3"/>
  <c r="AA26" i="3"/>
  <c r="C13" i="6"/>
  <c r="D77" i="1"/>
  <c r="D78" i="1" l="1"/>
  <c r="D67" i="2"/>
  <c r="N7" i="5"/>
  <c r="W7" i="5"/>
  <c r="D79" i="1" l="1"/>
  <c r="D68" i="2"/>
  <c r="V7" i="5" l="1"/>
  <c r="D80" i="1"/>
  <c r="D69" i="2"/>
  <c r="R7" i="5"/>
  <c r="P7" i="5"/>
  <c r="K7" i="5"/>
  <c r="L7" i="5" s="1"/>
  <c r="X7" i="5" l="1"/>
  <c r="M7" i="5"/>
  <c r="B6" i="5"/>
  <c r="D70" i="2"/>
  <c r="D81" i="1"/>
  <c r="T6" i="5" l="1"/>
  <c r="S6" i="5" s="1"/>
  <c r="D71" i="2"/>
  <c r="D82" i="1"/>
  <c r="B7" i="5"/>
  <c r="G4" i="1"/>
  <c r="B5" i="3" l="1"/>
  <c r="T7" i="5"/>
  <c r="S7" i="5" s="1"/>
  <c r="Q6" i="5"/>
  <c r="E6" i="5"/>
  <c r="B4" i="5"/>
  <c r="D83" i="1"/>
  <c r="D84" i="1" s="1"/>
  <c r="D85" i="1" s="1"/>
  <c r="D35" i="2"/>
  <c r="AA6" i="5"/>
  <c r="C3" i="3"/>
  <c r="C5" i="3" s="1"/>
  <c r="B14" i="3"/>
  <c r="B24" i="3" s="1"/>
  <c r="T4" i="5" l="1"/>
  <c r="S4" i="5" s="1"/>
  <c r="B8" i="5"/>
  <c r="D86" i="1"/>
  <c r="B8" i="3" a="1"/>
  <c r="B8" i="3" s="1"/>
  <c r="C7" i="3"/>
  <c r="D3" i="3"/>
  <c r="D5" i="3" s="1"/>
  <c r="C14" i="3"/>
  <c r="C24" i="3" s="1"/>
  <c r="AC3" i="5"/>
  <c r="B32" i="3"/>
  <c r="AB32" i="3"/>
  <c r="B39" i="3" l="1"/>
  <c r="Q4" i="5"/>
  <c r="E4" i="5"/>
  <c r="AA4" i="5"/>
  <c r="T8" i="5"/>
  <c r="S8" i="5" s="1"/>
  <c r="B5" i="5"/>
  <c r="D87" i="1"/>
  <c r="B49" i="3" a="1"/>
  <c r="B49" i="3" s="1"/>
  <c r="C8" i="3" a="1"/>
  <c r="C8" i="3" s="1"/>
  <c r="D7" i="3"/>
  <c r="E3" i="3"/>
  <c r="E5" i="3" s="1"/>
  <c r="D14" i="3"/>
  <c r="D24" i="3" s="1"/>
  <c r="B47" i="3"/>
  <c r="AD3" i="5"/>
  <c r="C32" i="3"/>
  <c r="C49" i="3" l="1" a="1"/>
  <c r="C49" i="3" s="1"/>
  <c r="C39" i="3"/>
  <c r="E8" i="5"/>
  <c r="AA8" i="5"/>
  <c r="Q8" i="5"/>
  <c r="T5" i="5"/>
  <c r="S5" i="5" s="1"/>
  <c r="D8" i="3" a="1"/>
  <c r="D8" i="3" s="1"/>
  <c r="E7" i="3"/>
  <c r="F3" i="3"/>
  <c r="F5" i="3" s="1"/>
  <c r="E14" i="3"/>
  <c r="E24" i="3" s="1"/>
  <c r="C47" i="3"/>
  <c r="D32" i="3"/>
  <c r="AE3" i="5"/>
  <c r="D39" i="3" l="1"/>
  <c r="AA5" i="5"/>
  <c r="E5" i="5"/>
  <c r="Q5" i="5"/>
  <c r="D49" i="3" a="1"/>
  <c r="D49" i="3" s="1"/>
  <c r="E8" i="3" a="1"/>
  <c r="E8" i="3" s="1"/>
  <c r="F7" i="3"/>
  <c r="G3" i="3"/>
  <c r="G5" i="3" s="1"/>
  <c r="F14" i="3"/>
  <c r="F24" i="3" s="1"/>
  <c r="AF3" i="5"/>
  <c r="E32" i="3"/>
  <c r="E39" i="3" s="1"/>
  <c r="D47" i="3"/>
  <c r="E49" i="3" l="1" a="1"/>
  <c r="E49" i="3" s="1"/>
  <c r="F8" i="3" a="1"/>
  <c r="F8" i="3" s="1"/>
  <c r="G7" i="3"/>
  <c r="H3" i="3"/>
  <c r="H5" i="3" s="1"/>
  <c r="G14" i="3"/>
  <c r="G24" i="3" s="1"/>
  <c r="E47" i="3"/>
  <c r="AG3" i="5"/>
  <c r="F32" i="3"/>
  <c r="F39" i="3" l="1"/>
  <c r="F49" i="3" a="1"/>
  <c r="F49" i="3" s="1"/>
  <c r="G8" i="3" a="1"/>
  <c r="G8" i="3" s="1"/>
  <c r="H7" i="3"/>
  <c r="I3" i="3"/>
  <c r="I5" i="3" s="1"/>
  <c r="H14" i="3"/>
  <c r="H24" i="3" s="1"/>
  <c r="AH3" i="5"/>
  <c r="G32" i="3"/>
  <c r="F47" i="3"/>
  <c r="G39" i="3" l="1"/>
  <c r="G49" i="3" a="1"/>
  <c r="G49" i="3" s="1"/>
  <c r="H8" i="3" a="1"/>
  <c r="H8" i="3" s="1"/>
  <c r="I7" i="3"/>
  <c r="J3" i="3"/>
  <c r="J5" i="3" s="1"/>
  <c r="I14" i="3"/>
  <c r="I24" i="3" s="1"/>
  <c r="G47" i="3"/>
  <c r="H32" i="3"/>
  <c r="AI3" i="5"/>
  <c r="H49" i="3" l="1" a="1"/>
  <c r="H49" i="3" s="1"/>
  <c r="H39" i="3"/>
  <c r="I8" i="3" a="1"/>
  <c r="I8" i="3" s="1"/>
  <c r="J7" i="3"/>
  <c r="K3" i="3"/>
  <c r="J14" i="3"/>
  <c r="J24" i="3" s="1"/>
  <c r="AJ3" i="5"/>
  <c r="I32" i="3"/>
  <c r="H47" i="3"/>
  <c r="I49" i="3" l="1" a="1"/>
  <c r="I49" i="3" s="1"/>
  <c r="I39" i="3"/>
  <c r="K7" i="3"/>
  <c r="K5" i="3"/>
  <c r="J8" i="3" a="1"/>
  <c r="J8" i="3" s="1"/>
  <c r="AL3" i="5"/>
  <c r="L3" i="3"/>
  <c r="K14" i="3"/>
  <c r="K24" i="3" s="1"/>
  <c r="AK3" i="5"/>
  <c r="J32" i="3"/>
  <c r="I47" i="3"/>
  <c r="J49" i="3" l="1" a="1"/>
  <c r="J49" i="3" s="1"/>
  <c r="J39" i="3"/>
  <c r="L7" i="3"/>
  <c r="L5" i="3"/>
  <c r="K8" i="3" a="1"/>
  <c r="K8" i="3" s="1"/>
  <c r="AM3" i="5"/>
  <c r="M3" i="3"/>
  <c r="L8" i="3" s="1" a="1"/>
  <c r="L8" i="3" s="1"/>
  <c r="L14" i="3"/>
  <c r="L24" i="3" s="1"/>
  <c r="J47" i="3"/>
  <c r="K32" i="3"/>
  <c r="K49" i="3" l="1" a="1"/>
  <c r="K49" i="3" s="1"/>
  <c r="K39" i="3"/>
  <c r="M7" i="3"/>
  <c r="AA7" i="3" s="1"/>
  <c r="M5" i="3"/>
  <c r="N3" i="3"/>
  <c r="M8" i="3" s="1" a="1"/>
  <c r="M8" i="3" s="1"/>
  <c r="M14" i="3"/>
  <c r="M24" i="3" s="1"/>
  <c r="AA24" i="3" s="1"/>
  <c r="AN3" i="5"/>
  <c r="K47" i="3"/>
  <c r="L32" i="3"/>
  <c r="L49" i="3" l="1" a="1"/>
  <c r="L49" i="3" s="1"/>
  <c r="L39" i="3"/>
  <c r="N7" i="3"/>
  <c r="N5" i="3"/>
  <c r="AO3" i="5"/>
  <c r="O3" i="3"/>
  <c r="N8" i="3" s="1" a="1"/>
  <c r="N8" i="3" s="1"/>
  <c r="N14" i="3"/>
  <c r="N24" i="3" s="1"/>
  <c r="M32" i="3"/>
  <c r="L47" i="3"/>
  <c r="M49" i="3" l="1" a="1"/>
  <c r="M49" i="3" s="1"/>
  <c r="AA49" i="3" s="1"/>
  <c r="M39" i="3"/>
  <c r="AA39" i="3" s="1"/>
  <c r="O7" i="3"/>
  <c r="O5" i="3"/>
  <c r="AP3" i="5"/>
  <c r="O14" i="3"/>
  <c r="O24" i="3" s="1"/>
  <c r="P3" i="3"/>
  <c r="O8" i="3" s="1" a="1"/>
  <c r="O8" i="3" s="1"/>
  <c r="N32" i="3"/>
  <c r="M47" i="3"/>
  <c r="AA47" i="3" l="1"/>
  <c r="AB47" i="3"/>
  <c r="N49" i="3" a="1"/>
  <c r="N49" i="3" s="1"/>
  <c r="N39" i="3"/>
  <c r="P7" i="3"/>
  <c r="P5" i="3"/>
  <c r="AQ3" i="5"/>
  <c r="Q3" i="3"/>
  <c r="P8" i="3" s="1" a="1"/>
  <c r="P8" i="3" s="1"/>
  <c r="P14" i="3"/>
  <c r="P24" i="3" s="1"/>
  <c r="O32" i="3"/>
  <c r="O49" i="3" l="1" a="1"/>
  <c r="O49" i="3" s="1"/>
  <c r="O39" i="3"/>
  <c r="Q7" i="3"/>
  <c r="Q5" i="3"/>
  <c r="P32" i="3"/>
  <c r="AR3" i="5"/>
  <c r="Q14" i="3"/>
  <c r="Q24" i="3" s="1"/>
  <c r="R3" i="3"/>
  <c r="Q8" i="3" s="1" a="1"/>
  <c r="Q8" i="3" s="1"/>
  <c r="P49" i="3" l="1" a="1"/>
  <c r="P49" i="3" s="1"/>
  <c r="P39" i="3"/>
  <c r="R7" i="3"/>
  <c r="R5" i="3"/>
  <c r="AS3" i="5"/>
  <c r="R14" i="3"/>
  <c r="R24" i="3" s="1"/>
  <c r="S3" i="3"/>
  <c r="Q32" i="3"/>
  <c r="R8" i="3" l="1" a="1"/>
  <c r="R8" i="3" s="1"/>
  <c r="T3" i="3"/>
  <c r="Q49" i="3" a="1"/>
  <c r="Q49" i="3" s="1"/>
  <c r="Q39" i="3"/>
  <c r="S7" i="3"/>
  <c r="S5" i="3"/>
  <c r="AT3" i="5"/>
  <c r="S14" i="3"/>
  <c r="S24" i="3" s="1"/>
  <c r="R32" i="3"/>
  <c r="U3" i="3" l="1"/>
  <c r="S8" i="3" a="1"/>
  <c r="S8" i="3" s="1"/>
  <c r="Z25" i="3" s="1" a="1"/>
  <c r="Z25" i="3" s="1"/>
  <c r="T14" i="3"/>
  <c r="T7" i="3"/>
  <c r="T5" i="3"/>
  <c r="R49" i="3" a="1"/>
  <c r="R49" i="3" s="1"/>
  <c r="R39" i="3"/>
  <c r="AA8" i="3"/>
  <c r="S32" i="3"/>
  <c r="Z26" i="3" l="1" a="1"/>
  <c r="Z26" i="3" s="1"/>
  <c r="T8" i="3" a="1"/>
  <c r="T8" i="3" s="1"/>
  <c r="U14" i="3"/>
  <c r="V3" i="3"/>
  <c r="U7" i="3"/>
  <c r="U5" i="3"/>
  <c r="Z40" i="3" a="1"/>
  <c r="Z40" i="3" s="1"/>
  <c r="C16" i="6"/>
  <c r="T24" i="3"/>
  <c r="T32" i="3"/>
  <c r="S49" i="3" a="1"/>
  <c r="S49" i="3" s="1"/>
  <c r="S39" i="3"/>
  <c r="T39" i="3" l="1"/>
  <c r="T49" i="3" a="1"/>
  <c r="T49" i="3" s="1"/>
  <c r="U24" i="3"/>
  <c r="U32" i="3"/>
  <c r="U8" i="3" a="1"/>
  <c r="U8" i="3" s="1"/>
  <c r="V14" i="3"/>
  <c r="W3" i="3"/>
  <c r="V7" i="3"/>
  <c r="V5" i="3"/>
  <c r="C4" i="5"/>
  <c r="C6" i="5"/>
  <c r="F6" i="5" s="1"/>
  <c r="D6" i="5"/>
  <c r="C5" i="5"/>
  <c r="F5" i="5" s="1"/>
  <c r="D8" i="5"/>
  <c r="C8" i="5"/>
  <c r="F8" i="5" s="1"/>
  <c r="D5" i="5"/>
  <c r="D4" i="5"/>
  <c r="V8" i="3" l="1" a="1"/>
  <c r="V8" i="3" s="1"/>
  <c r="W14" i="3"/>
  <c r="W17" i="3" s="1"/>
  <c r="K17" i="3" s="1"/>
  <c r="X3" i="3"/>
  <c r="W7" i="3"/>
  <c r="W5" i="3"/>
  <c r="V24" i="3"/>
  <c r="V32" i="3"/>
  <c r="U39" i="3"/>
  <c r="U49" i="3" a="1"/>
  <c r="U49" i="3" s="1"/>
  <c r="U17" i="3"/>
  <c r="I17" i="3" s="1"/>
  <c r="V17" i="3"/>
  <c r="J17" i="3" s="1"/>
  <c r="T17" i="3"/>
  <c r="H17" i="3" s="1"/>
  <c r="U19" i="3"/>
  <c r="I19" i="3" s="1"/>
  <c r="T19" i="3"/>
  <c r="H19" i="3" s="1"/>
  <c r="V19" i="3"/>
  <c r="J19" i="3" s="1"/>
  <c r="F4" i="5"/>
  <c r="G8" i="5"/>
  <c r="AT8" i="5"/>
  <c r="S19" i="3" s="1"/>
  <c r="G19" i="3" s="1"/>
  <c r="AP8" i="5"/>
  <c r="O19" i="3" s="1"/>
  <c r="C19" i="3" s="1"/>
  <c r="AL8" i="5"/>
  <c r="AH8" i="5"/>
  <c r="AD8" i="5"/>
  <c r="AS8" i="5"/>
  <c r="R19" i="3" s="1"/>
  <c r="F19" i="3" s="1"/>
  <c r="AO8" i="5"/>
  <c r="N19" i="3" s="1"/>
  <c r="B19" i="3" s="1"/>
  <c r="AK8" i="5"/>
  <c r="AG8" i="5"/>
  <c r="AC8" i="5"/>
  <c r="AR8" i="5"/>
  <c r="Q19" i="3" s="1"/>
  <c r="E19" i="3" s="1"/>
  <c r="AN8" i="5"/>
  <c r="AJ8" i="5"/>
  <c r="AF8" i="5"/>
  <c r="AQ8" i="5"/>
  <c r="P19" i="3" s="1"/>
  <c r="D19" i="3" s="1"/>
  <c r="AM8" i="5"/>
  <c r="AI8" i="5"/>
  <c r="AE8" i="5"/>
  <c r="AT4" i="5"/>
  <c r="AP4" i="5"/>
  <c r="AL4" i="5"/>
  <c r="AH4" i="5"/>
  <c r="AD4" i="5"/>
  <c r="AS4" i="5"/>
  <c r="AO4" i="5"/>
  <c r="AK4" i="5"/>
  <c r="AG4" i="5"/>
  <c r="AC4" i="5"/>
  <c r="AR4" i="5"/>
  <c r="AN4" i="5"/>
  <c r="AJ4" i="5"/>
  <c r="AF4" i="5"/>
  <c r="AI4" i="5"/>
  <c r="AE4" i="5"/>
  <c r="AQ4" i="5"/>
  <c r="AM4" i="5"/>
  <c r="AR5" i="5"/>
  <c r="AN5" i="5"/>
  <c r="AJ5" i="5"/>
  <c r="AF5" i="5"/>
  <c r="AQ5" i="5"/>
  <c r="AM5" i="5"/>
  <c r="AI5" i="5"/>
  <c r="AE5" i="5"/>
  <c r="AT5" i="5"/>
  <c r="AP5" i="5"/>
  <c r="AL5" i="5"/>
  <c r="AH5" i="5"/>
  <c r="AD5" i="5"/>
  <c r="AS5" i="5"/>
  <c r="AO5" i="5"/>
  <c r="AK5" i="5"/>
  <c r="AG5" i="5"/>
  <c r="AC5" i="5"/>
  <c r="G6" i="5"/>
  <c r="AT6" i="5"/>
  <c r="AP6" i="5"/>
  <c r="AL6" i="5"/>
  <c r="AH6" i="5"/>
  <c r="AD6" i="5"/>
  <c r="AS6" i="5"/>
  <c r="R17" i="3" s="1"/>
  <c r="F17" i="3" s="1"/>
  <c r="AO6" i="5"/>
  <c r="N17" i="3" s="1"/>
  <c r="B17" i="3" s="1"/>
  <c r="AK6" i="5"/>
  <c r="AG6" i="5"/>
  <c r="AC6" i="5"/>
  <c r="AR6" i="5"/>
  <c r="Q17" i="3" s="1"/>
  <c r="E17" i="3" s="1"/>
  <c r="AN6" i="5"/>
  <c r="AJ6" i="5"/>
  <c r="AF6" i="5"/>
  <c r="AQ6" i="5"/>
  <c r="P17" i="3" s="1"/>
  <c r="D17" i="3" s="1"/>
  <c r="AM6" i="5"/>
  <c r="AI6" i="5"/>
  <c r="AE6" i="5"/>
  <c r="G4" i="5"/>
  <c r="T15" i="3" s="1"/>
  <c r="H15" i="3" s="1"/>
  <c r="G5" i="5"/>
  <c r="U16" i="3" s="1"/>
  <c r="I16" i="3" s="1"/>
  <c r="S17" i="3"/>
  <c r="G17" i="3" s="1"/>
  <c r="O17" i="3"/>
  <c r="C17" i="3" s="1"/>
  <c r="T16" i="3" l="1"/>
  <c r="H16" i="3" s="1"/>
  <c r="V16" i="3"/>
  <c r="J16" i="3" s="1"/>
  <c r="V39" i="3"/>
  <c r="V49" i="3" a="1"/>
  <c r="V49" i="3" s="1"/>
  <c r="W8" i="3" a="1"/>
  <c r="W8" i="3" s="1"/>
  <c r="Y3" i="3"/>
  <c r="X7" i="3"/>
  <c r="X14" i="3"/>
  <c r="X15" i="3" s="1"/>
  <c r="L15" i="3" s="1"/>
  <c r="X5" i="3"/>
  <c r="W24" i="3"/>
  <c r="W32" i="3"/>
  <c r="W19" i="3"/>
  <c r="K19" i="3" s="1"/>
  <c r="W16" i="3"/>
  <c r="K16" i="3" s="1"/>
  <c r="U15" i="3"/>
  <c r="I15" i="3" s="1"/>
  <c r="W15" i="3"/>
  <c r="K15" i="3" s="1"/>
  <c r="V15" i="3"/>
  <c r="J15" i="3" s="1"/>
  <c r="Q16" i="3"/>
  <c r="E16" i="3" s="1"/>
  <c r="O15" i="3"/>
  <c r="C15" i="3" s="1"/>
  <c r="R16" i="3"/>
  <c r="F16" i="3" s="1"/>
  <c r="Q15" i="3"/>
  <c r="E15" i="3" s="1"/>
  <c r="P15" i="3"/>
  <c r="D15" i="3" s="1"/>
  <c r="N15" i="3"/>
  <c r="B15" i="3" s="1"/>
  <c r="S15" i="3"/>
  <c r="G15" i="3" s="1"/>
  <c r="O16" i="3"/>
  <c r="C16" i="3" s="1"/>
  <c r="R15" i="3"/>
  <c r="F15" i="3" s="1"/>
  <c r="N16" i="3"/>
  <c r="B16" i="3" s="1"/>
  <c r="S16" i="3"/>
  <c r="G16" i="3" s="1"/>
  <c r="P16" i="3"/>
  <c r="D16" i="3" s="1"/>
  <c r="D7" i="5"/>
  <c r="C7" i="5"/>
  <c r="W39" i="3" l="1"/>
  <c r="W49" i="3" a="1"/>
  <c r="W49" i="3" s="1"/>
  <c r="X8" i="3" a="1"/>
  <c r="X8" i="3" s="1"/>
  <c r="AC3" i="3"/>
  <c r="Y8" i="3" s="1" a="1"/>
  <c r="Y8" i="3" s="1"/>
  <c r="Y14" i="3"/>
  <c r="Y7" i="3"/>
  <c r="AB7" i="3" s="1"/>
  <c r="Y5" i="3"/>
  <c r="X24" i="3"/>
  <c r="X32" i="3"/>
  <c r="X16" i="3"/>
  <c r="L16" i="3" s="1"/>
  <c r="X19" i="3"/>
  <c r="L19" i="3" s="1"/>
  <c r="X17" i="3"/>
  <c r="L17" i="3" s="1"/>
  <c r="AR7" i="5"/>
  <c r="AN7" i="5"/>
  <c r="AJ7" i="5"/>
  <c r="AF7" i="5"/>
  <c r="AQ7" i="5"/>
  <c r="AM7" i="5"/>
  <c r="AI7" i="5"/>
  <c r="AE7" i="5"/>
  <c r="AT7" i="5"/>
  <c r="AP7" i="5"/>
  <c r="AL7" i="5"/>
  <c r="AH7" i="5"/>
  <c r="AD7" i="5"/>
  <c r="AS7" i="5"/>
  <c r="AO7" i="5"/>
  <c r="AK7" i="5"/>
  <c r="AG7" i="5"/>
  <c r="AC7" i="5"/>
  <c r="E7" i="5"/>
  <c r="G7" i="5"/>
  <c r="P36" i="3" s="1" a="1"/>
  <c r="P36" i="3" s="1"/>
  <c r="D36" i="3" s="1"/>
  <c r="F7" i="5"/>
  <c r="AA7" i="5"/>
  <c r="Q7" i="5"/>
  <c r="T18" i="3" s="1"/>
  <c r="N38" i="3" l="1" a="1"/>
  <c r="N38" i="3" s="1"/>
  <c r="B38" i="3" s="1"/>
  <c r="O38" i="3" a="1"/>
  <c r="O38" i="3" s="1"/>
  <c r="C38" i="3" s="1"/>
  <c r="P38" i="3" a="1"/>
  <c r="P38" i="3" s="1"/>
  <c r="D38" i="3" s="1"/>
  <c r="Q38" i="3" a="1"/>
  <c r="Q38" i="3" s="1"/>
  <c r="E38" i="3" s="1"/>
  <c r="R38" i="3" a="1"/>
  <c r="R38" i="3" s="1"/>
  <c r="F38" i="3" s="1"/>
  <c r="S38" i="3" a="1"/>
  <c r="S38" i="3" s="1"/>
  <c r="G38" i="3" s="1"/>
  <c r="T38" i="3" a="1"/>
  <c r="T38" i="3" s="1"/>
  <c r="H38" i="3" s="1"/>
  <c r="U38" i="3" a="1"/>
  <c r="U38" i="3" s="1"/>
  <c r="I38" i="3" s="1"/>
  <c r="V38" i="3" a="1"/>
  <c r="V38" i="3" s="1"/>
  <c r="J38" i="3" s="1"/>
  <c r="X38" i="3" a="1"/>
  <c r="X38" i="3" s="1"/>
  <c r="L38" i="3" s="1"/>
  <c r="W38" i="3" a="1"/>
  <c r="W38" i="3" s="1"/>
  <c r="K38" i="3" s="1"/>
  <c r="Z45" i="3" a="1"/>
  <c r="Z45" i="3" s="1"/>
  <c r="T27" i="3"/>
  <c r="H18" i="3"/>
  <c r="H27" i="3" s="1"/>
  <c r="AB8" i="3"/>
  <c r="Z43" i="3" a="1"/>
  <c r="Z43" i="3" s="1"/>
  <c r="Z44" i="3" a="1"/>
  <c r="Z44" i="3" s="1"/>
  <c r="Z42" i="3" a="1"/>
  <c r="Z42" i="3" s="1"/>
  <c r="Z41" i="3" a="1"/>
  <c r="Z41" i="3" s="1"/>
  <c r="Z47" i="3" a="1"/>
  <c r="Z47" i="3" s="1"/>
  <c r="X39" i="3"/>
  <c r="X49" i="3" a="1"/>
  <c r="X49" i="3" s="1"/>
  <c r="Z46" i="3" a="1"/>
  <c r="Z46" i="3" s="1"/>
  <c r="Z22" i="3" a="1"/>
  <c r="Z22" i="3" s="1"/>
  <c r="Z8" i="3" a="1"/>
  <c r="Z8" i="3" s="1"/>
  <c r="Z20" i="3" a="1"/>
  <c r="Z20" i="3" s="1"/>
  <c r="Y24" i="3"/>
  <c r="AB24" i="3" s="1"/>
  <c r="Y32" i="3"/>
  <c r="Y17" i="3"/>
  <c r="Y16" i="3"/>
  <c r="Y19" i="3"/>
  <c r="Y15" i="3"/>
  <c r="Z23" i="3" a="1"/>
  <c r="Z23" i="3" s="1"/>
  <c r="Z21" i="3" a="1"/>
  <c r="Z21" i="3" s="1"/>
  <c r="Z24" i="3" a="1"/>
  <c r="Z24" i="3" s="1"/>
  <c r="Z7" i="3" a="1"/>
  <c r="Z7" i="3" s="1"/>
  <c r="W33" i="3" a="1"/>
  <c r="W33" i="3" s="1"/>
  <c r="K33" i="3" s="1"/>
  <c r="X36" i="3" a="1"/>
  <c r="X36" i="3" s="1"/>
  <c r="L36" i="3" s="1"/>
  <c r="X18" i="3"/>
  <c r="X33" i="3" a="1"/>
  <c r="X33" i="3" s="1"/>
  <c r="L33" i="3" s="1"/>
  <c r="T36" i="3" a="1"/>
  <c r="T36" i="3" s="1"/>
  <c r="H36" i="3" s="1"/>
  <c r="W18" i="3"/>
  <c r="U18" i="3"/>
  <c r="V36" i="3" a="1"/>
  <c r="V36" i="3" s="1"/>
  <c r="J36" i="3" s="1"/>
  <c r="W35" i="3" a="1"/>
  <c r="W35" i="3" s="1"/>
  <c r="K35" i="3" s="1"/>
  <c r="X35" i="3" a="1"/>
  <c r="X35" i="3" s="1"/>
  <c r="L35" i="3" s="1"/>
  <c r="T35" i="3" a="1"/>
  <c r="T35" i="3" s="1"/>
  <c r="H35" i="3" s="1"/>
  <c r="V18" i="3"/>
  <c r="V35" i="3" a="1"/>
  <c r="V35" i="3" s="1"/>
  <c r="J35" i="3" s="1"/>
  <c r="T33" i="3" a="1"/>
  <c r="T33" i="3" s="1"/>
  <c r="H33" i="3" s="1"/>
  <c r="V34" i="3" a="1"/>
  <c r="V34" i="3" s="1"/>
  <c r="J34" i="3" s="1"/>
  <c r="W34" i="3" a="1"/>
  <c r="W34" i="3" s="1"/>
  <c r="K34" i="3" s="1"/>
  <c r="X37" i="3" a="1"/>
  <c r="X37" i="3" s="1"/>
  <c r="L37" i="3" s="1"/>
  <c r="U34" i="3" a="1"/>
  <c r="U34" i="3" s="1"/>
  <c r="I34" i="3" s="1"/>
  <c r="T34" i="3" a="1"/>
  <c r="T34" i="3" s="1"/>
  <c r="H34" i="3" s="1"/>
  <c r="U37" i="3" a="1"/>
  <c r="U37" i="3" s="1"/>
  <c r="I37" i="3" s="1"/>
  <c r="V37" i="3" a="1"/>
  <c r="V37" i="3" s="1"/>
  <c r="J37" i="3" s="1"/>
  <c r="X34" i="3" a="1"/>
  <c r="X34" i="3" s="1"/>
  <c r="L34" i="3" s="1"/>
  <c r="T37" i="3" a="1"/>
  <c r="T37" i="3" s="1"/>
  <c r="H37" i="3" s="1"/>
  <c r="W37" i="3" a="1"/>
  <c r="W37" i="3" s="1"/>
  <c r="K37" i="3" s="1"/>
  <c r="U33" i="3" a="1"/>
  <c r="U33" i="3" s="1"/>
  <c r="I33" i="3" s="1"/>
  <c r="U35" i="3" a="1"/>
  <c r="U35" i="3" s="1"/>
  <c r="I35" i="3" s="1"/>
  <c r="W36" i="3" a="1"/>
  <c r="W36" i="3" s="1"/>
  <c r="K36" i="3" s="1"/>
  <c r="Y18" i="3"/>
  <c r="M18" i="3" s="1"/>
  <c r="V33" i="3" a="1"/>
  <c r="V33" i="3" s="1"/>
  <c r="J33" i="3" s="1"/>
  <c r="U36" i="3" a="1"/>
  <c r="U36" i="3" s="1"/>
  <c r="I36" i="3" s="1"/>
  <c r="S33" i="3" a="1"/>
  <c r="S33" i="3" s="1"/>
  <c r="G33" i="3" s="1"/>
  <c r="N35" i="3" a="1"/>
  <c r="N35" i="3" s="1"/>
  <c r="B35" i="3" s="1"/>
  <c r="Q36" i="3" a="1"/>
  <c r="Q36" i="3" s="1"/>
  <c r="E36" i="3" s="1"/>
  <c r="N36" i="3" a="1"/>
  <c r="N36" i="3" s="1"/>
  <c r="B36" i="3" s="1"/>
  <c r="S36" i="3" a="1"/>
  <c r="S36" i="3" s="1"/>
  <c r="G36" i="3" s="1"/>
  <c r="R36" i="3" a="1"/>
  <c r="R36" i="3" s="1"/>
  <c r="F36" i="3" s="1"/>
  <c r="O33" i="3" a="1"/>
  <c r="O33" i="3" s="1"/>
  <c r="C33" i="3" s="1"/>
  <c r="O34" i="3" a="1"/>
  <c r="O34" i="3" s="1"/>
  <c r="C34" i="3" s="1"/>
  <c r="P34" i="3" a="1"/>
  <c r="P34" i="3" s="1"/>
  <c r="D34" i="3" s="1"/>
  <c r="Q34" i="3" a="1"/>
  <c r="Q34" i="3" s="1"/>
  <c r="E34" i="3" s="1"/>
  <c r="R34" i="3" a="1"/>
  <c r="R34" i="3" s="1"/>
  <c r="F34" i="3" s="1"/>
  <c r="S34" i="3" a="1"/>
  <c r="S34" i="3" s="1"/>
  <c r="G34" i="3" s="1"/>
  <c r="N34" i="3" a="1"/>
  <c r="N34" i="3" s="1"/>
  <c r="B34" i="3" s="1"/>
  <c r="P33" i="3" a="1"/>
  <c r="P33" i="3" s="1"/>
  <c r="D33" i="3" s="1"/>
  <c r="R33" i="3" a="1"/>
  <c r="R33" i="3" s="1"/>
  <c r="F33" i="3" s="1"/>
  <c r="N33" i="3" a="1"/>
  <c r="N33" i="3" s="1"/>
  <c r="B33" i="3" s="1"/>
  <c r="O36" i="3" a="1"/>
  <c r="O36" i="3" s="1"/>
  <c r="C36" i="3" s="1"/>
  <c r="R35" i="3" a="1"/>
  <c r="R35" i="3" s="1"/>
  <c r="F35" i="3" s="1"/>
  <c r="S35" i="3" a="1"/>
  <c r="S35" i="3" s="1"/>
  <c r="G35" i="3" s="1"/>
  <c r="P35" i="3" a="1"/>
  <c r="P35" i="3" s="1"/>
  <c r="D35" i="3" s="1"/>
  <c r="O35" i="3" a="1"/>
  <c r="O35" i="3" s="1"/>
  <c r="C35" i="3" s="1"/>
  <c r="Q35" i="3" a="1"/>
  <c r="Q35" i="3" s="1"/>
  <c r="E35" i="3" s="1"/>
  <c r="Q33" i="3" a="1"/>
  <c r="Q33" i="3" s="1"/>
  <c r="E33" i="3" s="1"/>
  <c r="S18" i="3"/>
  <c r="O18" i="3"/>
  <c r="P18" i="3"/>
  <c r="Q18" i="3"/>
  <c r="R18" i="3"/>
  <c r="F18" i="3" s="1"/>
  <c r="F27" i="3" s="1"/>
  <c r="N18" i="3"/>
  <c r="P37" i="3" a="1"/>
  <c r="P37" i="3" s="1"/>
  <c r="D37" i="3" s="1"/>
  <c r="S37" i="3" a="1"/>
  <c r="S37" i="3" s="1"/>
  <c r="G37" i="3" s="1"/>
  <c r="R37" i="3" a="1"/>
  <c r="R37" i="3" s="1"/>
  <c r="F37" i="3" s="1"/>
  <c r="Q37" i="3" a="1"/>
  <c r="Q37" i="3" s="1"/>
  <c r="E37" i="3" s="1"/>
  <c r="O37" i="3" a="1"/>
  <c r="O37" i="3" s="1"/>
  <c r="C37" i="3" s="1"/>
  <c r="N37" i="3" a="1"/>
  <c r="N37" i="3" s="1"/>
  <c r="B37" i="3" s="1"/>
  <c r="Y36" i="3" l="1" a="1"/>
  <c r="Y36" i="3" s="1"/>
  <c r="M36" i="3" s="1"/>
  <c r="AB36" i="3" s="1"/>
  <c r="Y38" i="3" a="1"/>
  <c r="Y38" i="3" s="1"/>
  <c r="M38" i="3" s="1"/>
  <c r="AB38" i="3" s="1"/>
  <c r="Y35" i="3" a="1"/>
  <c r="Y35" i="3" s="1"/>
  <c r="M35" i="3" s="1"/>
  <c r="AA35" i="3" s="1"/>
  <c r="Y37" i="3" a="1"/>
  <c r="Y37" i="3" s="1"/>
  <c r="M37" i="3" s="1"/>
  <c r="AB37" i="3" s="1"/>
  <c r="U27" i="3"/>
  <c r="I18" i="3"/>
  <c r="I27" i="3" s="1"/>
  <c r="M17" i="3"/>
  <c r="AA17" i="3" s="1"/>
  <c r="M15" i="3"/>
  <c r="AB15" i="3" s="1"/>
  <c r="X27" i="3"/>
  <c r="L18" i="3"/>
  <c r="L27" i="3" s="1"/>
  <c r="M19" i="3"/>
  <c r="AA19" i="3" s="1"/>
  <c r="V27" i="3"/>
  <c r="J18" i="3"/>
  <c r="J27" i="3" s="1"/>
  <c r="W27" i="3"/>
  <c r="K18" i="3"/>
  <c r="K27" i="3" s="1"/>
  <c r="M16" i="3"/>
  <c r="Y39" i="3"/>
  <c r="Y49" i="3" a="1"/>
  <c r="Y49" i="3" s="1"/>
  <c r="AB49" i="3" s="1"/>
  <c r="Y27" i="3"/>
  <c r="Y33" i="3" a="1"/>
  <c r="Y33" i="3" s="1"/>
  <c r="Y34" i="3" a="1"/>
  <c r="Y34" i="3" s="1"/>
  <c r="S27" i="3"/>
  <c r="G18" i="3"/>
  <c r="G27" i="3" s="1"/>
  <c r="R27" i="3"/>
  <c r="Q27" i="3"/>
  <c r="E18" i="3"/>
  <c r="E27" i="3" s="1"/>
  <c r="N27" i="3"/>
  <c r="B18" i="3"/>
  <c r="O27" i="3"/>
  <c r="C18" i="3"/>
  <c r="C27" i="3" s="1"/>
  <c r="P27" i="3"/>
  <c r="D18" i="3"/>
  <c r="D27" i="3" s="1"/>
  <c r="AA36" i="3" l="1"/>
  <c r="Z36" i="3" a="1"/>
  <c r="Z36" i="3" s="1"/>
  <c r="AA37" i="3"/>
  <c r="Z35" i="3" a="1"/>
  <c r="Z35" i="3" s="1"/>
  <c r="Z37" i="3" a="1"/>
  <c r="Z37" i="3" s="1"/>
  <c r="AB35" i="3"/>
  <c r="Z38" i="3" a="1"/>
  <c r="Z38" i="3" s="1"/>
  <c r="AA38" i="3"/>
  <c r="M34" i="3"/>
  <c r="AA34" i="3" s="1"/>
  <c r="M33" i="3"/>
  <c r="AA33" i="3" s="1"/>
  <c r="Z49" i="3" a="1"/>
  <c r="Z49" i="3" s="1"/>
  <c r="AB19" i="3"/>
  <c r="Z19" i="3" a="1"/>
  <c r="Z19" i="3" s="1"/>
  <c r="Z15" i="3" a="1"/>
  <c r="Z15" i="3" s="1"/>
  <c r="AB17" i="3"/>
  <c r="AA16" i="3"/>
  <c r="Z16" i="3" a="1"/>
  <c r="Z16" i="3" s="1"/>
  <c r="AB16" i="3"/>
  <c r="Z17" i="3" a="1"/>
  <c r="Z17" i="3" s="1"/>
  <c r="AA15" i="3"/>
  <c r="M27" i="3"/>
  <c r="Z33" i="3" a="1"/>
  <c r="Z33" i="3" s="1"/>
  <c r="AB39" i="3"/>
  <c r="Z39" i="3" a="1"/>
  <c r="Z39" i="3" s="1"/>
  <c r="B27" i="3"/>
  <c r="AA27" i="3" s="1"/>
  <c r="AB18" i="3"/>
  <c r="Z18" i="3" a="1"/>
  <c r="Z18" i="3" s="1"/>
  <c r="AA18" i="3"/>
  <c r="Z34" i="3" l="1" a="1"/>
  <c r="Z34" i="3" s="1"/>
  <c r="AB33" i="3"/>
  <c r="AB34" i="3"/>
  <c r="J48" i="3"/>
  <c r="J50" i="3" s="1"/>
  <c r="J4" i="3" s="1"/>
  <c r="J9" i="3" s="1"/>
  <c r="Q48" i="3"/>
  <c r="Q50" i="3" s="1"/>
  <c r="Q4" i="3" s="1"/>
  <c r="Q9" i="3" s="1"/>
  <c r="X48" i="3"/>
  <c r="X50" i="3" s="1"/>
  <c r="X4" i="3" s="1"/>
  <c r="X9" i="3" s="1"/>
  <c r="L48" i="3"/>
  <c r="L50" i="3" s="1"/>
  <c r="L4" i="3" s="1"/>
  <c r="L9" i="3" s="1"/>
  <c r="S48" i="3"/>
  <c r="S50" i="3" s="1"/>
  <c r="S4" i="3" s="1"/>
  <c r="S9" i="3" s="1"/>
  <c r="C48" i="3"/>
  <c r="C50" i="3" s="1"/>
  <c r="C4" i="3" s="1"/>
  <c r="C9" i="3" s="1"/>
  <c r="N48" i="3"/>
  <c r="N50" i="3" s="1"/>
  <c r="N4" i="3" s="1"/>
  <c r="N9" i="3" s="1"/>
  <c r="U48" i="3"/>
  <c r="U50" i="3" s="1"/>
  <c r="U4" i="3" s="1"/>
  <c r="U9" i="3" s="1"/>
  <c r="E48" i="3"/>
  <c r="E50" i="3" s="1"/>
  <c r="E4" i="3" s="1"/>
  <c r="E9" i="3" s="1"/>
  <c r="P48" i="3"/>
  <c r="P50" i="3" s="1"/>
  <c r="P4" i="3" s="1"/>
  <c r="P9" i="3" s="1"/>
  <c r="W48" i="3"/>
  <c r="W50" i="3" s="1"/>
  <c r="W4" i="3" s="1"/>
  <c r="W9" i="3" s="1"/>
  <c r="G48" i="3"/>
  <c r="G50" i="3" s="1"/>
  <c r="G4" i="3" s="1"/>
  <c r="G9" i="3" s="1"/>
  <c r="V48" i="3"/>
  <c r="V50" i="3" s="1"/>
  <c r="V4" i="3" s="1"/>
  <c r="V9" i="3" s="1"/>
  <c r="F48" i="3"/>
  <c r="F50" i="3" s="1"/>
  <c r="F4" i="3" s="1"/>
  <c r="F9" i="3" s="1"/>
  <c r="M48" i="3"/>
  <c r="M50" i="3" s="1"/>
  <c r="M4" i="3" s="1"/>
  <c r="M9" i="3" s="1"/>
  <c r="Y48" i="3"/>
  <c r="Y50" i="3" s="1"/>
  <c r="Y4" i="3" s="1"/>
  <c r="Y9" i="3" s="1"/>
  <c r="H48" i="3"/>
  <c r="H50" i="3" s="1"/>
  <c r="H4" i="3" s="1"/>
  <c r="H9" i="3" s="1"/>
  <c r="O48" i="3"/>
  <c r="O50" i="3" s="1"/>
  <c r="O4" i="3" s="1"/>
  <c r="O9" i="3" s="1"/>
  <c r="R48" i="3"/>
  <c r="R50" i="3" s="1"/>
  <c r="R4" i="3" s="1"/>
  <c r="R9" i="3" s="1"/>
  <c r="B48" i="3"/>
  <c r="I48" i="3"/>
  <c r="I50" i="3" s="1"/>
  <c r="I4" i="3" s="1"/>
  <c r="I9" i="3" s="1"/>
  <c r="T48" i="3"/>
  <c r="T50" i="3" s="1"/>
  <c r="T4" i="3" s="1"/>
  <c r="T9" i="3" s="1"/>
  <c r="D48" i="3"/>
  <c r="D50" i="3" s="1"/>
  <c r="D4" i="3" s="1"/>
  <c r="D9" i="3" s="1"/>
  <c r="K48" i="3"/>
  <c r="K50" i="3" s="1"/>
  <c r="K4" i="3" s="1"/>
  <c r="K9" i="3" s="1"/>
  <c r="AB27" i="3"/>
  <c r="Z27" i="3" a="1"/>
  <c r="Z27" i="3" s="1"/>
  <c r="AB48" i="3" l="1"/>
  <c r="B50" i="3"/>
  <c r="Z48" i="3" a="1"/>
  <c r="Z48" i="3" s="1"/>
  <c r="AA48" i="3"/>
  <c r="Z50" i="3" l="1" a="1"/>
  <c r="Z50" i="3" s="1"/>
  <c r="AB50" i="3"/>
  <c r="AB4" i="3" s="1"/>
  <c r="AA50" i="3"/>
  <c r="AA4" i="3" s="1"/>
  <c r="B4" i="3"/>
  <c r="Y10" i="3" s="1"/>
  <c r="Z4" i="3" l="1" a="1"/>
  <c r="Z4" i="3" s="1"/>
  <c r="C11" i="6" s="1"/>
  <c r="N10" i="3"/>
  <c r="O10" i="3"/>
  <c r="P10" i="3"/>
  <c r="Q10" i="3"/>
  <c r="M10" i="3"/>
  <c r="R10" i="3"/>
  <c r="L10" i="3"/>
  <c r="S10" i="3"/>
  <c r="T10" i="3"/>
  <c r="U10" i="3"/>
  <c r="V10" i="3"/>
  <c r="W10" i="3"/>
  <c r="X10" i="3"/>
  <c r="C20" i="6"/>
  <c r="C21" i="6" s="1"/>
  <c r="J10" i="3"/>
  <c r="D10" i="3"/>
  <c r="K10" i="3"/>
  <c r="B10" i="3"/>
  <c r="E10" i="3"/>
  <c r="I10" i="3"/>
  <c r="C10" i="3"/>
  <c r="H10" i="3"/>
  <c r="C17" i="6"/>
  <c r="B9" i="3"/>
  <c r="AA9" i="3" s="1"/>
  <c r="G10" i="3"/>
  <c r="F10" i="3"/>
  <c r="C18" i="6"/>
  <c r="C19" i="6" s="1"/>
  <c r="AB9" i="3" l="1"/>
  <c r="L11" i="3"/>
  <c r="X11" i="3"/>
  <c r="U11" i="3"/>
  <c r="W11" i="3"/>
  <c r="S11" i="3"/>
  <c r="T11" i="3"/>
  <c r="Y11" i="3"/>
  <c r="V11" i="3"/>
  <c r="Q11" i="3"/>
  <c r="P11" i="3"/>
  <c r="R11" i="3"/>
  <c r="O11" i="3"/>
  <c r="M11" i="3"/>
  <c r="N11" i="3"/>
  <c r="Z9" i="3" a="1"/>
  <c r="Z9" i="3" s="1"/>
  <c r="J11" i="3"/>
  <c r="D11" i="3"/>
  <c r="K11" i="3"/>
  <c r="H11" i="3"/>
  <c r="F11" i="3"/>
  <c r="B11" i="3"/>
  <c r="I11" i="3"/>
  <c r="G11" i="3"/>
  <c r="E11" i="3"/>
  <c r="C11" i="3"/>
  <c r="C12" i="6" l="1"/>
  <c r="C2" i="6" s="1"/>
</calcChain>
</file>

<file path=xl/sharedStrings.xml><?xml version="1.0" encoding="utf-8"?>
<sst xmlns="http://schemas.openxmlformats.org/spreadsheetml/2006/main" count="472" uniqueCount="350">
  <si>
    <t>Crops</t>
  </si>
  <si>
    <t>Crop</t>
  </si>
  <si>
    <t>Yield gain low fertilizers</t>
  </si>
  <si>
    <t>Yield gain optimal fetilizers</t>
  </si>
  <si>
    <t>Maize</t>
  </si>
  <si>
    <t>Tea</t>
  </si>
  <si>
    <t>Potatoes</t>
  </si>
  <si>
    <t>Bananas</t>
  </si>
  <si>
    <t>Sweet potatoes</t>
  </si>
  <si>
    <t>Tomatoes</t>
  </si>
  <si>
    <t>Cassava</t>
  </si>
  <si>
    <t>Wheat</t>
  </si>
  <si>
    <t>Coffee</t>
  </si>
  <si>
    <t>Cabbages</t>
  </si>
  <si>
    <t>Mangoes</t>
  </si>
  <si>
    <t>Beans</t>
  </si>
  <si>
    <t>Yield gain improved varieties</t>
  </si>
  <si>
    <t>Max yield</t>
  </si>
  <si>
    <t>Cost</t>
  </si>
  <si>
    <t>Fertilizer (Ksh/ Kg)</t>
  </si>
  <si>
    <t>Sowing/ planting unit</t>
  </si>
  <si>
    <t>N/A</t>
  </si>
  <si>
    <t>Cuttings</t>
  </si>
  <si>
    <t>Seeds (Kg)</t>
  </si>
  <si>
    <t>Cost local varieties (KSh)</t>
  </si>
  <si>
    <t>Cost improved varieties (KSh)</t>
  </si>
  <si>
    <t>Acres planted</t>
  </si>
  <si>
    <t>Yes</t>
  </si>
  <si>
    <t>No</t>
  </si>
  <si>
    <t>Lists</t>
  </si>
  <si>
    <t>Yes/No</t>
  </si>
  <si>
    <t>Revenues</t>
  </si>
  <si>
    <t>Source</t>
  </si>
  <si>
    <t>Total</t>
  </si>
  <si>
    <t>Cycles/ year</t>
  </si>
  <si>
    <t>Optimal fertilizers (Kg/ acre)</t>
  </si>
  <si>
    <t>Sowing/ planting rate per acre</t>
  </si>
  <si>
    <t>Kg fertilizer/ acre</t>
  </si>
  <si>
    <t>Optimal fertilizer rate</t>
  </si>
  <si>
    <t>Sale price</t>
  </si>
  <si>
    <t>Length of cycle</t>
  </si>
  <si>
    <t>Labour costs</t>
  </si>
  <si>
    <t>Planting time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</si>
  <si>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</si>
  <si>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</si>
  <si>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</si>
  <si>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</si>
  <si>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</si>
  <si>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</si>
  <si>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</si>
  <si>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</si>
  <si>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</si>
  <si>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</si>
  <si>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</si>
  <si>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</si>
  <si>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</si>
  <si>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number</t>
  </si>
  <si>
    <t>Harvesting time</t>
  </si>
  <si>
    <t>Cycle 2 planting</t>
  </si>
  <si>
    <t>Cycle 2 harvest</t>
  </si>
  <si>
    <t>Fertilizers</t>
  </si>
  <si>
    <t>Seeds/ cuttings</t>
  </si>
  <si>
    <t>Investment amount</t>
  </si>
  <si>
    <t>Month of investment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</si>
  <si>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</si>
  <si>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</si>
  <si>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</si>
  <si>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</si>
  <si>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Other activities</t>
  </si>
  <si>
    <t>Investments</t>
  </si>
  <si>
    <t>Month</t>
  </si>
  <si>
    <t>Net cash flows</t>
  </si>
  <si>
    <t>Assets and liabilities</t>
  </si>
  <si>
    <t>Is the land yours?</t>
  </si>
  <si>
    <t>Is the house yours?</t>
  </si>
  <si>
    <t>Total value of house and furniture</t>
  </si>
  <si>
    <t>Cash available from M-Pesa or other bank accounts</t>
  </si>
  <si>
    <t>Balance sheet after loan</t>
  </si>
  <si>
    <t>Land</t>
  </si>
  <si>
    <t>House</t>
  </si>
  <si>
    <t>Other assets</t>
  </si>
  <si>
    <t>Cash</t>
  </si>
  <si>
    <t>New assets to be purchased</t>
  </si>
  <si>
    <t>Total assets</t>
  </si>
  <si>
    <t>Debts with individuals</t>
  </si>
  <si>
    <t>Debts with institutions</t>
  </si>
  <si>
    <t>Loan to be disbursed</t>
  </si>
  <si>
    <t>Total liabilities</t>
  </si>
  <si>
    <t>Goat</t>
  </si>
  <si>
    <t>Use of pesticides</t>
  </si>
  <si>
    <t>Yield gain pesticides</t>
  </si>
  <si>
    <t>Onions</t>
  </si>
  <si>
    <t>Carrots</t>
  </si>
  <si>
    <t>Price gain/ month stored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</si>
  <si>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</si>
  <si>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</si>
  <si>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</si>
  <si>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</si>
  <si>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</si>
  <si>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</si>
  <si>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</si>
  <si>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</si>
  <si>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</si>
  <si>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</si>
  <si>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</si>
  <si>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</si>
  <si>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Pesticides</t>
  </si>
  <si>
    <t>Sheep</t>
  </si>
  <si>
    <t>Animals</t>
  </si>
  <si>
    <t>Animal</t>
  </si>
  <si>
    <t>Produce unit</t>
  </si>
  <si>
    <t>Eggs/ day</t>
  </si>
  <si>
    <t>Liters/ day</t>
  </si>
  <si>
    <t>Baseline produce yield</t>
  </si>
  <si>
    <t>Yield increase partial feeding</t>
  </si>
  <si>
    <t>Kg meat/ animal</t>
  </si>
  <si>
    <t>Yield increase improved/ cross breeds</t>
  </si>
  <si>
    <t>Produce price/ unit</t>
  </si>
  <si>
    <t>Feed cost/ animal/ day</t>
  </si>
  <si>
    <t>Veterinary costs/ animal/ year</t>
  </si>
  <si>
    <t>Labor costs/ animal/ year</t>
  </si>
  <si>
    <t>Total # animals</t>
  </si>
  <si>
    <t>Never</t>
  </si>
  <si>
    <t>Sometimes</t>
  </si>
  <si>
    <t>Always</t>
  </si>
  <si>
    <t>Pigs</t>
  </si>
  <si>
    <t>Produce type</t>
  </si>
  <si>
    <t>Percentages</t>
  </si>
  <si>
    <t>Other crops</t>
  </si>
  <si>
    <t>Other animals</t>
  </si>
  <si>
    <t>eggs</t>
  </si>
  <si>
    <t>milk</t>
  </si>
  <si>
    <t>Produce yield</t>
  </si>
  <si>
    <t>Yield increase 100% feeding</t>
  </si>
  <si>
    <t>Produce price</t>
  </si>
  <si>
    <t>Income source</t>
  </si>
  <si>
    <t>Labor crops</t>
  </si>
  <si>
    <t>Feeds</t>
  </si>
  <si>
    <t>Veterinary costs</t>
  </si>
  <si>
    <t>Feed costs/ year</t>
  </si>
  <si>
    <t>Labor costs</t>
  </si>
  <si>
    <t>Veterinary</t>
  </si>
  <si>
    <t>Labor animals</t>
  </si>
  <si>
    <t>Other animal costs</t>
  </si>
  <si>
    <t>Land location</t>
  </si>
  <si>
    <t>Peri-urban area</t>
  </si>
  <si>
    <t>Rural area</t>
  </si>
  <si>
    <t>What is the total value of the stock and inventory you have?</t>
  </si>
  <si>
    <t>Stock</t>
  </si>
  <si>
    <t>Debts  with friends or other people (total)</t>
  </si>
  <si>
    <t>Animal value</t>
  </si>
  <si>
    <t>Household expenses</t>
  </si>
  <si>
    <t>Other general costs</t>
  </si>
  <si>
    <t>Item</t>
  </si>
  <si>
    <t>% HH expenses/ net cash flows</t>
  </si>
  <si>
    <t>Loan amount taken</t>
  </si>
  <si>
    <t>Current balance</t>
  </si>
  <si>
    <t>Date disbursed</t>
  </si>
  <si>
    <t>Institution</t>
  </si>
  <si>
    <t>History of the lates 5 loans taken</t>
  </si>
  <si>
    <t>Are you repaying/ have you repaid the loan in time?</t>
  </si>
  <si>
    <t>Clients activities</t>
  </si>
  <si>
    <t>Crops planted:</t>
  </si>
  <si>
    <t>Animals farmed:</t>
  </si>
  <si>
    <t>Other income:</t>
  </si>
  <si>
    <t>Credit history</t>
  </si>
  <si>
    <t>Average loan borrowed in the past</t>
  </si>
  <si>
    <t>Has always repaid in time?</t>
  </si>
  <si>
    <t>Financial ratios</t>
  </si>
  <si>
    <t>Loan size ratio</t>
  </si>
  <si>
    <t>Installment size ratio</t>
  </si>
  <si>
    <t>Total yearly cash flow</t>
  </si>
  <si>
    <t>Minimum monthly cash flow</t>
  </si>
  <si>
    <t>Maximum monthly cash flow</t>
  </si>
  <si>
    <t>Assets</t>
  </si>
  <si>
    <t>Liabilities</t>
  </si>
  <si>
    <t>Other info</t>
  </si>
  <si>
    <t>Branch</t>
  </si>
  <si>
    <t>Donholm</t>
  </si>
  <si>
    <t xml:space="preserve"> Gikomba</t>
  </si>
  <si>
    <t>Kariobangi</t>
  </si>
  <si>
    <t>Kawangware</t>
  </si>
  <si>
    <t>Kiambu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</si>
  <si>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</si>
  <si>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</si>
  <si>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</si>
  <si>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</si>
  <si>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</si>
  <si>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</si>
  <si>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</si>
  <si>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</si>
  <si>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</si>
  <si>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</si>
  <si>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Branch region</t>
  </si>
  <si>
    <t>Nairobi</t>
  </si>
  <si>
    <t>Sale price local variety (KSh/ Kg)</t>
  </si>
  <si>
    <t>Sale price improved variety (KSh/ Kg)</t>
  </si>
  <si>
    <t>Storage costs</t>
  </si>
  <si>
    <t>Baseline yield (Kg/acre/ season)</t>
  </si>
  <si>
    <t>Seed costs/ season</t>
  </si>
  <si>
    <t>Yearly Revenues</t>
  </si>
  <si>
    <t>Fertilizer costs/ season</t>
  </si>
  <si>
    <t>Pesticides cost/ acre</t>
  </si>
  <si>
    <t>Pesticides costs/ season</t>
  </si>
  <si>
    <t>Storage costs/ season</t>
  </si>
  <si>
    <t>Life cycle meat animals</t>
  </si>
  <si>
    <t>meat</t>
  </si>
  <si>
    <t># animals currently producing eggs or milk</t>
  </si>
  <si>
    <t>Improved breed</t>
  </si>
  <si>
    <t>Type of investment</t>
  </si>
  <si>
    <t>Comments</t>
  </si>
  <si>
    <t>Loan info</t>
  </si>
  <si>
    <t>Installment</t>
  </si>
  <si>
    <t>Total due</t>
  </si>
  <si>
    <t>Due date</t>
  </si>
  <si>
    <t>Estimated monthly payment</t>
  </si>
  <si>
    <t>Submission date</t>
  </si>
  <si>
    <t>Months to repay</t>
  </si>
  <si>
    <t>New loan installment amount</t>
  </si>
  <si>
    <t>Month of minimum cash-flow</t>
  </si>
  <si>
    <t>Month of maximum cash-flow</t>
  </si>
  <si>
    <t>Indebtness ratio</t>
  </si>
  <si>
    <t>Month by when installment size ratio &lt;60%</t>
  </si>
  <si>
    <t>Expected disbursement date</t>
  </si>
  <si>
    <t>Existing loan repayments</t>
  </si>
  <si>
    <t>Inflows</t>
  </si>
  <si>
    <t>Outflows</t>
  </si>
  <si>
    <t>New loan disbursement</t>
  </si>
  <si>
    <t>Total during loan period</t>
  </si>
  <si>
    <t>Net cash flows including loan</t>
  </si>
  <si>
    <t>Labor cost (Ksh/ acre/ year or cycle)</t>
  </si>
  <si>
    <t>Principal applied</t>
  </si>
  <si>
    <t>Needs irrigation</t>
  </si>
  <si>
    <t>Storage cost/ kg/ month</t>
  </si>
  <si>
    <t>Irrigation cost/ acre</t>
  </si>
  <si>
    <t>Branch differences</t>
  </si>
  <si>
    <t>Other</t>
  </si>
  <si>
    <t>Length  of cycle (months)</t>
  </si>
  <si>
    <t>Irrigation crops</t>
  </si>
  <si>
    <t>Land value</t>
  </si>
  <si>
    <t>Animals value</t>
  </si>
  <si>
    <t>Yield no irrigation</t>
  </si>
  <si>
    <t>% paid as bonus in January</t>
  </si>
  <si>
    <t>Use of fertilizers</t>
  </si>
  <si>
    <t>Irrigation system</t>
  </si>
  <si>
    <t>Sackers</t>
  </si>
  <si>
    <t>Manure cost/ acre</t>
  </si>
  <si>
    <t>Foliar feed cost</t>
  </si>
  <si>
    <t>Spraying time</t>
  </si>
  <si>
    <t>Cycle 2 spraying</t>
  </si>
  <si>
    <t>Foliar feed costs</t>
  </si>
  <si>
    <t>Irrigation costs</t>
  </si>
  <si>
    <t>Yield/ acre/ cycle</t>
  </si>
  <si>
    <t>Production/ cycle</t>
  </si>
  <si>
    <t>Life cycle improved breed (months)</t>
  </si>
  <si>
    <t>Life cycle local breed (months)</t>
  </si>
  <si>
    <t>Meat price/ Kg improved breed</t>
  </si>
  <si>
    <t>Meat price/ Kg local breed</t>
  </si>
  <si>
    <t>Meat price/ Kg</t>
  </si>
  <si>
    <t>Yield multiplier</t>
  </si>
  <si>
    <t># animals</t>
  </si>
  <si>
    <t># producing animals</t>
  </si>
  <si>
    <t>Estimated principal payment</t>
  </si>
  <si>
    <t>Estimated interest payment</t>
  </si>
  <si>
    <t>New loan repayment schedule</t>
  </si>
  <si>
    <t>Expected first repayment date</t>
  </si>
  <si>
    <t>Interest rate</t>
  </si>
  <si>
    <t>Repayment frequency</t>
  </si>
  <si>
    <t># grace periods on principal</t>
  </si>
  <si>
    <t># grace periods on interests</t>
  </si>
  <si>
    <t>Number of installments</t>
  </si>
  <si>
    <t>Loan parameter</t>
  </si>
  <si>
    <t>Value</t>
  </si>
  <si>
    <t>Principal installment</t>
  </si>
  <si>
    <t>Interest installment</t>
  </si>
  <si>
    <t>Mpesa &amp; bank cash flows (from past statements)</t>
  </si>
  <si>
    <t>Cash inflows</t>
  </si>
  <si>
    <t>Cash outflows</t>
  </si>
  <si>
    <t>Please select the main animals (max 3) that you will rear in the period and provide the details requested. Select "Other animals" if the animal is not in the list</t>
  </si>
  <si>
    <t>Please indicate whether you are going to make investments which can't be considered regular annual expenditures (e.g.  building a greenhouse, planting new trees, etc.)</t>
  </si>
  <si>
    <t>Max loan borrowed in the past</t>
  </si>
  <si>
    <t>Cash flows (excluding loan CFs)</t>
  </si>
  <si>
    <t>Yes only manure</t>
  </si>
  <si>
    <t>Yes inorganic fertilizers</t>
  </si>
  <si>
    <t>Yes both manure and inorganic</t>
  </si>
  <si>
    <t>Yes using a diesel pump</t>
  </si>
  <si>
    <t>Yes using a solar pump</t>
  </si>
  <si>
    <t>Yes without the use of a pump</t>
  </si>
  <si>
    <t>Frequency</t>
  </si>
  <si>
    <t>Value other assets (shops, machinery, accounts receivable…)</t>
  </si>
  <si>
    <t>Specify crop</t>
  </si>
  <si>
    <t>Acres under production</t>
  </si>
  <si>
    <t>Source of seeds/ cuttings</t>
  </si>
  <si>
    <t>Home recycled</t>
  </si>
  <si>
    <t>Other farmers</t>
  </si>
  <si>
    <t>NGO</t>
  </si>
  <si>
    <t>Improved variety</t>
  </si>
  <si>
    <t>Main source of seeds/ cuttings</t>
  </si>
  <si>
    <t>No planting: trees are mature</t>
  </si>
  <si>
    <t>% home consumption + wastage</t>
  </si>
  <si>
    <t>Months storage after harvest</t>
  </si>
  <si>
    <t>Irrigation</t>
  </si>
  <si>
    <t>Month of harvest</t>
  </si>
  <si>
    <t>Sale price/ unit</t>
  </si>
  <si>
    <t>Home consumption/ waste</t>
  </si>
  <si>
    <t>Total 12 months</t>
  </si>
  <si>
    <t>Next month of planting</t>
  </si>
  <si>
    <t>Kg inorganic fertilizers applied/ season</t>
  </si>
  <si>
    <t>Specify animal</t>
  </si>
  <si>
    <t>Pure improved breeds</t>
  </si>
  <si>
    <t>Use purchased feeds</t>
  </si>
  <si>
    <t>Eggs/ milk consumed at home/ wasted</t>
  </si>
  <si>
    <t>Animals slaughtered and eaten at home</t>
  </si>
  <si>
    <t>Animals sold/ year</t>
  </si>
  <si>
    <t>Price/ animal sold</t>
  </si>
  <si>
    <t>Feeds + labour + veterinary costs/ month</t>
  </si>
  <si>
    <t>Month when land rent is paid</t>
  </si>
  <si>
    <t>Every month</t>
  </si>
  <si>
    <t>Land rent amount/ year</t>
  </si>
  <si>
    <t>Rural/ peri-urban location of land</t>
  </si>
  <si>
    <t>Value of land/ other fixed assets purchased through the loan</t>
  </si>
  <si>
    <t>Land rent</t>
  </si>
  <si>
    <t>Please select the main crops (max 5) that will be planted during the period and provide the details requested. Select "Other crops" if the crop is not in the list</t>
  </si>
  <si>
    <t>Expected harvest amount/ cycle (e.g. Kg, bags, etc.)</t>
  </si>
  <si>
    <t>Net cash flows from farms/ business (projected)</t>
  </si>
  <si>
    <t>Past cash-flows from statements (historic)</t>
  </si>
  <si>
    <t>Installment amount after grace periods</t>
  </si>
  <si>
    <t>Approval recommendation:</t>
  </si>
  <si>
    <t>Loan terms</t>
  </si>
  <si>
    <t>Total 24 months</t>
  </si>
  <si>
    <t>Age of the animals (months)</t>
  </si>
  <si>
    <t>Animals sale date</t>
  </si>
  <si>
    <t>Term period frequency</t>
  </si>
  <si>
    <t>Days</t>
  </si>
  <si>
    <t>Weeks</t>
  </si>
  <si>
    <t>Repayment every</t>
  </si>
  <si>
    <t>Term frequency</t>
  </si>
  <si>
    <t>Branch:</t>
  </si>
  <si>
    <t>Branch ID</t>
  </si>
  <si>
    <t>Branch id</t>
  </si>
  <si>
    <t>Eggs/ milk consumed at home/ wasted (%)</t>
  </si>
  <si>
    <t>Animals slaughtered and eaten at home (%)</t>
  </si>
  <si>
    <t>Labor amount carried out by farmer directly or family (%)</t>
  </si>
  <si>
    <t>Chicken_layers</t>
  </si>
  <si>
    <t>Chicken_broilers</t>
  </si>
  <si>
    <t>Cows_dairy</t>
  </si>
  <si>
    <t>Cows_beef</t>
  </si>
  <si>
    <t>Peri_urban area</t>
  </si>
  <si>
    <t>Shop_common variety</t>
  </si>
  <si>
    <t>Shop_certified 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</si>
</sst>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00000000000000%"/>
    <numFmt numFmtId="167" formatCode="_(* #,##0.0_);_(* \(#,##0.0\);_(* &quot;-&quot;?_);_(@_)"/>
    <numFmt numFmtId="168" formatCode="[$-409]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4" fillId="0" borderId="0" xfId="0" applyFont="1"/>
    <xf numFmtId="9" fontId="0" fillId="0" borderId="0" xfId="2" applyFont="1" applyAlignment="1">
      <alignment horizontal="center"/>
    </xf>
    <xf numFmtId="0" fontId="2" fillId="2" borderId="0" xfId="0" applyFont="1" applyFill="1"/>
    <xf numFmtId="0" fontId="5" fillId="2" borderId="0" xfId="0" applyFont="1" applyFill="1"/>
    <xf numFmtId="0" fontId="4" fillId="0" borderId="1" xfId="0" applyFont="1" applyBorder="1"/>
    <xf numFmtId="0" fontId="0" fillId="0" borderId="1" xfId="0" applyBorder="1"/>
    <xf numFmtId="165" fontId="0" fillId="0" borderId="0" xfId="1" applyNumberFormat="1" applyFont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4" fillId="0" borderId="2" xfId="0" applyFont="1" applyBorder="1" applyAlignment="1">
      <alignment horizontal="center" wrapText="1"/>
    </xf>
    <xf numFmtId="0" fontId="0" fillId="0" borderId="0" xfId="0" applyFill="1" applyBorder="1"/>
    <xf numFmtId="17" fontId="4" fillId="0" borderId="1" xfId="0" applyNumberFormat="1" applyFont="1" applyBorder="1"/>
    <xf numFmtId="0" fontId="0" fillId="0" borderId="5" xfId="0" applyBorder="1"/>
    <xf numFmtId="165" fontId="4" fillId="0" borderId="0" xfId="1" applyNumberFormat="1" applyFont="1"/>
    <xf numFmtId="0" fontId="0" fillId="0" borderId="3" xfId="0" applyFill="1" applyBorder="1"/>
    <xf numFmtId="0" fontId="0" fillId="0" borderId="0" xfId="0" applyFill="1"/>
    <xf numFmtId="9" fontId="0" fillId="0" borderId="0" xfId="2" applyFont="1" applyFill="1" applyBorder="1" applyAlignment="1">
      <alignment horizontal="center"/>
    </xf>
    <xf numFmtId="0" fontId="0" fillId="0" borderId="1" xfId="0" applyFill="1" applyBorder="1"/>
    <xf numFmtId="9" fontId="0" fillId="0" borderId="1" xfId="2" applyFont="1" applyFill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165" fontId="0" fillId="0" borderId="3" xfId="1" applyNumberFormat="1" applyFont="1" applyFill="1" applyBorder="1"/>
    <xf numFmtId="165" fontId="0" fillId="0" borderId="0" xfId="1" applyNumberFormat="1" applyFont="1" applyFill="1" applyBorder="1"/>
    <xf numFmtId="165" fontId="0" fillId="0" borderId="1" xfId="1" applyNumberFormat="1" applyFont="1" applyFill="1" applyBorder="1"/>
    <xf numFmtId="165" fontId="0" fillId="0" borderId="3" xfId="1" applyNumberFormat="1" applyFont="1" applyFill="1" applyBorder="1" applyAlignment="1">
      <alignment horizontal="left"/>
    </xf>
    <xf numFmtId="165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165" fontId="0" fillId="3" borderId="3" xfId="1" applyNumberFormat="1" applyFont="1" applyFill="1" applyBorder="1" applyAlignment="1">
      <alignment horizontal="center"/>
    </xf>
    <xf numFmtId="165" fontId="0" fillId="3" borderId="0" xfId="1" applyNumberFormat="1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165" fontId="0" fillId="0" borderId="0" xfId="1" applyNumberFormat="1" applyFont="1"/>
    <xf numFmtId="165" fontId="0" fillId="0" borderId="5" xfId="1" applyNumberFormat="1" applyFont="1" applyBorder="1"/>
    <xf numFmtId="17" fontId="0" fillId="0" borderId="3" xfId="0" applyNumberFormat="1" applyFill="1" applyBorder="1"/>
    <xf numFmtId="17" fontId="0" fillId="0" borderId="0" xfId="0" applyNumberFormat="1" applyFill="1" applyBorder="1"/>
    <xf numFmtId="17" fontId="0" fillId="0" borderId="1" xfId="0" applyNumberFormat="1" applyFill="1" applyBorder="1"/>
    <xf numFmtId="14" fontId="0" fillId="0" borderId="0" xfId="0" applyNumberFormat="1"/>
    <xf numFmtId="43" fontId="0" fillId="0" borderId="0" xfId="0" applyNumberFormat="1"/>
    <xf numFmtId="0" fontId="0" fillId="0" borderId="0" xfId="0" applyBorder="1"/>
    <xf numFmtId="0" fontId="4" fillId="0" borderId="0" xfId="0" applyFont="1" applyBorder="1"/>
    <xf numFmtId="0" fontId="4" fillId="0" borderId="3" xfId="0" applyFont="1" applyBorder="1"/>
    <xf numFmtId="165" fontId="0" fillId="0" borderId="0" xfId="1" applyNumberFormat="1" applyFont="1" applyBorder="1"/>
    <xf numFmtId="17" fontId="4" fillId="0" borderId="1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/>
    <xf numFmtId="0" fontId="0" fillId="0" borderId="6" xfId="0" applyBorder="1"/>
    <xf numFmtId="165" fontId="0" fillId="0" borderId="6" xfId="0" applyNumberFormat="1" applyBorder="1"/>
    <xf numFmtId="17" fontId="4" fillId="0" borderId="0" xfId="0" applyNumberFormat="1" applyFont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17" fontId="4" fillId="0" borderId="2" xfId="0" applyNumberFormat="1" applyFont="1" applyBorder="1" applyAlignment="1">
      <alignment horizontal="center" wrapText="1"/>
    </xf>
    <xf numFmtId="9" fontId="0" fillId="0" borderId="3" xfId="2" applyFont="1" applyFill="1" applyBorder="1" applyAlignment="1">
      <alignment horizontal="center"/>
    </xf>
    <xf numFmtId="165" fontId="0" fillId="0" borderId="1" xfId="1" applyNumberFormat="1" applyFont="1" applyBorder="1"/>
    <xf numFmtId="0" fontId="4" fillId="4" borderId="2" xfId="0" applyFont="1" applyFill="1" applyBorder="1" applyAlignment="1">
      <alignment horizontal="center" wrapText="1"/>
    </xf>
    <xf numFmtId="165" fontId="0" fillId="4" borderId="3" xfId="1" applyNumberFormat="1" applyFont="1" applyFill="1" applyBorder="1"/>
    <xf numFmtId="165" fontId="0" fillId="4" borderId="0" xfId="1" applyNumberFormat="1" applyFont="1" applyFill="1" applyBorder="1"/>
    <xf numFmtId="165" fontId="0" fillId="4" borderId="1" xfId="1" applyNumberFormat="1" applyFont="1" applyFill="1" applyBorder="1"/>
    <xf numFmtId="0" fontId="4" fillId="0" borderId="1" xfId="0" applyFont="1" applyBorder="1" applyAlignment="1">
      <alignment horizontal="left" wrapText="1"/>
    </xf>
    <xf numFmtId="9" fontId="0" fillId="0" borderId="0" xfId="2" applyFont="1"/>
    <xf numFmtId="9" fontId="0" fillId="0" borderId="0" xfId="0" applyNumberFormat="1"/>
    <xf numFmtId="4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0" xfId="1" applyNumberFormat="1" applyFont="1" applyFill="1" applyAlignment="1">
      <alignment horizontal="center"/>
    </xf>
    <xf numFmtId="165" fontId="6" fillId="0" borderId="0" xfId="1" applyNumberFormat="1" applyFont="1" applyAlignment="1">
      <alignment horizontal="center"/>
    </xf>
    <xf numFmtId="165" fontId="0" fillId="0" borderId="0" xfId="0" applyNumberFormat="1"/>
    <xf numFmtId="0" fontId="4" fillId="0" borderId="0" xfId="0" applyFont="1" applyFill="1" applyBorder="1" applyAlignment="1">
      <alignment horizontal="center" wrapText="1"/>
    </xf>
    <xf numFmtId="165" fontId="0" fillId="0" borderId="3" xfId="1" applyNumberFormat="1" applyFont="1" applyBorder="1"/>
    <xf numFmtId="1" fontId="0" fillId="0" borderId="0" xfId="0" applyNumberFormat="1"/>
    <xf numFmtId="1" fontId="0" fillId="0" borderId="0" xfId="1" applyNumberFormat="1" applyFont="1"/>
    <xf numFmtId="165" fontId="0" fillId="0" borderId="0" xfId="1" applyNumberFormat="1" applyFont="1" applyAlignment="1">
      <alignment horizontal="right"/>
    </xf>
    <xf numFmtId="9" fontId="0" fillId="0" borderId="0" xfId="2" applyFont="1" applyAlignment="1">
      <alignment horizontal="right"/>
    </xf>
    <xf numFmtId="165" fontId="0" fillId="0" borderId="0" xfId="0" applyNumberFormat="1" applyBorder="1"/>
    <xf numFmtId="0" fontId="6" fillId="0" borderId="0" xfId="0" applyFont="1" applyFill="1" applyBorder="1"/>
    <xf numFmtId="9" fontId="6" fillId="0" borderId="0" xfId="2" applyFont="1" applyBorder="1"/>
    <xf numFmtId="165" fontId="6" fillId="0" borderId="0" xfId="1" applyNumberFormat="1" applyFont="1" applyBorder="1"/>
    <xf numFmtId="0" fontId="0" fillId="0" borderId="5" xfId="0" applyFill="1" applyBorder="1"/>
    <xf numFmtId="0" fontId="0" fillId="0" borderId="3" xfId="0" applyBorder="1"/>
    <xf numFmtId="165" fontId="0" fillId="0" borderId="3" xfId="0" applyNumberFormat="1" applyBorder="1"/>
    <xf numFmtId="165" fontId="0" fillId="0" borderId="0" xfId="0" applyNumberFormat="1" applyAlignment="1">
      <alignment horizontal="center"/>
    </xf>
    <xf numFmtId="0" fontId="7" fillId="0" borderId="1" xfId="0" applyFont="1" applyFill="1" applyBorder="1"/>
    <xf numFmtId="0" fontId="4" fillId="0" borderId="0" xfId="0" applyFont="1" applyAlignment="1">
      <alignment horizontal="center"/>
    </xf>
    <xf numFmtId="165" fontId="0" fillId="0" borderId="0" xfId="1" applyNumberFormat="1" applyFont="1" applyAlignment="1">
      <alignment horizontal="left"/>
    </xf>
    <xf numFmtId="167" fontId="0" fillId="0" borderId="1" xfId="0" applyNumberFormat="1" applyBorder="1" applyAlignment="1">
      <alignment horizontal="center"/>
    </xf>
    <xf numFmtId="165" fontId="0" fillId="0" borderId="0" xfId="1" applyNumberFormat="1" applyFont="1" applyFill="1" applyBorder="1" applyAlignment="1">
      <alignment horizontal="left"/>
    </xf>
    <xf numFmtId="165" fontId="0" fillId="0" borderId="1" xfId="1" applyNumberFormat="1" applyFont="1" applyFill="1" applyBorder="1" applyAlignment="1">
      <alignment horizontal="left"/>
    </xf>
    <xf numFmtId="0" fontId="7" fillId="0" borderId="0" xfId="0" applyFont="1" applyFill="1"/>
    <xf numFmtId="165" fontId="7" fillId="0" borderId="0" xfId="1" applyNumberFormat="1" applyFont="1" applyFill="1" applyAlignment="1">
      <alignment horizontal="center"/>
    </xf>
    <xf numFmtId="9" fontId="7" fillId="0" borderId="0" xfId="0" applyNumberFormat="1" applyFont="1" applyFill="1" applyAlignment="1">
      <alignment horizontal="center"/>
    </xf>
    <xf numFmtId="9" fontId="7" fillId="0" borderId="0" xfId="2" applyFont="1" applyFill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0" xfId="0" applyFont="1" applyFill="1" applyBorder="1"/>
    <xf numFmtId="165" fontId="7" fillId="0" borderId="0" xfId="1" applyNumberFormat="1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9" fontId="7" fillId="0" borderId="0" xfId="2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43" fontId="7" fillId="0" borderId="0" xfId="1" applyNumberFormat="1" applyFont="1" applyFill="1" applyAlignment="1">
      <alignment horizontal="center"/>
    </xf>
    <xf numFmtId="166" fontId="7" fillId="0" borderId="0" xfId="2" applyNumberFormat="1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9" fontId="0" fillId="0" borderId="0" xfId="2" applyFont="1" applyFill="1" applyAlignment="1">
      <alignment horizontal="center"/>
    </xf>
    <xf numFmtId="9" fontId="3" fillId="0" borderId="0" xfId="2" applyFont="1" applyFill="1" applyAlignment="1">
      <alignment horizontal="center"/>
    </xf>
    <xf numFmtId="165" fontId="7" fillId="0" borderId="0" xfId="1" applyNumberFormat="1" applyFont="1" applyFill="1" applyAlignment="1">
      <alignment horizontal="left" indent="2"/>
    </xf>
    <xf numFmtId="43" fontId="0" fillId="0" borderId="0" xfId="1" applyNumberFormat="1" applyFont="1" applyFill="1" applyAlignment="1">
      <alignment horizontal="center"/>
    </xf>
    <xf numFmtId="165" fontId="7" fillId="0" borderId="1" xfId="1" applyNumberFormat="1" applyFont="1" applyFill="1" applyBorder="1" applyAlignment="1">
      <alignment horizontal="center"/>
    </xf>
    <xf numFmtId="9" fontId="7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9" fontId="3" fillId="0" borderId="1" xfId="2" applyFont="1" applyFill="1" applyBorder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/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164" fontId="0" fillId="0" borderId="0" xfId="1" applyNumberFormat="1" applyFont="1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0" xfId="1" applyNumberFormat="1" applyFont="1" applyFill="1" applyBorder="1"/>
    <xf numFmtId="164" fontId="0" fillId="0" borderId="3" xfId="1" applyNumberFormat="1" applyFont="1" applyFill="1" applyBorder="1"/>
    <xf numFmtId="164" fontId="0" fillId="0" borderId="1" xfId="1" applyNumberFormat="1" applyFont="1" applyFill="1" applyBorder="1"/>
    <xf numFmtId="0" fontId="4" fillId="0" borderId="0" xfId="0" applyFont="1" applyAlignment="1">
      <alignment horizontal="right"/>
    </xf>
    <xf numFmtId="14" fontId="0" fillId="0" borderId="0" xfId="1" applyNumberFormat="1" applyFont="1" applyFill="1" applyBorder="1"/>
    <xf numFmtId="0" fontId="4" fillId="0" borderId="1" xfId="0" applyFont="1" applyBorder="1" applyAlignment="1">
      <alignment horizontal="right"/>
    </xf>
    <xf numFmtId="9" fontId="0" fillId="0" borderId="0" xfId="2" applyFont="1" applyFill="1" applyBorder="1"/>
    <xf numFmtId="165" fontId="0" fillId="0" borderId="0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5" fontId="0" fillId="0" borderId="4" xfId="1" applyNumberFormat="1" applyFont="1" applyFill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0" fillId="5" borderId="3" xfId="0" applyFill="1" applyBorder="1"/>
    <xf numFmtId="0" fontId="0" fillId="5" borderId="0" xfId="0" applyFill="1" applyBorder="1"/>
    <xf numFmtId="0" fontId="0" fillId="5" borderId="1" xfId="0" applyFill="1" applyBorder="1"/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17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17" fontId="0" fillId="5" borderId="1" xfId="0" applyNumberFormat="1" applyFill="1" applyBorder="1" applyAlignment="1">
      <alignment horizontal="center"/>
    </xf>
    <xf numFmtId="1" fontId="0" fillId="5" borderId="3" xfId="1" applyNumberFormat="1" applyFont="1" applyFill="1" applyBorder="1" applyAlignment="1">
      <alignment horizontal="center"/>
    </xf>
    <xf numFmtId="1" fontId="0" fillId="5" borderId="0" xfId="1" applyNumberFormat="1" applyFont="1" applyFill="1" applyBorder="1" applyAlignment="1">
      <alignment horizontal="center"/>
    </xf>
    <xf numFmtId="1" fontId="0" fillId="5" borderId="1" xfId="1" applyNumberFormat="1" applyFont="1" applyFill="1" applyBorder="1" applyAlignment="1">
      <alignment horizontal="center"/>
    </xf>
    <xf numFmtId="0" fontId="0" fillId="5" borderId="3" xfId="0" applyFill="1" applyBorder="1" applyAlignment="1">
      <alignment horizontal="right"/>
    </xf>
    <xf numFmtId="165" fontId="0" fillId="5" borderId="0" xfId="1" applyNumberFormat="1" applyFont="1" applyFill="1" applyBorder="1"/>
    <xf numFmtId="165" fontId="0" fillId="5" borderId="1" xfId="1" applyNumberFormat="1" applyFont="1" applyFill="1" applyBorder="1"/>
    <xf numFmtId="165" fontId="0" fillId="5" borderId="3" xfId="1" applyNumberFormat="1" applyFont="1" applyFill="1" applyBorder="1"/>
    <xf numFmtId="0" fontId="0" fillId="5" borderId="4" xfId="0" applyFill="1" applyBorder="1" applyAlignment="1">
      <alignment horizontal="center"/>
    </xf>
    <xf numFmtId="165" fontId="0" fillId="5" borderId="4" xfId="1" applyNumberFormat="1" applyFont="1" applyFill="1" applyBorder="1"/>
    <xf numFmtId="14" fontId="0" fillId="5" borderId="3" xfId="1" applyNumberFormat="1" applyFont="1" applyFill="1" applyBorder="1" applyAlignment="1">
      <alignment horizontal="center"/>
    </xf>
    <xf numFmtId="165" fontId="0" fillId="5" borderId="3" xfId="1" applyNumberFormat="1" applyFont="1" applyFill="1" applyBorder="1" applyAlignment="1">
      <alignment horizontal="center"/>
    </xf>
    <xf numFmtId="14" fontId="0" fillId="5" borderId="0" xfId="1" applyNumberFormat="1" applyFont="1" applyFill="1" applyBorder="1" applyAlignment="1">
      <alignment horizontal="center"/>
    </xf>
    <xf numFmtId="165" fontId="0" fillId="5" borderId="0" xfId="1" applyNumberFormat="1" applyFont="1" applyFill="1" applyBorder="1" applyAlignment="1">
      <alignment horizontal="center"/>
    </xf>
    <xf numFmtId="14" fontId="0" fillId="5" borderId="1" xfId="1" applyNumberFormat="1" applyFont="1" applyFill="1" applyBorder="1" applyAlignment="1">
      <alignment horizontal="center"/>
    </xf>
    <xf numFmtId="165" fontId="0" fillId="5" borderId="1" xfId="1" applyNumberFormat="1" applyFont="1" applyFill="1" applyBorder="1" applyAlignment="1">
      <alignment horizontal="center"/>
    </xf>
    <xf numFmtId="14" fontId="0" fillId="5" borderId="4" xfId="1" applyNumberFormat="1" applyFont="1" applyFill="1" applyBorder="1"/>
    <xf numFmtId="165" fontId="0" fillId="5" borderId="4" xfId="1" applyNumberFormat="1" applyFont="1" applyFill="1" applyBorder="1" applyAlignment="1">
      <alignment horizontal="right"/>
    </xf>
    <xf numFmtId="168" fontId="0" fillId="0" borderId="0" xfId="1" applyNumberFormat="1" applyFont="1" applyFill="1" applyBorder="1"/>
    <xf numFmtId="168" fontId="0" fillId="0" borderId="0" xfId="1" applyNumberFormat="1" applyFont="1" applyBorder="1"/>
    <xf numFmtId="168" fontId="0" fillId="0" borderId="1" xfId="1" applyNumberFormat="1" applyFont="1" applyBorder="1"/>
    <xf numFmtId="17" fontId="2" fillId="0" borderId="0" xfId="0" applyNumberFormat="1" applyFont="1" applyBorder="1"/>
    <xf numFmtId="0" fontId="4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1" fontId="0" fillId="0" borderId="0" xfId="1" applyNumberFormat="1" applyFont="1" applyAlignment="1">
      <alignment horizontal="center"/>
    </xf>
    <xf numFmtId="1" fontId="0" fillId="5" borderId="4" xfId="2" applyNumberFormat="1" applyFont="1" applyFill="1" applyBorder="1" applyAlignment="1">
      <alignment horizontal="center" vertical="center"/>
    </xf>
    <xf numFmtId="9" fontId="4" fillId="0" borderId="2" xfId="2" applyFont="1" applyBorder="1" applyAlignment="1">
      <alignment horizontal="center" wrapText="1"/>
    </xf>
    <xf numFmtId="9" fontId="0" fillId="0" borderId="3" xfId="2" applyFont="1" applyFill="1" applyBorder="1"/>
    <xf numFmtId="9" fontId="0" fillId="0" borderId="1" xfId="2" applyFont="1" applyFill="1" applyBorder="1"/>
    <xf numFmtId="0" fontId="9" fillId="0" borderId="0" xfId="0" applyFont="1" applyAlignment="1">
      <alignment horizontal="left" vertical="top" wrapText="1"/>
    </xf>
    <xf numFmtId="165" fontId="4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7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zoomScale="90" zoomScaleNormal="90" workbookViewId="0">
      <selection activeCell="I14" sqref="I14"/>
    </sheetView>
  </sheetViews>
  <sheetFormatPr defaultRowHeight="15" x14ac:dyDescent="0.25"/>
  <cols>
    <col min="1" max="1" width="5" customWidth="1"/>
    <col min="2" max="2" width="40.140625" style="1" customWidth="1"/>
    <col min="3" max="3" width="14.85546875" customWidth="1"/>
    <col min="4" max="6" width="9.140625" customWidth="1"/>
    <col min="7" max="7" width="20.140625" customWidth="1"/>
  </cols>
  <sheetData>
    <row r="1" spans="2:7" ht="12" customHeight="1" x14ac:dyDescent="0.25"/>
    <row r="2" spans="2:7" x14ac:dyDescent="0.25">
      <c r="B2" s="1" t="s">
        <v>327</v>
      </c>
      <c r="C2" s="183" t="e">
        <f>IF(AND(C11&lt;=60%,INDEX(Output!$B$3:$S$3,MATCH(1,Output!B11:S11,0))=Output!$B$3,financialSummary!C13&lt;80%),"Approve","Review: "&amp;IF(C11&gt;60%,"loan size ratio &gt;60%, ","")&amp;IF(INDEX(Output!$B$3:$S$3,MATCH(1,Output!B11:S11,0))&lt;&gt;Output!$B$3,"provide principal and/or interest grace periods until "&amp;C12&amp;", ","")&amp;IF(C13&gt;80%,"indebtness ratio&gt;80%",""))</f>
        <v>#DIV/0!</v>
      </c>
      <c r="D2" s="183"/>
      <c r="E2" s="183"/>
      <c r="F2" s="183"/>
      <c r="G2" s="183"/>
    </row>
    <row r="3" spans="2:7" x14ac:dyDescent="0.25">
      <c r="C3" s="183"/>
      <c r="D3" s="183"/>
      <c r="E3" s="183"/>
      <c r="F3" s="183"/>
      <c r="G3" s="183"/>
    </row>
    <row r="4" spans="2:7" ht="9.75" customHeight="1" x14ac:dyDescent="0.25">
      <c r="C4" s="143"/>
      <c r="D4" s="143"/>
      <c r="E4" s="143"/>
      <c r="F4" s="143"/>
      <c r="G4" s="143"/>
    </row>
    <row r="5" spans="2:7" x14ac:dyDescent="0.25">
      <c r="B5" s="3" t="s">
        <v>161</v>
      </c>
      <c r="C5" s="9"/>
      <c r="D5" s="9"/>
      <c r="E5" s="9"/>
      <c r="F5" s="9"/>
      <c r="G5" s="9"/>
    </row>
    <row r="6" spans="2:7" x14ac:dyDescent="0.25">
      <c r="B6" s="1" t="s">
        <v>162</v>
      </c>
      <c r="C6" t="str">
        <f>IF(IF(Output!A15="","",Output!A15)&amp;IF(Output!A16="","",", "&amp;Output!A16)&amp;IF(Output!A17="","",", "&amp;", "&amp;Output!A17)&amp;IF(Output!A18="","",", "&amp;Output!A18)&amp;IF(Output!A19="","",", "&amp;Output!A19)="","None",IF(Output!A15="","",Output!A15)&amp;IF(Output!A16="","",", "&amp;Output!A16)&amp;IF(Output!A17="","",", "&amp;", "&amp;Output!A17)&amp;IF(Output!A18="","",", "&amp;Output!A18)&amp;IF(Output!A19="","",", "&amp;Output!A19))</f>
        <v>None</v>
      </c>
    </row>
    <row r="7" spans="2:7" x14ac:dyDescent="0.25">
      <c r="B7" s="1" t="s">
        <v>163</v>
      </c>
      <c r="C7" t="str">
        <f>IF(IF(Output!A21="","",Output!A21)&amp;IF(Output!A22="","",", "&amp;Output!A22)&amp;IF(Output!A23="","",", "&amp;Output!A23)&amp;IF(Output!A24="","",", "&amp;Output!A24)="","None",IF(Output!A21="","",Output!A21)&amp;IF(Output!A22="","",", "&amp;Output!A22)&amp;IF(Output!A23="","",", "&amp;Output!A23)&amp;IF(Output!A24="","",", "&amp;Output!A24))</f>
        <v>None</v>
      </c>
    </row>
    <row r="8" spans="2:7" x14ac:dyDescent="0.25">
      <c r="B8" s="1" t="s">
        <v>164</v>
      </c>
      <c r="C8" t="str">
        <f>IF(Inputs!B29="","None",Inputs!B29)</f>
        <v>None</v>
      </c>
    </row>
    <row r="9" spans="2:7" ht="8.25" customHeight="1" x14ac:dyDescent="0.25"/>
    <row r="10" spans="2:7" x14ac:dyDescent="0.25">
      <c r="B10" s="3" t="s">
        <v>168</v>
      </c>
      <c r="C10" s="9"/>
      <c r="D10" s="9"/>
      <c r="E10" s="9"/>
      <c r="F10" s="9"/>
      <c r="G10" s="9"/>
    </row>
    <row r="11" spans="2:7" x14ac:dyDescent="0.25">
      <c r="B11" s="1" t="s">
        <v>169</v>
      </c>
      <c r="C11" s="68" t="e">
        <f>IF(Output!Z8/(Output!Z4+Output!Z7)&lt;=0,999,Output!Z8/(Output!Z4+Output!Z7))</f>
        <v>#DIV/0!</v>
      </c>
    </row>
    <row r="12" spans="2:7" x14ac:dyDescent="0.25">
      <c r="B12" s="1" t="s">
        <v>222</v>
      </c>
      <c r="C12" s="80" t="str">
        <f>IFERROR(INDEX(Parameters!C76:C87,MATCH(MONTH(INDEX(Output!B3:S3,MATCH(1,Output!B11:S11,0))),Parameters!D76:D87,0))&amp;" "&amp;YEAR(INDEX(Output!B3:S3,MATCH(1,Output!B11:S11,0))),"N/A")</f>
        <v>N/A</v>
      </c>
    </row>
    <row r="13" spans="2:7" x14ac:dyDescent="0.25">
      <c r="B13" s="1" t="s">
        <v>221</v>
      </c>
      <c r="C13" s="67" t="e">
        <f>Output!B69/Output!B63</f>
        <v>#DIV/0!</v>
      </c>
    </row>
    <row r="14" spans="2:7" ht="6.75" customHeight="1" x14ac:dyDescent="0.25"/>
    <row r="15" spans="2:7" x14ac:dyDescent="0.25">
      <c r="B15" s="3" t="s">
        <v>281</v>
      </c>
      <c r="C15" s="9"/>
      <c r="D15" s="9"/>
      <c r="E15" s="9"/>
      <c r="F15" s="9"/>
      <c r="G15" s="9"/>
    </row>
    <row r="16" spans="2:7" x14ac:dyDescent="0.25">
      <c r="B16" s="1" t="s">
        <v>326</v>
      </c>
      <c r="C16" s="36" t="e">
        <f>MAX(Output!B8:S8)</f>
        <v>#DIV/0!</v>
      </c>
    </row>
    <row r="17" spans="2:7" x14ac:dyDescent="0.25">
      <c r="B17" s="1" t="s">
        <v>171</v>
      </c>
      <c r="C17" s="36">
        <f>SUM(Output!B4:M4)</f>
        <v>0</v>
      </c>
    </row>
    <row r="18" spans="2:7" x14ac:dyDescent="0.25">
      <c r="B18" s="1" t="s">
        <v>172</v>
      </c>
      <c r="C18" s="36">
        <f>MIN(Output!B4:M4)</f>
        <v>0</v>
      </c>
    </row>
    <row r="19" spans="2:7" x14ac:dyDescent="0.25">
      <c r="B19" s="1" t="s">
        <v>219</v>
      </c>
      <c r="C19" s="79" t="str">
        <f>INDEX(Parameters!$C$76:$C$87,MONTH(INDEX(Output!$B$3:$M$3,MATCH(C18,Output!$B$4:$M$4,0))))&amp;" "&amp;YEAR(INDEX(Output!$B$3:$M$3,MATCH(C18,Output!$B$4:$M$4,0)))</f>
        <v>January 1900</v>
      </c>
    </row>
    <row r="20" spans="2:7" x14ac:dyDescent="0.25">
      <c r="B20" s="1" t="s">
        <v>173</v>
      </c>
      <c r="C20" s="36">
        <f>MAX(Output!B4:M4)</f>
        <v>0</v>
      </c>
    </row>
    <row r="21" spans="2:7" x14ac:dyDescent="0.25">
      <c r="B21" s="1" t="s">
        <v>220</v>
      </c>
      <c r="C21" s="79" t="str">
        <f>INDEX(Parameters!$C$76:$C$87,MONTH(INDEX(Output!$B$3:$M$3,MATCH(C20,Output!$B$4:$M$4,0))))&amp;" "&amp;YEAR(INDEX(Output!$B$3:$M$3,MATCH(C20,Output!$B$4:$M$4,0)))</f>
        <v>January 1900</v>
      </c>
    </row>
    <row r="22" spans="2:7" ht="9" customHeight="1" x14ac:dyDescent="0.25"/>
    <row r="23" spans="2:7" x14ac:dyDescent="0.25">
      <c r="B23" s="3" t="s">
        <v>165</v>
      </c>
      <c r="C23" s="9"/>
      <c r="D23" s="9"/>
      <c r="E23" s="9"/>
      <c r="F23" s="9"/>
      <c r="G23" s="9"/>
    </row>
    <row r="24" spans="2:7" x14ac:dyDescent="0.25">
      <c r="B24" s="1" t="s">
        <v>166</v>
      </c>
      <c r="C24" s="36" t="e">
        <f>AVERAGE(Inputs!A56:A60)</f>
        <v>#DIV/0!</v>
      </c>
    </row>
    <row r="25" spans="2:7" x14ac:dyDescent="0.25">
      <c r="B25" s="1" t="s">
        <v>280</v>
      </c>
      <c r="C25" s="36">
        <f>MAX(Inputs!A56:A60)</f>
        <v>0</v>
      </c>
    </row>
    <row r="26" spans="2:7" x14ac:dyDescent="0.25">
      <c r="B26" s="1" t="s">
        <v>167</v>
      </c>
      <c r="C26" s="137" t="str">
        <f>IF(OR(Inputs!E56="No",Inputs!E57="No",Inputs!E58="No",Inputs!E59="No",Inputs!E60="No"),"No","Yes")</f>
        <v>Yes</v>
      </c>
    </row>
  </sheetData>
  <mergeCells count="1">
    <mergeCell ref="C2:G3"/>
  </mergeCells>
  <conditionalFormatting sqref="C2:G4">
    <cfRule type="expression" dxfId="16" priority="1">
      <formula>$C$2="Approve"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"/>
  <sheetViews>
    <sheetView showGridLines="0" topLeftCell="A56" zoomScale="90" zoomScaleNormal="90" workbookViewId="0">
      <pane xSplit="1" topLeftCell="B1" activePane="topRight" state="frozen"/>
      <selection pane="topRight" activeCell="B58" sqref="B58"/>
    </sheetView>
  </sheetViews>
  <sheetFormatPr defaultRowHeight="15" x14ac:dyDescent="0.25"/>
  <cols>
    <col min="1" max="1" width="43.5703125" customWidth="1"/>
    <col min="2" max="2" width="14.5703125" bestFit="1" customWidth="1"/>
    <col min="3" max="3" width="11.28515625" bestFit="1" customWidth="1"/>
    <col min="4" max="4" width="12.85546875" bestFit="1" customWidth="1"/>
    <col min="5" max="10" width="11.28515625" bestFit="1" customWidth="1"/>
    <col min="11" max="11" width="10" customWidth="1"/>
    <col min="12" max="25" width="11.28515625" bestFit="1" customWidth="1"/>
    <col min="26" max="27" width="25" customWidth="1"/>
    <col min="28" max="28" width="17.140625" customWidth="1"/>
  </cols>
  <sheetData>
    <row r="1" spans="1:30" x14ac:dyDescent="0.25">
      <c r="A1" s="3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x14ac:dyDescent="0.25">
      <c r="B2" s="41"/>
      <c r="AB2" s="36"/>
    </row>
    <row r="3" spans="1:30" x14ac:dyDescent="0.25">
      <c r="A3" s="5"/>
      <c r="B3" s="17">
        <f>DATE(YEAR(Inputs!B76),MONTH(Inputs!B76),1)</f>
        <v>1</v>
      </c>
      <c r="C3" s="17">
        <f>DATE(YEAR(B3),MONTH(B3)+1,DAY(B3))</f>
        <v>32</v>
      </c>
      <c r="D3" s="17">
        <f t="shared" ref="D3:L3" si="0">DATE(YEAR(C3),MONTH(C3)+1,DAY(C3))</f>
        <v>61</v>
      </c>
      <c r="E3" s="17">
        <f t="shared" si="0"/>
        <v>92</v>
      </c>
      <c r="F3" s="17">
        <f t="shared" si="0"/>
        <v>122</v>
      </c>
      <c r="G3" s="17">
        <f t="shared" si="0"/>
        <v>153</v>
      </c>
      <c r="H3" s="17">
        <f t="shared" si="0"/>
        <v>183</v>
      </c>
      <c r="I3" s="17">
        <f t="shared" si="0"/>
        <v>214</v>
      </c>
      <c r="J3" s="17">
        <f t="shared" si="0"/>
        <v>245</v>
      </c>
      <c r="K3" s="17">
        <f t="shared" si="0"/>
        <v>275</v>
      </c>
      <c r="L3" s="17">
        <f t="shared" si="0"/>
        <v>306</v>
      </c>
      <c r="M3" s="17">
        <f t="shared" ref="M3" si="1">DATE(YEAR(L3),MONTH(L3)+1,DAY(L3))</f>
        <v>336</v>
      </c>
      <c r="N3" s="17">
        <f t="shared" ref="N3" si="2">DATE(YEAR(M3),MONTH(M3)+1,DAY(M3))</f>
        <v>367</v>
      </c>
      <c r="O3" s="17">
        <f t="shared" ref="O3" si="3">DATE(YEAR(N3),MONTH(N3)+1,DAY(N3))</f>
        <v>398</v>
      </c>
      <c r="P3" s="17">
        <f t="shared" ref="P3" si="4">DATE(YEAR(O3),MONTH(O3)+1,DAY(O3))</f>
        <v>426</v>
      </c>
      <c r="Q3" s="17">
        <f t="shared" ref="Q3" si="5">DATE(YEAR(P3),MONTH(P3)+1,DAY(P3))</f>
        <v>457</v>
      </c>
      <c r="R3" s="17">
        <f t="shared" ref="R3" si="6">DATE(YEAR(Q3),MONTH(Q3)+1,DAY(Q3))</f>
        <v>487</v>
      </c>
      <c r="S3" s="17">
        <f t="shared" ref="S3" si="7">DATE(YEAR(R3),MONTH(R3)+1,DAY(R3))</f>
        <v>518</v>
      </c>
      <c r="T3" s="17">
        <f t="shared" ref="T3" si="8">DATE(YEAR(S3),MONTH(S3)+1,DAY(S3))</f>
        <v>548</v>
      </c>
      <c r="U3" s="17">
        <f t="shared" ref="U3" si="9">DATE(YEAR(T3),MONTH(T3)+1,DAY(T3))</f>
        <v>579</v>
      </c>
      <c r="V3" s="17">
        <f t="shared" ref="V3" si="10">DATE(YEAR(U3),MONTH(U3)+1,DAY(U3))</f>
        <v>610</v>
      </c>
      <c r="W3" s="17">
        <f t="shared" ref="W3" si="11">DATE(YEAR(V3),MONTH(V3)+1,DAY(V3))</f>
        <v>640</v>
      </c>
      <c r="X3" s="17">
        <f t="shared" ref="X3" si="12">DATE(YEAR(W3),MONTH(W3)+1,DAY(W3))</f>
        <v>671</v>
      </c>
      <c r="Y3" s="17">
        <f t="shared" ref="Y3" si="13">DATE(YEAR(X3),MONTH(X3)+1,DAY(X3))</f>
        <v>701</v>
      </c>
      <c r="Z3" s="47" t="s">
        <v>228</v>
      </c>
      <c r="AA3" s="47" t="s">
        <v>305</v>
      </c>
      <c r="AB3" s="47" t="s">
        <v>329</v>
      </c>
      <c r="AC3" s="175">
        <f>DATE(YEAR(Y3),MONTH(Y3)+1,DAY(Y3))</f>
        <v>732</v>
      </c>
    </row>
    <row r="4" spans="1:30" ht="15.75" thickBot="1" x14ac:dyDescent="0.3">
      <c r="A4" s="50" t="s">
        <v>324</v>
      </c>
      <c r="B4" s="51">
        <f t="shared" ref="B4:S4" si="14">B27-B50</f>
        <v>0</v>
      </c>
      <c r="C4" s="51">
        <f t="shared" si="14"/>
        <v>0</v>
      </c>
      <c r="D4" s="51">
        <f t="shared" si="14"/>
        <v>0</v>
      </c>
      <c r="E4" s="51">
        <f t="shared" si="14"/>
        <v>0</v>
      </c>
      <c r="F4" s="51">
        <f t="shared" si="14"/>
        <v>0</v>
      </c>
      <c r="G4" s="51">
        <f t="shared" si="14"/>
        <v>0</v>
      </c>
      <c r="H4" s="51">
        <f t="shared" si="14"/>
        <v>0</v>
      </c>
      <c r="I4" s="51">
        <f t="shared" si="14"/>
        <v>0</v>
      </c>
      <c r="J4" s="51">
        <f t="shared" si="14"/>
        <v>0</v>
      </c>
      <c r="K4" s="51">
        <f t="shared" si="14"/>
        <v>0</v>
      </c>
      <c r="L4" s="51">
        <f t="shared" si="14"/>
        <v>0</v>
      </c>
      <c r="M4" s="51">
        <f t="shared" si="14"/>
        <v>0</v>
      </c>
      <c r="N4" s="51">
        <f t="shared" si="14"/>
        <v>0</v>
      </c>
      <c r="O4" s="51">
        <f t="shared" si="14"/>
        <v>0</v>
      </c>
      <c r="P4" s="51">
        <f t="shared" si="14"/>
        <v>0</v>
      </c>
      <c r="Q4" s="51">
        <f t="shared" si="14"/>
        <v>0</v>
      </c>
      <c r="R4" s="51">
        <f t="shared" si="14"/>
        <v>0</v>
      </c>
      <c r="S4" s="51">
        <f t="shared" si="14"/>
        <v>0</v>
      </c>
      <c r="T4" s="51">
        <f t="shared" ref="T4:Y4" si="15">T27-T50</f>
        <v>0</v>
      </c>
      <c r="U4" s="51">
        <f t="shared" si="15"/>
        <v>0</v>
      </c>
      <c r="V4" s="51">
        <f t="shared" si="15"/>
        <v>0</v>
      </c>
      <c r="W4" s="51">
        <f t="shared" si="15"/>
        <v>0</v>
      </c>
      <c r="X4" s="51">
        <f t="shared" si="15"/>
        <v>0</v>
      </c>
      <c r="Y4" s="51">
        <f t="shared" si="15"/>
        <v>0</v>
      </c>
      <c r="Z4" s="51" t="e">
        <f t="array" ref="Z4">SUM(IF($B$7:$Y$7+$B$8:$Y$8&gt;0,B4:Y4,0))</f>
        <v>#DIV/0!</v>
      </c>
      <c r="AA4" s="51">
        <f>AA27-AA50</f>
        <v>0</v>
      </c>
      <c r="AB4" s="51">
        <f>AB27-AB50</f>
        <v>0</v>
      </c>
      <c r="AC4" s="43"/>
      <c r="AD4" s="43"/>
    </row>
    <row r="5" spans="1:30" ht="15.75" customHeight="1" thickTop="1" x14ac:dyDescent="0.25">
      <c r="A5" s="43" t="s">
        <v>325</v>
      </c>
      <c r="B5" s="81" t="str">
        <f>IFERROR(INDEX(Inputs!$B$66:$B$71,MATCH(MONTH(Output!B3),Inputs!$D$66:$D$71,0))-INDEX(Inputs!$C$66:$C$71,MATCH(MONTH(Output!B3),Inputs!$D$66:$D$71,0)),"")</f>
        <v/>
      </c>
      <c r="C5" s="81" t="str">
        <f>IFERROR(INDEX(Inputs!$B$66:$B$71,MATCH(MONTH(Output!C3),Inputs!$D$66:$D$71,0))-INDEX(Inputs!$C$66:$C$71,MATCH(MONTH(Output!C3),Inputs!$D$66:$D$71,0)),"")</f>
        <v/>
      </c>
      <c r="D5" s="81" t="str">
        <f>IFERROR(INDEX(Inputs!$B$66:$B$71,MATCH(MONTH(Output!D3),Inputs!$D$66:$D$71,0))-INDEX(Inputs!$C$66:$C$71,MATCH(MONTH(Output!D3),Inputs!$D$66:$D$71,0)),"")</f>
        <v/>
      </c>
      <c r="E5" s="81" t="str">
        <f>IFERROR(INDEX(Inputs!$B$66:$B$71,MATCH(MONTH(Output!E3),Inputs!$D$66:$D$71,0))-INDEX(Inputs!$C$66:$C$71,MATCH(MONTH(Output!E3),Inputs!$D$66:$D$71,0)),"")</f>
        <v/>
      </c>
      <c r="F5" s="81" t="str">
        <f>IFERROR(INDEX(Inputs!$B$66:$B$71,MATCH(MONTH(Output!F3),Inputs!$D$66:$D$71,0))-INDEX(Inputs!$C$66:$C$71,MATCH(MONTH(Output!F3),Inputs!$D$66:$D$71,0)),"")</f>
        <v/>
      </c>
      <c r="G5" s="81" t="str">
        <f>IFERROR(INDEX(Inputs!$B$66:$B$71,MATCH(MONTH(Output!G3),Inputs!$D$66:$D$71,0))-INDEX(Inputs!$C$66:$C$71,MATCH(MONTH(Output!G3),Inputs!$D$66:$D$71,0)),"")</f>
        <v/>
      </c>
      <c r="H5" s="81" t="str">
        <f>IFERROR(INDEX(Inputs!$B$66:$B$71,MATCH(MONTH(Output!H3),Inputs!$D$66:$D$71,0))-INDEX(Inputs!$C$66:$C$71,MATCH(MONTH(Output!H3),Inputs!$D$66:$D$71,0)),"")</f>
        <v/>
      </c>
      <c r="I5" s="81" t="str">
        <f>IFERROR(INDEX(Inputs!$B$66:$B$71,MATCH(MONTH(Output!I3),Inputs!$D$66:$D$71,0))-INDEX(Inputs!$C$66:$C$71,MATCH(MONTH(Output!I3),Inputs!$D$66:$D$71,0)),"")</f>
        <v/>
      </c>
      <c r="J5" s="81" t="str">
        <f>IFERROR(INDEX(Inputs!$B$66:$B$71,MATCH(MONTH(Output!J3),Inputs!$D$66:$D$71,0))-INDEX(Inputs!$C$66:$C$71,MATCH(MONTH(Output!J3),Inputs!$D$66:$D$71,0)),"")</f>
        <v/>
      </c>
      <c r="K5" s="81" t="str">
        <f>IFERROR(INDEX(Inputs!$B$66:$B$71,MATCH(MONTH(Output!K3),Inputs!$D$66:$D$71,0))-INDEX(Inputs!$C$66:$C$71,MATCH(MONTH(Output!K3),Inputs!$D$66:$D$71,0)),"")</f>
        <v/>
      </c>
      <c r="L5" s="81" t="str">
        <f>IFERROR(INDEX(Inputs!$B$66:$B$71,MATCH(MONTH(Output!L3),Inputs!$D$66:$D$71,0))-INDEX(Inputs!$C$66:$C$71,MATCH(MONTH(Output!L3),Inputs!$D$66:$D$71,0)),"")</f>
        <v/>
      </c>
      <c r="M5" s="81" t="str">
        <f>IFERROR(INDEX(Inputs!$B$66:$B$71,MATCH(MONTH(Output!M3),Inputs!$D$66:$D$71,0))-INDEX(Inputs!$C$66:$C$71,MATCH(MONTH(Output!M3),Inputs!$D$66:$D$71,0)),"")</f>
        <v/>
      </c>
      <c r="N5" s="81" t="str">
        <f>IFERROR(INDEX(Inputs!$B$66:$B$71,MATCH(MONTH(Output!N3),Inputs!$D$66:$D$71,0))-INDEX(Inputs!$C$66:$C$71,MATCH(MONTH(Output!N3),Inputs!$D$66:$D$71,0)),"")</f>
        <v/>
      </c>
      <c r="O5" s="81" t="str">
        <f>IFERROR(INDEX(Inputs!$B$66:$B$71,MATCH(MONTH(Output!O3),Inputs!$D$66:$D$71,0))-INDEX(Inputs!$C$66:$C$71,MATCH(MONTH(Output!O3),Inputs!$D$66:$D$71,0)),"")</f>
        <v/>
      </c>
      <c r="P5" s="81" t="str">
        <f>IFERROR(INDEX(Inputs!$B$66:$B$71,MATCH(MONTH(Output!P3),Inputs!$D$66:$D$71,0))-INDEX(Inputs!$C$66:$C$71,MATCH(MONTH(Output!P3),Inputs!$D$66:$D$71,0)),"")</f>
        <v/>
      </c>
      <c r="Q5" s="81" t="str">
        <f>IFERROR(INDEX(Inputs!$B$66:$B$71,MATCH(MONTH(Output!Q3),Inputs!$D$66:$D$71,0))-INDEX(Inputs!$C$66:$C$71,MATCH(MONTH(Output!Q3),Inputs!$D$66:$D$71,0)),"")</f>
        <v/>
      </c>
      <c r="R5" s="81" t="str">
        <f>IFERROR(INDEX(Inputs!$B$66:$B$71,MATCH(MONTH(Output!R3),Inputs!$D$66:$D$71,0))-INDEX(Inputs!$C$66:$C$71,MATCH(MONTH(Output!R3),Inputs!$D$66:$D$71,0)),"")</f>
        <v/>
      </c>
      <c r="S5" s="81" t="str">
        <f>IFERROR(INDEX(Inputs!$B$66:$B$71,MATCH(MONTH(Output!S3),Inputs!$D$66:$D$71,0))-INDEX(Inputs!$C$66:$C$71,MATCH(MONTH(Output!S3),Inputs!$D$66:$D$71,0)),"")</f>
        <v/>
      </c>
      <c r="T5" s="81" t="str">
        <f>IFERROR(INDEX(Inputs!$B$66:$B$71,MATCH(MONTH(Output!T3),Inputs!$D$66:$D$71,0))-INDEX(Inputs!$C$66:$C$71,MATCH(MONTH(Output!T3),Inputs!$D$66:$D$71,0)),"")</f>
        <v/>
      </c>
      <c r="U5" s="81" t="str">
        <f>IFERROR(INDEX(Inputs!$B$66:$B$71,MATCH(MONTH(Output!U3),Inputs!$D$66:$D$71,0))-INDEX(Inputs!$C$66:$C$71,MATCH(MONTH(Output!U3),Inputs!$D$66:$D$71,0)),"")</f>
        <v/>
      </c>
      <c r="V5" s="81" t="str">
        <f>IFERROR(INDEX(Inputs!$B$66:$B$71,MATCH(MONTH(Output!V3),Inputs!$D$66:$D$71,0))-INDEX(Inputs!$C$66:$C$71,MATCH(MONTH(Output!V3),Inputs!$D$66:$D$71,0)),"")</f>
        <v/>
      </c>
      <c r="W5" s="81" t="str">
        <f>IFERROR(INDEX(Inputs!$B$66:$B$71,MATCH(MONTH(Output!W3),Inputs!$D$66:$D$71,0))-INDEX(Inputs!$C$66:$C$71,MATCH(MONTH(Output!W3),Inputs!$D$66:$D$71,0)),"")</f>
        <v/>
      </c>
      <c r="X5" s="81" t="str">
        <f>IFERROR(INDEX(Inputs!$B$66:$B$71,MATCH(MONTH(Output!X3),Inputs!$D$66:$D$71,0))-INDEX(Inputs!$C$66:$C$71,MATCH(MONTH(Output!X3),Inputs!$D$66:$D$71,0)),"")</f>
        <v/>
      </c>
      <c r="Y5" s="81" t="str">
        <f>IFERROR(INDEX(Inputs!$B$66:$B$71,MATCH(MONTH(Output!Y3),Inputs!$D$66:$D$71,0))-INDEX(Inputs!$C$66:$C$71,MATCH(MONTH(Output!Y3),Inputs!$D$66:$D$71,0)),"")</f>
        <v/>
      </c>
      <c r="Z5" s="81"/>
      <c r="AA5" s="81"/>
      <c r="AB5" s="81"/>
      <c r="AC5" s="43"/>
      <c r="AD5" s="43"/>
    </row>
    <row r="6" spans="1:30" ht="9.75" customHeight="1" x14ac:dyDescent="0.25">
      <c r="A6" s="43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43"/>
      <c r="AD6" s="43"/>
    </row>
    <row r="7" spans="1:30" x14ac:dyDescent="0.25">
      <c r="A7" s="86" t="s">
        <v>227</v>
      </c>
      <c r="B7" s="76">
        <f>IF(AND(MONTH(B3)=MONTH(Calculations!$F$33),YEAR(B3)=YEAR(Calculations!$F$33)),Calculations!$F$35,0)</f>
        <v>0</v>
      </c>
      <c r="C7" s="76">
        <f>IF(AND(MONTH(C3)=MONTH(Calculations!$F$33),YEAR(C3)=YEAR(Calculations!$F$33)),Calculations!$F$35,0)</f>
        <v>0</v>
      </c>
      <c r="D7" s="76">
        <f>IF(AND(MONTH(D3)=MONTH(Calculations!$F$33),YEAR(D3)=YEAR(Calculations!$F$33)),Calculations!$F$35,0)</f>
        <v>0</v>
      </c>
      <c r="E7" s="76">
        <f>IF(AND(MONTH(E3)=MONTH(Calculations!$F$33),YEAR(E3)=YEAR(Calculations!$F$33)),Calculations!$F$35,0)</f>
        <v>0</v>
      </c>
      <c r="F7" s="76">
        <f>IF(AND(MONTH(F3)=MONTH(Calculations!$F$33),YEAR(F3)=YEAR(Calculations!$F$33)),Calculations!$F$35,0)</f>
        <v>0</v>
      </c>
      <c r="G7" s="76">
        <f>IF(AND(MONTH(G3)=MONTH(Calculations!$F$33),YEAR(G3)=YEAR(Calculations!$F$33)),Calculations!$F$35,0)</f>
        <v>0</v>
      </c>
      <c r="H7" s="76">
        <f>IF(AND(MONTH(H3)=MONTH(Calculations!$F$33),YEAR(H3)=YEAR(Calculations!$F$33)),Calculations!$F$35,0)</f>
        <v>0</v>
      </c>
      <c r="I7" s="76">
        <f>IF(AND(MONTH(I3)=MONTH(Calculations!$F$33),YEAR(I3)=YEAR(Calculations!$F$33)),Calculations!$F$35,0)</f>
        <v>0</v>
      </c>
      <c r="J7" s="76">
        <f>IF(AND(MONTH(J3)=MONTH(Calculations!$F$33),YEAR(J3)=YEAR(Calculations!$F$33)),Calculations!$F$35,0)</f>
        <v>0</v>
      </c>
      <c r="K7" s="76">
        <f>IF(AND(MONTH(K3)=MONTH(Calculations!$F$33),YEAR(K3)=YEAR(Calculations!$F$33)),Calculations!$F$35,0)</f>
        <v>0</v>
      </c>
      <c r="L7" s="76">
        <f>IF(AND(MONTH(L3)=MONTH(Calculations!$F$33),YEAR(L3)=YEAR(Calculations!$F$33)),Calculations!$F$35,0)</f>
        <v>0</v>
      </c>
      <c r="M7" s="76">
        <f>IF(AND(MONTH(M3)=MONTH(Calculations!$F$33),YEAR(M3)=YEAR(Calculations!$F$33)),Calculations!$F$35,0)</f>
        <v>0</v>
      </c>
      <c r="N7" s="76">
        <f>IF(AND(MONTH(N3)=MONTH(Calculations!$F$33),YEAR(N3)=YEAR(Calculations!$F$33)),Calculations!$F$35,0)</f>
        <v>0</v>
      </c>
      <c r="O7" s="76">
        <f>IF(AND(MONTH(O3)=MONTH(Calculations!$F$33),YEAR(O3)=YEAR(Calculations!$F$33)),Calculations!$F$35,0)</f>
        <v>0</v>
      </c>
      <c r="P7" s="76">
        <f>IF(AND(MONTH(P3)=MONTH(Calculations!$F$33),YEAR(P3)=YEAR(Calculations!$F$33)),Calculations!$F$35,0)</f>
        <v>0</v>
      </c>
      <c r="Q7" s="76">
        <f>IF(AND(MONTH(Q3)=MONTH(Calculations!$F$33),YEAR(Q3)=YEAR(Calculations!$F$33)),Calculations!$F$35,0)</f>
        <v>0</v>
      </c>
      <c r="R7" s="76">
        <f>IF(AND(MONTH(R3)=MONTH(Calculations!$F$33),YEAR(R3)=YEAR(Calculations!$F$33)),Calculations!$F$35,0)</f>
        <v>0</v>
      </c>
      <c r="S7" s="76">
        <f>IF(AND(MONTH(S3)=MONTH(Calculations!$F$33),YEAR(S3)=YEAR(Calculations!$F$33)),Calculations!$F$35,0)</f>
        <v>0</v>
      </c>
      <c r="T7" s="76">
        <f>IF(AND(MONTH(T3)=MONTH(Calculations!$F$33),YEAR(T3)=YEAR(Calculations!$F$33)),Calculations!$F$35,0)</f>
        <v>0</v>
      </c>
      <c r="U7" s="76">
        <f>IF(AND(MONTH(U3)=MONTH(Calculations!$F$33),YEAR(U3)=YEAR(Calculations!$F$33)),Calculations!$F$35,0)</f>
        <v>0</v>
      </c>
      <c r="V7" s="76">
        <f>IF(AND(MONTH(V3)=MONTH(Calculations!$F$33),YEAR(V3)=YEAR(Calculations!$F$33)),Calculations!$F$35,0)</f>
        <v>0</v>
      </c>
      <c r="W7" s="76">
        <f>IF(AND(MONTH(W3)=MONTH(Calculations!$F$33),YEAR(W3)=YEAR(Calculations!$F$33)),Calculations!$F$35,0)</f>
        <v>0</v>
      </c>
      <c r="X7" s="76">
        <f>IF(AND(MONTH(X3)=MONTH(Calculations!$F$33),YEAR(X3)=YEAR(Calculations!$F$33)),Calculations!$F$35,0)</f>
        <v>0</v>
      </c>
      <c r="Y7" s="76">
        <f>IF(AND(MONTH(Y3)=MONTH(Calculations!$F$33),YEAR(Y3)=YEAR(Calculations!$F$33)),Calculations!$F$35,0)</f>
        <v>0</v>
      </c>
      <c r="Z7" s="76" t="e">
        <f t="array" ref="Z7">SUM(IF($B$7:$Y$7+$B$8:$Y$8&gt;0,B7:Y7,0))</f>
        <v>#DIV/0!</v>
      </c>
      <c r="AA7" s="76">
        <f t="shared" ref="AA7:AA9" si="16">SUM(B7:M7)</f>
        <v>0</v>
      </c>
      <c r="AB7" s="76">
        <f t="shared" ref="AB7:AB9" si="17">SUM(B7:Y7)</f>
        <v>0</v>
      </c>
      <c r="AC7" s="43"/>
      <c r="AD7" s="43"/>
    </row>
    <row r="8" spans="1:30" s="43" customFormat="1" ht="15.75" thickBot="1" x14ac:dyDescent="0.3">
      <c r="A8" s="18" t="s">
        <v>218</v>
      </c>
      <c r="B8" s="37" t="e">
        <f t="array" ref="B8">SUM(IF(Calculations!$B$33:$B$84&lt;Output!C3,IF(Calculations!$B$33:$B$84&gt;=B3,Calculations!$C$33:$C$84,0)))</f>
        <v>#DIV/0!</v>
      </c>
      <c r="C8" s="37" t="e">
        <f t="array" ref="C8">SUM(IF(Calculations!$B$33:$B$84&lt;Output!D3,IF(Calculations!$B$33:$B$84&gt;=C3,Calculations!$C$33:$C$84,0)))</f>
        <v>#DIV/0!</v>
      </c>
      <c r="D8" s="37" t="e">
        <f t="array" ref="D8">SUM(IF(Calculations!$B$33:$B$84&lt;Output!E3,IF(Calculations!$B$33:$B$84&gt;=D3,Calculations!$C$33:$C$84,0)))</f>
        <v>#DIV/0!</v>
      </c>
      <c r="E8" s="37" t="e">
        <f t="array" ref="E8">SUM(IF(Calculations!$B$33:$B$84&lt;Output!F3,IF(Calculations!$B$33:$B$84&gt;=E3,Calculations!$C$33:$C$84,0)))</f>
        <v>#DIV/0!</v>
      </c>
      <c r="F8" s="37" t="e">
        <f t="array" ref="F8">SUM(IF(Calculations!$B$33:$B$84&lt;Output!G3,IF(Calculations!$B$33:$B$84&gt;=F3,Calculations!$C$33:$C$84,0)))</f>
        <v>#DIV/0!</v>
      </c>
      <c r="G8" s="37" t="e">
        <f t="array" ref="G8">SUM(IF(Calculations!$B$33:$B$84&lt;Output!H3,IF(Calculations!$B$33:$B$84&gt;=G3,Calculations!$C$33:$C$84,0)))</f>
        <v>#DIV/0!</v>
      </c>
      <c r="H8" s="37" t="e">
        <f t="array" ref="H8">SUM(IF(Calculations!$B$33:$B$84&lt;Output!I3,IF(Calculations!$B$33:$B$84&gt;=H3,Calculations!$C$33:$C$84,0)))</f>
        <v>#DIV/0!</v>
      </c>
      <c r="I8" s="37" t="e">
        <f t="array" ref="I8">SUM(IF(Calculations!$B$33:$B$84&lt;Output!J3,IF(Calculations!$B$33:$B$84&gt;=I3,Calculations!$C$33:$C$84,0)))</f>
        <v>#DIV/0!</v>
      </c>
      <c r="J8" s="37" t="e">
        <f t="array" ref="J8">SUM(IF(Calculations!$B$33:$B$84&lt;Output!K3,IF(Calculations!$B$33:$B$84&gt;=J3,Calculations!$C$33:$C$84,0)))</f>
        <v>#DIV/0!</v>
      </c>
      <c r="K8" s="37" t="e">
        <f t="array" ref="K8">SUM(IF(Calculations!$B$33:$B$84&lt;Output!L3,IF(Calculations!$B$33:$B$84&gt;=K3,Calculations!$C$33:$C$84,0)))</f>
        <v>#DIV/0!</v>
      </c>
      <c r="L8" s="37" t="e">
        <f t="array" ref="L8">SUM(IF(Calculations!$B$33:$B$84&lt;Output!M3,IF(Calculations!$B$33:$B$84&gt;=L3,Calculations!$C$33:$C$84,0)))</f>
        <v>#DIV/0!</v>
      </c>
      <c r="M8" s="37" t="e">
        <f t="array" ref="M8">SUM(IF(Calculations!$B$33:$B$84&lt;Output!N3,IF(Calculations!$B$33:$B$84&gt;=M3,Calculations!$C$33:$C$84,0)))</f>
        <v>#DIV/0!</v>
      </c>
      <c r="N8" s="37" t="e">
        <f t="array" ref="N8">SUM(IF(Calculations!$B$33:$B$84&lt;Output!O3,IF(Calculations!$B$33:$B$84&gt;=N3,Calculations!$C$33:$C$84,0)))</f>
        <v>#DIV/0!</v>
      </c>
      <c r="O8" s="37" t="e">
        <f t="array" ref="O8">SUM(IF(Calculations!$B$33:$B$84&lt;Output!P3,IF(Calculations!$B$33:$B$84&gt;=O3,Calculations!$C$33:$C$84,0)))</f>
        <v>#DIV/0!</v>
      </c>
      <c r="P8" s="37" t="e">
        <f t="array" ref="P8">SUM(IF(Calculations!$B$33:$B$84&lt;Output!Q3,IF(Calculations!$B$33:$B$84&gt;=P3,Calculations!$C$33:$C$84,0)))</f>
        <v>#DIV/0!</v>
      </c>
      <c r="Q8" s="37" t="e">
        <f t="array" ref="Q8">SUM(IF(Calculations!$B$33:$B$84&lt;Output!R3,IF(Calculations!$B$33:$B$84&gt;=Q3,Calculations!$C$33:$C$84,0)))</f>
        <v>#DIV/0!</v>
      </c>
      <c r="R8" s="37" t="e">
        <f t="array" ref="R8">SUM(IF(Calculations!$B$33:$B$84&lt;Output!S3,IF(Calculations!$B$33:$B$84&gt;=R3,Calculations!$C$33:$C$84,0)))</f>
        <v>#DIV/0!</v>
      </c>
      <c r="S8" s="37" t="e">
        <f t="array" ref="S8">SUM(IF(Calculations!$B$33:$B$84&lt;Output!T3,IF(Calculations!$B$33:$B$84&gt;=S3,Calculations!$C$33:$C$84,0)))</f>
        <v>#DIV/0!</v>
      </c>
      <c r="T8" s="37" t="e">
        <f t="array" ref="T8">SUM(IF(Calculations!$B$33:$B$84&lt;Output!U3,IF(Calculations!$B$33:$B$84&gt;=T3,Calculations!$C$33:$C$84,0)))</f>
        <v>#DIV/0!</v>
      </c>
      <c r="U8" s="37" t="e">
        <f t="array" ref="U8">SUM(IF(Calculations!$B$33:$B$84&lt;Output!V3,IF(Calculations!$B$33:$B$84&gt;=U3,Calculations!$C$33:$C$84,0)))</f>
        <v>#DIV/0!</v>
      </c>
      <c r="V8" s="37" t="e">
        <f t="array" ref="V8">SUM(IF(Calculations!$B$33:$B$84&lt;Output!W3,IF(Calculations!$B$33:$B$84&gt;=V3,Calculations!$C$33:$C$84,0)))</f>
        <v>#DIV/0!</v>
      </c>
      <c r="W8" s="37" t="e">
        <f t="array" ref="W8">SUM(IF(Calculations!$B$33:$B$84&lt;Output!X3,IF(Calculations!$B$33:$B$84&gt;=W3,Calculations!$C$33:$C$84,0)))</f>
        <v>#DIV/0!</v>
      </c>
      <c r="X8" s="37" t="e">
        <f t="array" ref="X8">SUM(IF(Calculations!$B$33:$B$84&lt;Output!Y3,IF(Calculations!$B$33:$B$84&gt;=X3,Calculations!$C$33:$C$84,0)))</f>
        <v>#DIV/0!</v>
      </c>
      <c r="Y8" s="37" t="e">
        <f t="array" ref="Y8">SUM(IF(Calculations!$B$33:$B$84&lt;Output!AC3,IF(Calculations!$B$33:$B$84&gt;=Y3,Calculations!$C$33:$C$84,0)))</f>
        <v>#DIV/0!</v>
      </c>
      <c r="Z8" s="37" t="e">
        <f t="array" ref="Z8">SUM(IF($B$7:$Y$7+$B$8:$Y$8&gt;0,B8:Y8,0))</f>
        <v>#DIV/0!</v>
      </c>
      <c r="AA8" s="37" t="e">
        <f t="shared" si="16"/>
        <v>#DIV/0!</v>
      </c>
      <c r="AB8" s="37" t="e">
        <f t="shared" si="17"/>
        <v>#DIV/0!</v>
      </c>
    </row>
    <row r="9" spans="1:30" ht="15.75" thickTop="1" x14ac:dyDescent="0.25">
      <c r="A9" s="43" t="s">
        <v>229</v>
      </c>
      <c r="B9" s="81" t="e">
        <f>B4+B7-B8</f>
        <v>#DIV/0!</v>
      </c>
      <c r="C9" s="81" t="e">
        <f t="shared" ref="C9:S9" si="18">C4+C7-C8</f>
        <v>#DIV/0!</v>
      </c>
      <c r="D9" s="81" t="e">
        <f t="shared" si="18"/>
        <v>#DIV/0!</v>
      </c>
      <c r="E9" s="81" t="e">
        <f t="shared" si="18"/>
        <v>#DIV/0!</v>
      </c>
      <c r="F9" s="81" t="e">
        <f t="shared" si="18"/>
        <v>#DIV/0!</v>
      </c>
      <c r="G9" s="81" t="e">
        <f t="shared" si="18"/>
        <v>#DIV/0!</v>
      </c>
      <c r="H9" s="81" t="e">
        <f t="shared" si="18"/>
        <v>#DIV/0!</v>
      </c>
      <c r="I9" s="81" t="e">
        <f t="shared" si="18"/>
        <v>#DIV/0!</v>
      </c>
      <c r="J9" s="81" t="e">
        <f t="shared" si="18"/>
        <v>#DIV/0!</v>
      </c>
      <c r="K9" s="81" t="e">
        <f t="shared" si="18"/>
        <v>#DIV/0!</v>
      </c>
      <c r="L9" s="81" t="e">
        <f t="shared" si="18"/>
        <v>#DIV/0!</v>
      </c>
      <c r="M9" s="81" t="e">
        <f t="shared" si="18"/>
        <v>#DIV/0!</v>
      </c>
      <c r="N9" s="81" t="e">
        <f t="shared" si="18"/>
        <v>#DIV/0!</v>
      </c>
      <c r="O9" s="81" t="e">
        <f t="shared" si="18"/>
        <v>#DIV/0!</v>
      </c>
      <c r="P9" s="81" t="e">
        <f t="shared" si="18"/>
        <v>#DIV/0!</v>
      </c>
      <c r="Q9" s="81" t="e">
        <f t="shared" si="18"/>
        <v>#DIV/0!</v>
      </c>
      <c r="R9" s="81" t="e">
        <f t="shared" si="18"/>
        <v>#DIV/0!</v>
      </c>
      <c r="S9" s="81" t="e">
        <f t="shared" si="18"/>
        <v>#DIV/0!</v>
      </c>
      <c r="T9" s="81" t="e">
        <f t="shared" ref="T9:Y9" si="19">T4+T7-T8</f>
        <v>#DIV/0!</v>
      </c>
      <c r="U9" s="81" t="e">
        <f t="shared" si="19"/>
        <v>#DIV/0!</v>
      </c>
      <c r="V9" s="81" t="e">
        <f t="shared" si="19"/>
        <v>#DIV/0!</v>
      </c>
      <c r="W9" s="81" t="e">
        <f t="shared" si="19"/>
        <v>#DIV/0!</v>
      </c>
      <c r="X9" s="81" t="e">
        <f t="shared" si="19"/>
        <v>#DIV/0!</v>
      </c>
      <c r="Y9" s="81" t="e">
        <f t="shared" si="19"/>
        <v>#DIV/0!</v>
      </c>
      <c r="Z9" s="87" t="e">
        <f t="array" ref="Z9">SUM(IF($B$7:$Y$7+$B$8:$Y$8&gt;0,B9:Y9,0))</f>
        <v>#DIV/0!</v>
      </c>
      <c r="AA9" s="81" t="e">
        <f t="shared" si="16"/>
        <v>#DIV/0!</v>
      </c>
      <c r="AB9" s="46" t="e">
        <f t="shared" si="17"/>
        <v>#DIV/0!</v>
      </c>
      <c r="AC9" s="43"/>
      <c r="AD9" s="43"/>
    </row>
    <row r="10" spans="1:30" s="43" customFormat="1" x14ac:dyDescent="0.25">
      <c r="A10" s="82" t="s">
        <v>170</v>
      </c>
      <c r="B10" s="83" t="e">
        <f>IF(SUM(B7:B8)&gt;0,IF(SUM($B$8:B8)/(SUM($B$4:B4)+SUM($B$7:B7))&lt;0,999.99,SUM($B$8:B8)/(SUM($B$4:B4)+SUM($B$7:B7))),"")</f>
        <v>#DIV/0!</v>
      </c>
      <c r="C10" s="83" t="e">
        <f>IF(SUM(C7:C8)&gt;0,IF(SUM($B$8:C8)/(SUM($B$4:C4)+SUM($B$7:C7))&lt;0,999.99,SUM($B$8:C8)/(SUM($B$4:C4)+SUM($B$7:C7))),"")</f>
        <v>#DIV/0!</v>
      </c>
      <c r="D10" s="83" t="e">
        <f>IF(SUM(D7:D8)&gt;0,IF(SUM($B$8:D8)/(SUM($B$4:D4)+SUM($B$7:D7))&lt;0,999.99,SUM($B$8:D8)/(SUM($B$4:D4)+SUM($B$7:D7))),"")</f>
        <v>#DIV/0!</v>
      </c>
      <c r="E10" s="83" t="e">
        <f>IF(SUM(E7:E8)&gt;0,IF(SUM($B$8:E8)/(SUM($B$4:E4)+SUM($B$7:E7))&lt;0,999.99,SUM($B$8:E8)/(SUM($B$4:E4)+SUM($B$7:E7))),"")</f>
        <v>#DIV/0!</v>
      </c>
      <c r="F10" s="83" t="e">
        <f>IF(SUM(F7:F8)&gt;0,IF(SUM($B$8:F8)/(SUM($B$4:F4)+SUM($B$7:F7))&lt;0,999.99,SUM($B$8:F8)/(SUM($B$4:F4)+SUM($B$7:F7))),"")</f>
        <v>#DIV/0!</v>
      </c>
      <c r="G10" s="83" t="e">
        <f>IF(SUM(G7:G8)&gt;0,IF(SUM($B$8:G8)/(SUM($B$4:G4)+SUM($B$7:G7))&lt;0,999.99,SUM($B$8:G8)/(SUM($B$4:G4)+SUM($B$7:G7))),"")</f>
        <v>#DIV/0!</v>
      </c>
      <c r="H10" s="83" t="e">
        <f>IF(SUM(H7:H8)&gt;0,IF(SUM($B$8:H8)/(SUM($B$4:H4)+SUM($B$7:H7))&lt;0,999.99,SUM($B$8:H8)/(SUM($B$4:H4)+SUM($B$7:H7))),"")</f>
        <v>#DIV/0!</v>
      </c>
      <c r="I10" s="83" t="e">
        <f>IF(SUM(I7:I8)&gt;0,IF(SUM($B$8:I8)/(SUM($B$4:I4)+SUM($B$7:I7))&lt;0,999.99,SUM($B$8:I8)/(SUM($B$4:I4)+SUM($B$7:I7))),"")</f>
        <v>#DIV/0!</v>
      </c>
      <c r="J10" s="83" t="e">
        <f>IF(SUM(J7:J8)&gt;0,IF(SUM($B$8:J8)/(SUM($B$4:J4)+SUM($B$7:J7))&lt;0,999.99,SUM($B$8:J8)/(SUM($B$4:J4)+SUM($B$7:J7))),"")</f>
        <v>#DIV/0!</v>
      </c>
      <c r="K10" s="83" t="e">
        <f>IF(SUM(K7:K8)&gt;0,IF(SUM($B$8:K8)/(SUM($B$4:K4)+SUM($B$7:K7))&lt;0,999.99,SUM($B$8:K8)/(SUM($B$4:K4)+SUM($B$7:K7))),"")</f>
        <v>#DIV/0!</v>
      </c>
      <c r="L10" s="83" t="e">
        <f>IF(SUM(L7:L8)&gt;0,IF(SUM($B$8:L8)/(SUM($B$4:L4)+SUM($B$7:L7))&lt;0,999.99,SUM($B$8:L8)/(SUM($B$4:L4)+SUM($B$7:L7))),"")</f>
        <v>#DIV/0!</v>
      </c>
      <c r="M10" s="83" t="e">
        <f>IF(SUM(M7:M8)&gt;0,IF(SUM($B$8:M8)/(SUM($B$4:M4)+SUM($B$7:M7))&lt;0,999.99,SUM($B$8:M8)/(SUM($B$4:M4)+SUM($B$7:M7))),"")</f>
        <v>#DIV/0!</v>
      </c>
      <c r="N10" s="83" t="e">
        <f>IF(SUM(N7:N8)&gt;0,IF(SUM($B$8:N8)/(SUM($B$4:N4)+SUM($B$7:N7))&lt;0,999.99,SUM($B$8:N8)/(SUM($B$4:N4)+SUM($B$7:N7))),"")</f>
        <v>#DIV/0!</v>
      </c>
      <c r="O10" s="83" t="e">
        <f>IF(SUM(O7:O8)&gt;0,IF(SUM($B$8:O8)/(SUM($B$4:O4)+SUM($B$7:O7))&lt;0,999.99,SUM($B$8:O8)/(SUM($B$4:O4)+SUM($B$7:O7))),"")</f>
        <v>#DIV/0!</v>
      </c>
      <c r="P10" s="83" t="e">
        <f>IF(SUM(P7:P8)&gt;0,IF(SUM($B$8:P8)/(SUM($B$4:P4)+SUM($B$7:P7))&lt;0,999.99,SUM($B$8:P8)/(SUM($B$4:P4)+SUM($B$7:P7))),"")</f>
        <v>#DIV/0!</v>
      </c>
      <c r="Q10" s="83" t="e">
        <f>IF(SUM(Q7:Q8)&gt;0,IF(SUM($B$8:Q8)/(SUM($B$4:Q4)+SUM($B$7:Q7))&lt;0,999.99,SUM($B$8:Q8)/(SUM($B$4:Q4)+SUM($B$7:Q7))),"")</f>
        <v>#DIV/0!</v>
      </c>
      <c r="R10" s="83" t="e">
        <f>IF(SUM(R7:R8)&gt;0,IF(SUM($B$8:R8)/(SUM($B$4:R4)+SUM($B$7:R7))&lt;0,999.99,SUM($B$8:R8)/(SUM($B$4:R4)+SUM($B$7:R7))),"")</f>
        <v>#DIV/0!</v>
      </c>
      <c r="S10" s="83" t="e">
        <f>IF(SUM(S7:S8)&gt;0,IF(SUM($B$8:S8)/(SUM($B$4:S4)+SUM($B$7:S7))&lt;0,999.99,SUM($B$8:S8)/(SUM($B$4:S4)+SUM($B$7:S7))),"")</f>
        <v>#DIV/0!</v>
      </c>
      <c r="T10" s="83" t="e">
        <f>IF(SUM(T7:T8)&gt;0,IF(SUM($B$8:T8)/(SUM($B$4:T4)+SUM($B$7:T7))&lt;0,999.99,SUM($B$8:T8)/(SUM($B$4:T4)+SUM($B$7:T7))),"")</f>
        <v>#DIV/0!</v>
      </c>
      <c r="U10" s="83" t="e">
        <f>IF(SUM(U7:U8)&gt;0,IF(SUM($B$8:U8)/(SUM($B$4:U4)+SUM($B$7:U7))&lt;0,999.99,SUM($B$8:U8)/(SUM($B$4:U4)+SUM($B$7:U7))),"")</f>
        <v>#DIV/0!</v>
      </c>
      <c r="V10" s="83" t="e">
        <f>IF(SUM(V7:V8)&gt;0,IF(SUM($B$8:V8)/(SUM($B$4:V4)+SUM($B$7:V7))&lt;0,999.99,SUM($B$8:V8)/(SUM($B$4:V4)+SUM($B$7:V7))),"")</f>
        <v>#DIV/0!</v>
      </c>
      <c r="W10" s="83" t="e">
        <f>IF(SUM(W7:W8)&gt;0,IF(SUM($B$8:W8)/(SUM($B$4:W4)+SUM($B$7:W7))&lt;0,999.99,SUM($B$8:W8)/(SUM($B$4:W4)+SUM($B$7:W7))),"")</f>
        <v>#DIV/0!</v>
      </c>
      <c r="X10" s="83" t="e">
        <f>IF(SUM(X7:X8)&gt;0,IF(SUM($B$8:X8)/(SUM($B$4:X4)+SUM($B$7:X7))&lt;0,999.99,SUM($B$8:X8)/(SUM($B$4:X4)+SUM($B$7:X7))),"")</f>
        <v>#DIV/0!</v>
      </c>
      <c r="Y10" s="83" t="e">
        <f>IF(SUM(Y7:Y8)&gt;0,IF(SUM($B$8:Y8)/(SUM($B$4:Y4)+SUM($B$7:Y7))&lt;0,999.99,SUM($B$8:Y8)/(SUM($B$4:Y4)+SUM($B$7:Y7))),"")</f>
        <v>#DIV/0!</v>
      </c>
      <c r="Z10" s="83"/>
      <c r="AA10" s="83"/>
      <c r="AB10" s="84"/>
    </row>
    <row r="11" spans="1:30" x14ac:dyDescent="0.25">
      <c r="B11" s="49" t="e">
        <f>IF(MAX(B10:$S$10)&lt;=0.6,1,0)</f>
        <v>#DIV/0!</v>
      </c>
      <c r="C11" s="49" t="e">
        <f>IF(MAX(C10:$S$10)&lt;=0.6,1,0)</f>
        <v>#DIV/0!</v>
      </c>
      <c r="D11" s="49" t="e">
        <f>IF(MAX(D10:$S$10)&lt;=0.6,1,0)</f>
        <v>#DIV/0!</v>
      </c>
      <c r="E11" s="49" t="e">
        <f>IF(MAX(E10:$S$10)&lt;=0.6,1,0)</f>
        <v>#DIV/0!</v>
      </c>
      <c r="F11" s="49" t="e">
        <f>IF(MAX(F10:$S$10)&lt;=0.6,1,0)</f>
        <v>#DIV/0!</v>
      </c>
      <c r="G11" s="49" t="e">
        <f>IF(MAX(G10:$S$10)&lt;=0.6,1,0)</f>
        <v>#DIV/0!</v>
      </c>
      <c r="H11" s="49" t="e">
        <f>IF(MAX(H10:$S$10)&lt;=0.6,1,0)</f>
        <v>#DIV/0!</v>
      </c>
      <c r="I11" s="49" t="e">
        <f>IF(MAX(I10:$S$10)&lt;=0.6,1,0)</f>
        <v>#DIV/0!</v>
      </c>
      <c r="J11" s="49" t="e">
        <f>IF(MAX(J10:$S$10)&lt;=0.6,1,0)</f>
        <v>#DIV/0!</v>
      </c>
      <c r="K11" s="49" t="e">
        <f>IF(MAX(K10:$S$10)&lt;=0.6,1,0)</f>
        <v>#DIV/0!</v>
      </c>
      <c r="L11" s="49" t="e">
        <f>IF(MAX(L10:$S$10)&lt;=0.6,1,0)</f>
        <v>#DIV/0!</v>
      </c>
      <c r="M11" s="49" t="e">
        <f>IF(MAX(M10:$S$10)&lt;=0.6,1,0)</f>
        <v>#DIV/0!</v>
      </c>
      <c r="N11" s="49" t="e">
        <f>IF(MAX(N10:$S$10)&lt;=0.6,1,0)</f>
        <v>#DIV/0!</v>
      </c>
      <c r="O11" s="49" t="e">
        <f>IF(MAX(O10:$S$10)&lt;=0.6,1,0)</f>
        <v>#DIV/0!</v>
      </c>
      <c r="P11" s="49" t="e">
        <f>IF(MAX(P10:$S$10)&lt;=0.6,1,0)</f>
        <v>#DIV/0!</v>
      </c>
      <c r="Q11" s="49" t="e">
        <f>IF(MAX(Q10:$S$10)&lt;=0.6,1,0)</f>
        <v>#DIV/0!</v>
      </c>
      <c r="R11" s="49" t="e">
        <f>IF(MAX(R10:$S$10)&lt;=0.6,1,0)</f>
        <v>#DIV/0!</v>
      </c>
      <c r="S11" s="49" t="e">
        <f>IF(MAX(S10:$S$10)&lt;=0.6,1,0)</f>
        <v>#DIV/0!</v>
      </c>
      <c r="T11" s="49" t="e">
        <f>IF(MAX($S10:T$10)&lt;=0.6,1,0)</f>
        <v>#DIV/0!</v>
      </c>
      <c r="U11" s="49" t="e">
        <f>IF(MAX($S10:U$10)&lt;=0.6,1,0)</f>
        <v>#DIV/0!</v>
      </c>
      <c r="V11" s="49" t="e">
        <f>IF(MAX($S10:V$10)&lt;=0.6,1,0)</f>
        <v>#DIV/0!</v>
      </c>
      <c r="W11" s="49" t="e">
        <f>IF(MAX($S10:W$10)&lt;=0.6,1,0)</f>
        <v>#DIV/0!</v>
      </c>
      <c r="X11" s="49" t="e">
        <f>IF(MAX($S10:X$10)&lt;=0.6,1,0)</f>
        <v>#DIV/0!</v>
      </c>
      <c r="Y11" s="49" t="e">
        <f>IF(MAX($S10:Y$10)&lt;=0.6,1,0)</f>
        <v>#DIV/0!</v>
      </c>
      <c r="Z11" s="49"/>
      <c r="AA11" s="49"/>
      <c r="AC11" s="43"/>
      <c r="AD11" s="43"/>
    </row>
    <row r="12" spans="1:30" x14ac:dyDescent="0.25">
      <c r="A12" s="3" t="s">
        <v>225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53"/>
      <c r="AD12" s="54"/>
    </row>
    <row r="13" spans="1:30" x14ac:dyDescent="0.25">
      <c r="H13" s="42"/>
      <c r="AC13" s="43"/>
      <c r="AD13" s="43"/>
    </row>
    <row r="14" spans="1:30" x14ac:dyDescent="0.25">
      <c r="A14" s="5" t="s">
        <v>32</v>
      </c>
      <c r="B14" s="17">
        <f t="shared" ref="B14:AB14" si="20">B3</f>
        <v>1</v>
      </c>
      <c r="C14" s="17">
        <f t="shared" si="20"/>
        <v>32</v>
      </c>
      <c r="D14" s="17">
        <f t="shared" si="20"/>
        <v>61</v>
      </c>
      <c r="E14" s="17">
        <f t="shared" si="20"/>
        <v>92</v>
      </c>
      <c r="F14" s="17">
        <f t="shared" si="20"/>
        <v>122</v>
      </c>
      <c r="G14" s="17">
        <f t="shared" si="20"/>
        <v>153</v>
      </c>
      <c r="H14" s="17">
        <f t="shared" si="20"/>
        <v>183</v>
      </c>
      <c r="I14" s="17">
        <f t="shared" si="20"/>
        <v>214</v>
      </c>
      <c r="J14" s="17">
        <f t="shared" si="20"/>
        <v>245</v>
      </c>
      <c r="K14" s="17">
        <f t="shared" si="20"/>
        <v>275</v>
      </c>
      <c r="L14" s="17">
        <f t="shared" si="20"/>
        <v>306</v>
      </c>
      <c r="M14" s="17">
        <f t="shared" si="20"/>
        <v>336</v>
      </c>
      <c r="N14" s="17">
        <f t="shared" si="20"/>
        <v>367</v>
      </c>
      <c r="O14" s="17">
        <f t="shared" si="20"/>
        <v>398</v>
      </c>
      <c r="P14" s="17">
        <f t="shared" si="20"/>
        <v>426</v>
      </c>
      <c r="Q14" s="17">
        <f t="shared" si="20"/>
        <v>457</v>
      </c>
      <c r="R14" s="17">
        <f t="shared" si="20"/>
        <v>487</v>
      </c>
      <c r="S14" s="17">
        <f t="shared" si="20"/>
        <v>518</v>
      </c>
      <c r="T14" s="17">
        <f t="shared" ref="T14:Y14" si="21">T3</f>
        <v>548</v>
      </c>
      <c r="U14" s="17">
        <f t="shared" si="21"/>
        <v>579</v>
      </c>
      <c r="V14" s="17">
        <f t="shared" si="21"/>
        <v>610</v>
      </c>
      <c r="W14" s="17">
        <f t="shared" si="21"/>
        <v>640</v>
      </c>
      <c r="X14" s="17">
        <f t="shared" si="21"/>
        <v>671</v>
      </c>
      <c r="Y14" s="17">
        <f t="shared" si="21"/>
        <v>701</v>
      </c>
      <c r="Z14" s="47" t="str">
        <f t="shared" si="20"/>
        <v>Total during loan period</v>
      </c>
      <c r="AA14" s="47" t="s">
        <v>305</v>
      </c>
      <c r="AB14" s="47" t="str">
        <f t="shared" si="20"/>
        <v>Total 24 months</v>
      </c>
      <c r="AC14" s="52"/>
      <c r="AD14" s="52"/>
    </row>
    <row r="15" spans="1:30" x14ac:dyDescent="0.25">
      <c r="A15" t="str">
        <f>IF(Calculations!A4&lt;&gt;Parameters!$A$18,IF(Calculations!A4=0,"",Calculations!A4),Inputs!B7)</f>
        <v/>
      </c>
      <c r="B15" s="36">
        <f>N15</f>
        <v>0</v>
      </c>
      <c r="C15" s="36">
        <f t="shared" ref="C15:G15" si="22">O15</f>
        <v>0</v>
      </c>
      <c r="D15" s="36">
        <f t="shared" si="22"/>
        <v>0</v>
      </c>
      <c r="E15" s="36">
        <f t="shared" si="22"/>
        <v>0</v>
      </c>
      <c r="F15" s="36">
        <f t="shared" si="22"/>
        <v>0</v>
      </c>
      <c r="G15" s="36">
        <f t="shared" si="22"/>
        <v>0</v>
      </c>
      <c r="H15" s="36">
        <f t="shared" ref="H15:H19" si="23">T15</f>
        <v>0</v>
      </c>
      <c r="I15" s="36">
        <f t="shared" ref="I15:I19" si="24">U15</f>
        <v>0</v>
      </c>
      <c r="J15" s="36">
        <f t="shared" ref="J15:J19" si="25">V15</f>
        <v>0</v>
      </c>
      <c r="K15" s="36">
        <f t="shared" ref="K15:K19" si="26">W15</f>
        <v>0</v>
      </c>
      <c r="L15" s="36">
        <f t="shared" ref="L15:L19" si="27">X15</f>
        <v>0</v>
      </c>
      <c r="M15" s="36">
        <f t="shared" ref="M15:M19" si="28">Y15</f>
        <v>0</v>
      </c>
      <c r="N15" s="36">
        <f>IF(Calculations!$D4&lt;&gt;"",IF(AND(N$14&gt;=Calculations!$D4,MIN(MOD(MONTH(Output!N$14)-MONTH(Calculations!$D4),12),MOD(MONTH(Output!N$14)-MONTH(Calculations!$G4),12))&lt;=Inputs!$N7),Calculations!$Q4/Calculations!$S4/(Inputs!$N7+1)*(1+MIN(MOD(MONTH(Output!N$14)-MONTH(Calculations!$D4),12),MOD(MONTH(Output!N$14)-MONTH(Calculations!$G4),12))*Calculations!$P4),0),Calculations!$Q4*Calculations!AO4*(1-Calculations!$R4)+IF(MONTH(N$14)=1,Calculations!$Q4*Calculations!$R4,0))</f>
        <v>0</v>
      </c>
      <c r="O15" s="36">
        <f>IF(Calculations!$D4&lt;&gt;"",IF(AND(O$14&gt;=Calculations!$D4,MIN(MOD(MONTH(Output!O$14)-MONTH(Calculations!$D4),12),MOD(MONTH(Output!O$14)-MONTH(Calculations!$G4),12))&lt;=Inputs!$N7),Calculations!$Q4/Calculations!$S4/(Inputs!$N7+1)*(1+MIN(MOD(MONTH(Output!O$14)-MONTH(Calculations!$D4),12),MOD(MONTH(Output!O$14)-MONTH(Calculations!$G4),12))*Calculations!$P4),0),Calculations!$Q4*Calculations!AP4*(1-Calculations!$R4)+IF(MONTH(O$14)=1,Calculations!$Q4*Calculations!$R4,0))</f>
        <v>0</v>
      </c>
      <c r="P15" s="36">
        <f>IF(Calculations!$D4&lt;&gt;"",IF(AND(P$14&gt;=Calculations!$D4,MIN(MOD(MONTH(Output!P$14)-MONTH(Calculations!$D4),12),MOD(MONTH(Output!P$14)-MONTH(Calculations!$G4),12))&lt;=Inputs!$N7),Calculations!$Q4/Calculations!$S4/(Inputs!$N7+1)*(1+MIN(MOD(MONTH(Output!P$14)-MONTH(Calculations!$D4),12),MOD(MONTH(Output!P$14)-MONTH(Calculations!$G4),12))*Calculations!$P4),0),Calculations!$Q4*Calculations!AQ4*(1-Calculations!$R4)+IF(MONTH(P$14)=1,Calculations!$Q4*Calculations!$R4,0))</f>
        <v>0</v>
      </c>
      <c r="Q15" s="36">
        <f>IF(Calculations!$D4&lt;&gt;"",IF(AND(Q$14&gt;=Calculations!$D4,MIN(MOD(MONTH(Output!Q$14)-MONTH(Calculations!$D4),12),MOD(MONTH(Output!Q$14)-MONTH(Calculations!$G4),12))&lt;=Inputs!$N7),Calculations!$Q4/Calculations!$S4/(Inputs!$N7+1)*(1+MIN(MOD(MONTH(Output!Q$14)-MONTH(Calculations!$D4),12),MOD(MONTH(Output!Q$14)-MONTH(Calculations!$G4),12))*Calculations!$P4),0),Calculations!$Q4*Calculations!AR4*(1-Calculations!$R4)+IF(MONTH(Q$14)=1,Calculations!$Q4*Calculations!$R4,0))</f>
        <v>0</v>
      </c>
      <c r="R15" s="36">
        <f>IF(Calculations!$D4&lt;&gt;"",IF(AND(R$14&gt;=Calculations!$D4,MIN(MOD(MONTH(Output!R$14)-MONTH(Calculations!$D4),12),MOD(MONTH(Output!R$14)-MONTH(Calculations!$G4),12))&lt;=Inputs!$N7),Calculations!$Q4/Calculations!$S4/(Inputs!$N7+1)*(1+MIN(MOD(MONTH(Output!R$14)-MONTH(Calculations!$D4),12),MOD(MONTH(Output!R$14)-MONTH(Calculations!$G4),12))*Calculations!$P4),0),Calculations!$Q4*Calculations!AS4*(1-Calculations!$R4)+IF(MONTH(R$14)=1,Calculations!$Q4*Calculations!$R4,0))</f>
        <v>0</v>
      </c>
      <c r="S15" s="36">
        <f>IF(Calculations!$D4&lt;&gt;"",IF(AND(S$14&gt;=Calculations!$D4,MIN(MOD(MONTH(Output!S$14)-MONTH(Calculations!$D4),12),MOD(MONTH(Output!S$14)-MONTH(Calculations!$G4),12))&lt;=Inputs!$N7),Calculations!$Q4/Calculations!$S4/(Inputs!$N7+1)*(1+MIN(MOD(MONTH(Output!S$14)-MONTH(Calculations!$D4),12),MOD(MONTH(Output!S$14)-MONTH(Calculations!$G4),12))*Calculations!$P4),0),Calculations!$Q4*Calculations!AT4*(1-Calculations!$R4)+IF(MONTH(S$14)=1,Calculations!$Q4*Calculations!$R4,0))</f>
        <v>0</v>
      </c>
      <c r="T15" s="36">
        <f>IF(Calculations!$D4&lt;&gt;"",IF(AND(T$14&gt;=Calculations!$D4,MIN(MOD(MONTH(Output!T$14)-MONTH(Calculations!$D4),12),MOD(MONTH(Output!T$14)-MONTH(Calculations!$G4),12))&lt;=Inputs!$N7),Calculations!$Q4/Calculations!$S4/(Inputs!$N7+1)*(1+MIN(MOD(MONTH(Output!T$14)-MONTH(Calculations!$D4),12),MOD(MONTH(Output!T$14)-MONTH(Calculations!$G4),12))*Calculations!$P4),0),Calculations!$Q4*Calculations!AU4*(1-Calculations!$R4)+IF(MONTH(T$14)=1,Calculations!$Q4*Calculations!$R4,0))</f>
        <v>0</v>
      </c>
      <c r="U15" s="36">
        <f>IF(Calculations!$D4&lt;&gt;"",IF(AND(U$14&gt;=Calculations!$D4,MIN(MOD(MONTH(Output!U$14)-MONTH(Calculations!$D4),12),MOD(MONTH(Output!U$14)-MONTH(Calculations!$G4),12))&lt;=Inputs!$N7),Calculations!$Q4/Calculations!$S4/(Inputs!$N7+1)*(1+MIN(MOD(MONTH(Output!U$14)-MONTH(Calculations!$D4),12),MOD(MONTH(Output!U$14)-MONTH(Calculations!$G4),12))*Calculations!$P4),0),Calculations!$Q4*Calculations!AV4*(1-Calculations!$R4)+IF(MONTH(U$14)=1,Calculations!$Q4*Calculations!$R4,0))</f>
        <v>0</v>
      </c>
      <c r="V15" s="36">
        <f>IF(Calculations!$D4&lt;&gt;"",IF(AND(V$14&gt;=Calculations!$D4,MIN(MOD(MONTH(Output!V$14)-MONTH(Calculations!$D4),12),MOD(MONTH(Output!V$14)-MONTH(Calculations!$G4),12))&lt;=Inputs!$N7),Calculations!$Q4/Calculations!$S4/(Inputs!$N7+1)*(1+MIN(MOD(MONTH(Output!V$14)-MONTH(Calculations!$D4),12),MOD(MONTH(Output!V$14)-MONTH(Calculations!$G4),12))*Calculations!$P4),0),Calculations!$Q4*Calculations!AW4*(1-Calculations!$R4)+IF(MONTH(V$14)=1,Calculations!$Q4*Calculations!$R4,0))</f>
        <v>0</v>
      </c>
      <c r="W15" s="36">
        <f>IF(Calculations!$D4&lt;&gt;"",IF(AND(W$14&gt;=Calculations!$D4,MIN(MOD(MONTH(Output!W$14)-MONTH(Calculations!$D4),12),MOD(MONTH(Output!W$14)-MONTH(Calculations!$G4),12))&lt;=Inputs!$N7),Calculations!$Q4/Calculations!$S4/(Inputs!$N7+1)*(1+MIN(MOD(MONTH(Output!W$14)-MONTH(Calculations!$D4),12),MOD(MONTH(Output!W$14)-MONTH(Calculations!$G4),12))*Calculations!$P4),0),Calculations!$Q4*Calculations!AX4*(1-Calculations!$R4)+IF(MONTH(W$14)=1,Calculations!$Q4*Calculations!$R4,0))</f>
        <v>0</v>
      </c>
      <c r="X15" s="36">
        <f>IF(Calculations!$D4&lt;&gt;"",IF(AND(X$14&gt;=Calculations!$D4,MIN(MOD(MONTH(Output!X$14)-MONTH(Calculations!$D4),12),MOD(MONTH(Output!X$14)-MONTH(Calculations!$G4),12))&lt;=Inputs!$N7),Calculations!$Q4/Calculations!$S4/(Inputs!$N7+1)*(1+MIN(MOD(MONTH(Output!X$14)-MONTH(Calculations!$D4),12),MOD(MONTH(Output!X$14)-MONTH(Calculations!$G4),12))*Calculations!$P4),0),Calculations!$Q4*Calculations!AY4*(1-Calculations!$R4)+IF(MONTH(X$14)=1,Calculations!$Q4*Calculations!$R4,0))</f>
        <v>0</v>
      </c>
      <c r="Y15" s="36">
        <f>IF(Calculations!$D4&lt;&gt;"",IF(AND(Y$14&gt;=Calculations!$D4,MIN(MOD(MONTH(Output!Y$14)-MONTH(Calculations!$D4),12),MOD(MONTH(Output!Y$14)-MONTH(Calculations!$G4),12))&lt;=Inputs!$N7),Calculations!$Q4/Calculations!$S4/(Inputs!$N7+1)*(1+MIN(MOD(MONTH(Output!Y$14)-MONTH(Calculations!$D4),12),MOD(MONTH(Output!Y$14)-MONTH(Calculations!$G4),12))*Calculations!$P4),0),Calculations!$Q4*Calculations!AZ4*(1-Calculations!$R4)+IF(MONTH(Y$14)=1,Calculations!$Q4*Calculations!$R4,0))</f>
        <v>0</v>
      </c>
      <c r="Z15" s="36" t="e">
        <f t="array" ref="Z15">SUM(IF($B$7:$Y$7+$B$8:$Y$8&gt;0,B15:Y15,0))</f>
        <v>#DIV/0!</v>
      </c>
      <c r="AA15" s="36">
        <f t="shared" ref="AA15:AA19" si="29">SUM(B15:M15)</f>
        <v>0</v>
      </c>
      <c r="AB15" s="36">
        <f t="shared" ref="AB15:AB19" si="30">SUM(B15:Y15)</f>
        <v>0</v>
      </c>
      <c r="AC15" s="43"/>
      <c r="AD15" s="43"/>
    </row>
    <row r="16" spans="1:30" x14ac:dyDescent="0.25">
      <c r="A16" t="str">
        <f>IF(Calculations!A5&lt;&gt;Parameters!$A$18,IF(Calculations!A5=0,"",Calculations!A5),Inputs!B8)</f>
        <v/>
      </c>
      <c r="B16" s="36">
        <f t="shared" ref="B16:B19" si="31">N16</f>
        <v>0</v>
      </c>
      <c r="C16" s="36">
        <f t="shared" ref="C16:C19" si="32">O16</f>
        <v>0</v>
      </c>
      <c r="D16" s="36">
        <f t="shared" ref="D16:D19" si="33">P16</f>
        <v>0</v>
      </c>
      <c r="E16" s="36">
        <f t="shared" ref="E16:E19" si="34">Q16</f>
        <v>0</v>
      </c>
      <c r="F16" s="36">
        <f t="shared" ref="F16:F19" si="35">R16</f>
        <v>0</v>
      </c>
      <c r="G16" s="36">
        <f t="shared" ref="G16:G19" si="36">S16</f>
        <v>0</v>
      </c>
      <c r="H16" s="36">
        <f t="shared" si="23"/>
        <v>0</v>
      </c>
      <c r="I16" s="36">
        <f t="shared" si="24"/>
        <v>0</v>
      </c>
      <c r="J16" s="36">
        <f t="shared" si="25"/>
        <v>0</v>
      </c>
      <c r="K16" s="36">
        <f t="shared" si="26"/>
        <v>0</v>
      </c>
      <c r="L16" s="36">
        <f t="shared" si="27"/>
        <v>0</v>
      </c>
      <c r="M16" s="36">
        <f t="shared" si="28"/>
        <v>0</v>
      </c>
      <c r="N16" s="36">
        <f>IF(Calculations!$D5&lt;&gt;"",IF(AND(N$14&gt;=Calculations!$D5,MIN(MOD(MONTH(Output!N$14)-MONTH(Calculations!$D5),12),MOD(MONTH(Output!N$14)-MONTH(Calculations!$G5),12))&lt;=Inputs!$N8),Calculations!$Q5/Calculations!$S5/(Inputs!$N8+1)*(1+MIN(MOD(MONTH(Output!N$14)-MONTH(Calculations!$D5),12),MOD(MONTH(Output!N$14)-MONTH(Calculations!$G5),12))*Calculations!$P5),0),Calculations!$Q5*Calculations!AO5*(1-Calculations!$R5)+IF(MONTH(N$14)=1,Calculations!$Q5*Calculations!$R5,0))</f>
        <v>0</v>
      </c>
      <c r="O16" s="36">
        <f>IF(Calculations!$D5&lt;&gt;"",IF(AND(O$14&gt;=Calculations!$D5,MIN(MOD(MONTH(Output!O$14)-MONTH(Calculations!$D5),12),MOD(MONTH(Output!O$14)-MONTH(Calculations!$G5),12))&lt;=Inputs!$N8),Calculations!$Q5/Calculations!$S5/(Inputs!$N8+1)*(1+MIN(MOD(MONTH(Output!O$14)-MONTH(Calculations!$D5),12),MOD(MONTH(Output!O$14)-MONTH(Calculations!$G5),12))*Calculations!$P5),0),Calculations!$Q5*Calculations!AP5*(1-Calculations!$R5)+IF(MONTH(O$14)=1,Calculations!$Q5*Calculations!$R5,0))</f>
        <v>0</v>
      </c>
      <c r="P16" s="36">
        <f>IF(Calculations!$D5&lt;&gt;"",IF(AND(P$14&gt;=Calculations!$D5,MIN(MOD(MONTH(Output!P$14)-MONTH(Calculations!$D5),12),MOD(MONTH(Output!P$14)-MONTH(Calculations!$G5),12))&lt;=Inputs!$N8),Calculations!$Q5/Calculations!$S5/(Inputs!$N8+1)*(1+MIN(MOD(MONTH(Output!P$14)-MONTH(Calculations!$D5),12),MOD(MONTH(Output!P$14)-MONTH(Calculations!$G5),12))*Calculations!$P5),0),Calculations!$Q5*Calculations!AQ5*(1-Calculations!$R5)+IF(MONTH(P$14)=1,Calculations!$Q5*Calculations!$R5,0))</f>
        <v>0</v>
      </c>
      <c r="Q16" s="36">
        <f>IF(Calculations!$D5&lt;&gt;"",IF(AND(Q$14&gt;=Calculations!$D5,MIN(MOD(MONTH(Output!Q$14)-MONTH(Calculations!$D5),12),MOD(MONTH(Output!Q$14)-MONTH(Calculations!$G5),12))&lt;=Inputs!$N8),Calculations!$Q5/Calculations!$S5/(Inputs!$N8+1)*(1+MIN(MOD(MONTH(Output!Q$14)-MONTH(Calculations!$D5),12),MOD(MONTH(Output!Q$14)-MONTH(Calculations!$G5),12))*Calculations!$P5),0),Calculations!$Q5*Calculations!AR5*(1-Calculations!$R5)+IF(MONTH(Q$14)=1,Calculations!$Q5*Calculations!$R5,0))</f>
        <v>0</v>
      </c>
      <c r="R16" s="36">
        <f>IF(Calculations!$D5&lt;&gt;"",IF(AND(R$14&gt;=Calculations!$D5,MIN(MOD(MONTH(Output!R$14)-MONTH(Calculations!$D5),12),MOD(MONTH(Output!R$14)-MONTH(Calculations!$G5),12))&lt;=Inputs!$N8),Calculations!$Q5/Calculations!$S5/(Inputs!$N8+1)*(1+MIN(MOD(MONTH(Output!R$14)-MONTH(Calculations!$D5),12),MOD(MONTH(Output!R$14)-MONTH(Calculations!$G5),12))*Calculations!$P5),0),Calculations!$Q5*Calculations!AS5*(1-Calculations!$R5)+IF(MONTH(R$14)=1,Calculations!$Q5*Calculations!$R5,0))</f>
        <v>0</v>
      </c>
      <c r="S16" s="36">
        <f>IF(Calculations!$D5&lt;&gt;"",IF(AND(S$14&gt;=Calculations!$D5,MIN(MOD(MONTH(Output!S$14)-MONTH(Calculations!$D5),12),MOD(MONTH(Output!S$14)-MONTH(Calculations!$G5),12))&lt;=Inputs!$N8),Calculations!$Q5/Calculations!$S5/(Inputs!$N8+1)*(1+MIN(MOD(MONTH(Output!S$14)-MONTH(Calculations!$D5),12),MOD(MONTH(Output!S$14)-MONTH(Calculations!$G5),12))*Calculations!$P5),0),Calculations!$Q5*Calculations!AT5*(1-Calculations!$R5)+IF(MONTH(S$14)=1,Calculations!$Q5*Calculations!$R5,0))</f>
        <v>0</v>
      </c>
      <c r="T16" s="36">
        <f>IF(Calculations!$D5&lt;&gt;"",IF(AND(T$14&gt;=Calculations!$D5,MIN(MOD(MONTH(Output!T$14)-MONTH(Calculations!$D5),12),MOD(MONTH(Output!T$14)-MONTH(Calculations!$G5),12))&lt;=Inputs!$N8),Calculations!$Q5/Calculations!$S5/(Inputs!$N8+1)*(1+MIN(MOD(MONTH(Output!T$14)-MONTH(Calculations!$D5),12),MOD(MONTH(Output!T$14)-MONTH(Calculations!$G5),12))*Calculations!$P5),0),Calculations!$Q5*Calculations!AU5*(1-Calculations!$R5)+IF(MONTH(T$14)=1,Calculations!$Q5*Calculations!$R5,0))</f>
        <v>0</v>
      </c>
      <c r="U16" s="36">
        <f>IF(Calculations!$D5&lt;&gt;"",IF(AND(U$14&gt;=Calculations!$D5,MIN(MOD(MONTH(Output!U$14)-MONTH(Calculations!$D5),12),MOD(MONTH(Output!U$14)-MONTH(Calculations!$G5),12))&lt;=Inputs!$N8),Calculations!$Q5/Calculations!$S5/(Inputs!$N8+1)*(1+MIN(MOD(MONTH(Output!U$14)-MONTH(Calculations!$D5),12),MOD(MONTH(Output!U$14)-MONTH(Calculations!$G5),12))*Calculations!$P5),0),Calculations!$Q5*Calculations!AV5*(1-Calculations!$R5)+IF(MONTH(U$14)=1,Calculations!$Q5*Calculations!$R5,0))</f>
        <v>0</v>
      </c>
      <c r="V16" s="36">
        <f>IF(Calculations!$D5&lt;&gt;"",IF(AND(V$14&gt;=Calculations!$D5,MIN(MOD(MONTH(Output!V$14)-MONTH(Calculations!$D5),12),MOD(MONTH(Output!V$14)-MONTH(Calculations!$G5),12))&lt;=Inputs!$N8),Calculations!$Q5/Calculations!$S5/(Inputs!$N8+1)*(1+MIN(MOD(MONTH(Output!V$14)-MONTH(Calculations!$D5),12),MOD(MONTH(Output!V$14)-MONTH(Calculations!$G5),12))*Calculations!$P5),0),Calculations!$Q5*Calculations!AW5*(1-Calculations!$R5)+IF(MONTH(V$14)=1,Calculations!$Q5*Calculations!$R5,0))</f>
        <v>0</v>
      </c>
      <c r="W16" s="36">
        <f>IF(Calculations!$D5&lt;&gt;"",IF(AND(W$14&gt;=Calculations!$D5,MIN(MOD(MONTH(Output!W$14)-MONTH(Calculations!$D5),12),MOD(MONTH(Output!W$14)-MONTH(Calculations!$G5),12))&lt;=Inputs!$N8),Calculations!$Q5/Calculations!$S5/(Inputs!$N8+1)*(1+MIN(MOD(MONTH(Output!W$14)-MONTH(Calculations!$D5),12),MOD(MONTH(Output!W$14)-MONTH(Calculations!$G5),12))*Calculations!$P5),0),Calculations!$Q5*Calculations!AX5*(1-Calculations!$R5)+IF(MONTH(W$14)=1,Calculations!$Q5*Calculations!$R5,0))</f>
        <v>0</v>
      </c>
      <c r="X16" s="36">
        <f>IF(Calculations!$D5&lt;&gt;"",IF(AND(X$14&gt;=Calculations!$D5,MIN(MOD(MONTH(Output!X$14)-MONTH(Calculations!$D5),12),MOD(MONTH(Output!X$14)-MONTH(Calculations!$G5),12))&lt;=Inputs!$N8),Calculations!$Q5/Calculations!$S5/(Inputs!$N8+1)*(1+MIN(MOD(MONTH(Output!X$14)-MONTH(Calculations!$D5),12),MOD(MONTH(Output!X$14)-MONTH(Calculations!$G5),12))*Calculations!$P5),0),Calculations!$Q5*Calculations!AY5*(1-Calculations!$R5)+IF(MONTH(X$14)=1,Calculations!$Q5*Calculations!$R5,0))</f>
        <v>0</v>
      </c>
      <c r="Y16" s="36">
        <f>IF(Calculations!$D5&lt;&gt;"",IF(AND(Y$14&gt;=Calculations!$D5,MIN(MOD(MONTH(Output!Y$14)-MONTH(Calculations!$D5),12),MOD(MONTH(Output!Y$14)-MONTH(Calculations!$G5),12))&lt;=Inputs!$N8),Calculations!$Q5/Calculations!$S5/(Inputs!$N8+1)*(1+MIN(MOD(MONTH(Output!Y$14)-MONTH(Calculations!$D5),12),MOD(MONTH(Output!Y$14)-MONTH(Calculations!$G5),12))*Calculations!$P5),0),Calculations!$Q5*Calculations!AZ5*(1-Calculations!$R5)+IF(MONTH(Y$14)=1,Calculations!$Q5*Calculations!$R5,0))</f>
        <v>0</v>
      </c>
      <c r="Z16" s="36" t="e">
        <f t="array" ref="Z16">SUM(IF($B$7:$Y$7+$B$8:$Y$8&gt;0,B16:Y16,0))</f>
        <v>#DIV/0!</v>
      </c>
      <c r="AA16" s="36">
        <f t="shared" si="29"/>
        <v>0</v>
      </c>
      <c r="AB16" s="36">
        <f t="shared" si="30"/>
        <v>0</v>
      </c>
      <c r="AC16" s="43"/>
      <c r="AD16" s="43"/>
    </row>
    <row r="17" spans="1:30" x14ac:dyDescent="0.25">
      <c r="A17" t="str">
        <f>IF(Calculations!A6&lt;&gt;Parameters!$A$18,IF(Calculations!A6=0,"",Calculations!A6),Inputs!B9)</f>
        <v/>
      </c>
      <c r="B17" s="36">
        <f t="shared" si="31"/>
        <v>0</v>
      </c>
      <c r="C17" s="36">
        <f t="shared" si="32"/>
        <v>0</v>
      </c>
      <c r="D17" s="36">
        <f t="shared" si="33"/>
        <v>0</v>
      </c>
      <c r="E17" s="36">
        <f t="shared" si="34"/>
        <v>0</v>
      </c>
      <c r="F17" s="36">
        <f t="shared" si="35"/>
        <v>0</v>
      </c>
      <c r="G17" s="36">
        <f t="shared" si="36"/>
        <v>0</v>
      </c>
      <c r="H17" s="36">
        <f t="shared" si="23"/>
        <v>0</v>
      </c>
      <c r="I17" s="36">
        <f t="shared" si="24"/>
        <v>0</v>
      </c>
      <c r="J17" s="36">
        <f t="shared" si="25"/>
        <v>0</v>
      </c>
      <c r="K17" s="36">
        <f t="shared" si="26"/>
        <v>0</v>
      </c>
      <c r="L17" s="36">
        <f t="shared" si="27"/>
        <v>0</v>
      </c>
      <c r="M17" s="36">
        <f t="shared" si="28"/>
        <v>0</v>
      </c>
      <c r="N17" s="36">
        <f>IF(Calculations!$D6&lt;&gt;"",IF(AND(N$14&gt;=Calculations!$D6,MIN(MOD(MONTH(Output!N$14)-MONTH(Calculations!$D6),12),MOD(MONTH(Output!N$14)-MONTH(Calculations!$G6),12))&lt;=Inputs!$N9),Calculations!$Q6/Calculations!$S6/(Inputs!$N9+1)*(1+MIN(MOD(MONTH(Output!N$14)-MONTH(Calculations!$D6),12),MOD(MONTH(Output!N$14)-MONTH(Calculations!$G6),12))*Calculations!$P6),0),Calculations!$Q6*Calculations!AO6*(1-Calculations!$R6)+IF(MONTH(N$14)=1,Calculations!$Q6*Calculations!$R6,0))</f>
        <v>0</v>
      </c>
      <c r="O17" s="36">
        <f>IF(Calculations!$D6&lt;&gt;"",IF(AND(O$14&gt;=Calculations!$D6,MIN(MOD(MONTH(Output!O$14)-MONTH(Calculations!$D6),12),MOD(MONTH(Output!O$14)-MONTH(Calculations!$G6),12))&lt;=Inputs!$N9),Calculations!$Q6/Calculations!$S6/(Inputs!$N9+1)*(1+MIN(MOD(MONTH(Output!O$14)-MONTH(Calculations!$D6),12),MOD(MONTH(Output!O$14)-MONTH(Calculations!$G6),12))*Calculations!$P6),0),Calculations!$Q6*Calculations!AP6*(1-Calculations!$R6)+IF(MONTH(O$14)=1,Calculations!$Q6*Calculations!$R6,0))</f>
        <v>0</v>
      </c>
      <c r="P17" s="36">
        <f>IF(Calculations!$D6&lt;&gt;"",IF(AND(P$14&gt;=Calculations!$D6,MIN(MOD(MONTH(Output!P$14)-MONTH(Calculations!$D6),12),MOD(MONTH(Output!P$14)-MONTH(Calculations!$G6),12))&lt;=Inputs!$N9),Calculations!$Q6/Calculations!$S6/(Inputs!$N9+1)*(1+MIN(MOD(MONTH(Output!P$14)-MONTH(Calculations!$D6),12),MOD(MONTH(Output!P$14)-MONTH(Calculations!$G6),12))*Calculations!$P6),0),Calculations!$Q6*Calculations!AQ6*(1-Calculations!$R6)+IF(MONTH(P$14)=1,Calculations!$Q6*Calculations!$R6,0))</f>
        <v>0</v>
      </c>
      <c r="Q17" s="36">
        <f>IF(Calculations!$D6&lt;&gt;"",IF(AND(Q$14&gt;=Calculations!$D6,MIN(MOD(MONTH(Output!Q$14)-MONTH(Calculations!$D6),12),MOD(MONTH(Output!Q$14)-MONTH(Calculations!$G6),12))&lt;=Inputs!$N9),Calculations!$Q6/Calculations!$S6/(Inputs!$N9+1)*(1+MIN(MOD(MONTH(Output!Q$14)-MONTH(Calculations!$D6),12),MOD(MONTH(Output!Q$14)-MONTH(Calculations!$G6),12))*Calculations!$P6),0),Calculations!$Q6*Calculations!AR6*(1-Calculations!$R6)+IF(MONTH(Q$14)=1,Calculations!$Q6*Calculations!$R6,0))</f>
        <v>0</v>
      </c>
      <c r="R17" s="36">
        <f>IF(Calculations!$D6&lt;&gt;"",IF(AND(R$14&gt;=Calculations!$D6,MIN(MOD(MONTH(Output!R$14)-MONTH(Calculations!$D6),12),MOD(MONTH(Output!R$14)-MONTH(Calculations!$G6),12))&lt;=Inputs!$N9),Calculations!$Q6/Calculations!$S6/(Inputs!$N9+1)*(1+MIN(MOD(MONTH(Output!R$14)-MONTH(Calculations!$D6),12),MOD(MONTH(Output!R$14)-MONTH(Calculations!$G6),12))*Calculations!$P6),0),Calculations!$Q6*Calculations!AS6*(1-Calculations!$R6)+IF(MONTH(R$14)=1,Calculations!$Q6*Calculations!$R6,0))</f>
        <v>0</v>
      </c>
      <c r="S17" s="36">
        <f>IF(Calculations!$D6&lt;&gt;"",IF(AND(S$14&gt;=Calculations!$D6,MIN(MOD(MONTH(Output!S$14)-MONTH(Calculations!$D6),12),MOD(MONTH(Output!S$14)-MONTH(Calculations!$G6),12))&lt;=Inputs!$N9),Calculations!$Q6/Calculations!$S6/(Inputs!$N9+1)*(1+MIN(MOD(MONTH(Output!S$14)-MONTH(Calculations!$D6),12),MOD(MONTH(Output!S$14)-MONTH(Calculations!$G6),12))*Calculations!$P6),0),Calculations!$Q6*Calculations!AT6*(1-Calculations!$R6)+IF(MONTH(S$14)=1,Calculations!$Q6*Calculations!$R6,0))</f>
        <v>0</v>
      </c>
      <c r="T17" s="36">
        <f>IF(Calculations!$D6&lt;&gt;"",IF(AND(T$14&gt;=Calculations!$D6,MIN(MOD(MONTH(Output!T$14)-MONTH(Calculations!$D6),12),MOD(MONTH(Output!T$14)-MONTH(Calculations!$G6),12))&lt;=Inputs!$N9),Calculations!$Q6/Calculations!$S6/(Inputs!$N9+1)*(1+MIN(MOD(MONTH(Output!T$14)-MONTH(Calculations!$D6),12),MOD(MONTH(Output!T$14)-MONTH(Calculations!$G6),12))*Calculations!$P6),0),Calculations!$Q6*Calculations!AU6*(1-Calculations!$R6)+IF(MONTH(T$14)=1,Calculations!$Q6*Calculations!$R6,0))</f>
        <v>0</v>
      </c>
      <c r="U17" s="36">
        <f>IF(Calculations!$D6&lt;&gt;"",IF(AND(U$14&gt;=Calculations!$D6,MIN(MOD(MONTH(Output!U$14)-MONTH(Calculations!$D6),12),MOD(MONTH(Output!U$14)-MONTH(Calculations!$G6),12))&lt;=Inputs!$N9),Calculations!$Q6/Calculations!$S6/(Inputs!$N9+1)*(1+MIN(MOD(MONTH(Output!U$14)-MONTH(Calculations!$D6),12),MOD(MONTH(Output!U$14)-MONTH(Calculations!$G6),12))*Calculations!$P6),0),Calculations!$Q6*Calculations!AV6*(1-Calculations!$R6)+IF(MONTH(U$14)=1,Calculations!$Q6*Calculations!$R6,0))</f>
        <v>0</v>
      </c>
      <c r="V17" s="36">
        <f>IF(Calculations!$D6&lt;&gt;"",IF(AND(V$14&gt;=Calculations!$D6,MIN(MOD(MONTH(Output!V$14)-MONTH(Calculations!$D6),12),MOD(MONTH(Output!V$14)-MONTH(Calculations!$G6),12))&lt;=Inputs!$N9),Calculations!$Q6/Calculations!$S6/(Inputs!$N9+1)*(1+MIN(MOD(MONTH(Output!V$14)-MONTH(Calculations!$D6),12),MOD(MONTH(Output!V$14)-MONTH(Calculations!$G6),12))*Calculations!$P6),0),Calculations!$Q6*Calculations!AW6*(1-Calculations!$R6)+IF(MONTH(V$14)=1,Calculations!$Q6*Calculations!$R6,0))</f>
        <v>0</v>
      </c>
      <c r="W17" s="36">
        <f>IF(Calculations!$D6&lt;&gt;"",IF(AND(W$14&gt;=Calculations!$D6,MIN(MOD(MONTH(Output!W$14)-MONTH(Calculations!$D6),12),MOD(MONTH(Output!W$14)-MONTH(Calculations!$G6),12))&lt;=Inputs!$N9),Calculations!$Q6/Calculations!$S6/(Inputs!$N9+1)*(1+MIN(MOD(MONTH(Output!W$14)-MONTH(Calculations!$D6),12),MOD(MONTH(Output!W$14)-MONTH(Calculations!$G6),12))*Calculations!$P6),0),Calculations!$Q6*Calculations!AX6*(1-Calculations!$R6)+IF(MONTH(W$14)=1,Calculations!$Q6*Calculations!$R6,0))</f>
        <v>0</v>
      </c>
      <c r="X17" s="36">
        <f>IF(Calculations!$D6&lt;&gt;"",IF(AND(X$14&gt;=Calculations!$D6,MIN(MOD(MONTH(Output!X$14)-MONTH(Calculations!$D6),12),MOD(MONTH(Output!X$14)-MONTH(Calculations!$G6),12))&lt;=Inputs!$N9),Calculations!$Q6/Calculations!$S6/(Inputs!$N9+1)*(1+MIN(MOD(MONTH(Output!X$14)-MONTH(Calculations!$D6),12),MOD(MONTH(Output!X$14)-MONTH(Calculations!$G6),12))*Calculations!$P6),0),Calculations!$Q6*Calculations!AY6*(1-Calculations!$R6)+IF(MONTH(X$14)=1,Calculations!$Q6*Calculations!$R6,0))</f>
        <v>0</v>
      </c>
      <c r="Y17" s="36">
        <f>IF(Calculations!$D6&lt;&gt;"",IF(AND(Y$14&gt;=Calculations!$D6,MIN(MOD(MONTH(Output!Y$14)-MONTH(Calculations!$D6),12),MOD(MONTH(Output!Y$14)-MONTH(Calculations!$G6),12))&lt;=Inputs!$N9),Calculations!$Q6/Calculations!$S6/(Inputs!$N9+1)*(1+MIN(MOD(MONTH(Output!Y$14)-MONTH(Calculations!$D6),12),MOD(MONTH(Output!Y$14)-MONTH(Calculations!$G6),12))*Calculations!$P6),0),Calculations!$Q6*Calculations!AZ6*(1-Calculations!$R6)+IF(MONTH(Y$14)=1,Calculations!$Q6*Calculations!$R6,0))</f>
        <v>0</v>
      </c>
      <c r="Z17" s="36" t="e">
        <f t="array" ref="Z17">SUM(IF($B$7:$Y$7+$B$8:$Y$8&gt;0,B17:Y17,0))</f>
        <v>#DIV/0!</v>
      </c>
      <c r="AA17" s="36">
        <f t="shared" si="29"/>
        <v>0</v>
      </c>
      <c r="AB17" s="36">
        <f t="shared" si="30"/>
        <v>0</v>
      </c>
    </row>
    <row r="18" spans="1:30" x14ac:dyDescent="0.25">
      <c r="A18" t="str">
        <f>IF(Calculations!A7&lt;&gt;Parameters!$A$18,IF(Calculations!A7=0,"",Calculations!A7),Inputs!B10)</f>
        <v/>
      </c>
      <c r="B18" s="36">
        <f t="shared" si="31"/>
        <v>0</v>
      </c>
      <c r="C18" s="36">
        <f t="shared" si="32"/>
        <v>0</v>
      </c>
      <c r="D18" s="36">
        <f t="shared" si="33"/>
        <v>0</v>
      </c>
      <c r="E18" s="36">
        <f t="shared" si="34"/>
        <v>0</v>
      </c>
      <c r="F18" s="36">
        <f t="shared" si="35"/>
        <v>0</v>
      </c>
      <c r="G18" s="36">
        <f t="shared" si="36"/>
        <v>0</v>
      </c>
      <c r="H18" s="36">
        <f t="shared" si="23"/>
        <v>0</v>
      </c>
      <c r="I18" s="36">
        <f t="shared" si="24"/>
        <v>0</v>
      </c>
      <c r="J18" s="36">
        <f t="shared" si="25"/>
        <v>0</v>
      </c>
      <c r="K18" s="36">
        <f t="shared" si="26"/>
        <v>0</v>
      </c>
      <c r="L18" s="36">
        <f t="shared" si="27"/>
        <v>0</v>
      </c>
      <c r="M18" s="36">
        <f t="shared" si="28"/>
        <v>0</v>
      </c>
      <c r="N18" s="36">
        <f>IF(Calculations!$D7&lt;&gt;"",IF(AND(N$14&gt;=Calculations!$D7,MIN(MOD(MONTH(Output!N$14)-MONTH(Calculations!$D7),12),MOD(MONTH(Output!N$14)-MONTH(Calculations!$G7),12))&lt;=Inputs!$N10),Calculations!$Q7/Calculations!$S7/(Inputs!$N10+1)*(1+MIN(MOD(MONTH(Output!N$14)-MONTH(Calculations!$D7),12),MOD(MONTH(Output!N$14)-MONTH(Calculations!$G7),12))*Calculations!$P7),0),Calculations!$Q7*Calculations!AO7*(1-Calculations!$R7)+IF(MONTH(N$14)=1,Calculations!$Q7*Calculations!$R7,0))</f>
        <v>0</v>
      </c>
      <c r="O18" s="36">
        <f>IF(Calculations!$D7&lt;&gt;"",IF(AND(O$14&gt;=Calculations!$D7,MIN(MOD(MONTH(Output!O$14)-MONTH(Calculations!$D7),12),MOD(MONTH(Output!O$14)-MONTH(Calculations!$G7),12))&lt;=Inputs!$N10),Calculations!$Q7/Calculations!$S7/(Inputs!$N10+1)*(1+MIN(MOD(MONTH(Output!O$14)-MONTH(Calculations!$D7),12),MOD(MONTH(Output!O$14)-MONTH(Calculations!$G7),12))*Calculations!$P7),0),Calculations!$Q7*Calculations!AP7*(1-Calculations!$R7)+IF(MONTH(O$14)=1,Calculations!$Q7*Calculations!$R7,0))</f>
        <v>0</v>
      </c>
      <c r="P18" s="36">
        <f>IF(Calculations!$D7&lt;&gt;"",IF(AND(P$14&gt;=Calculations!$D7,MIN(MOD(MONTH(Output!P$14)-MONTH(Calculations!$D7),12),MOD(MONTH(Output!P$14)-MONTH(Calculations!$G7),12))&lt;=Inputs!$N10),Calculations!$Q7/Calculations!$S7/(Inputs!$N10+1)*(1+MIN(MOD(MONTH(Output!P$14)-MONTH(Calculations!$D7),12),MOD(MONTH(Output!P$14)-MONTH(Calculations!$G7),12))*Calculations!$P7),0),Calculations!$Q7*Calculations!AQ7*(1-Calculations!$R7)+IF(MONTH(P$14)=1,Calculations!$Q7*Calculations!$R7,0))</f>
        <v>0</v>
      </c>
      <c r="Q18" s="36">
        <f>IF(Calculations!$D7&lt;&gt;"",IF(AND(Q$14&gt;=Calculations!$D7,MIN(MOD(MONTH(Output!Q$14)-MONTH(Calculations!$D7),12),MOD(MONTH(Output!Q$14)-MONTH(Calculations!$G7),12))&lt;=Inputs!$N10),Calculations!$Q7/Calculations!$S7/(Inputs!$N10+1)*(1+MIN(MOD(MONTH(Output!Q$14)-MONTH(Calculations!$D7),12),MOD(MONTH(Output!Q$14)-MONTH(Calculations!$G7),12))*Calculations!$P7),0),Calculations!$Q7*Calculations!AR7*(1-Calculations!$R7)+IF(MONTH(Q$14)=1,Calculations!$Q7*Calculations!$R7,0))</f>
        <v>0</v>
      </c>
      <c r="R18" s="36">
        <f>IF(Calculations!$D7&lt;&gt;"",IF(AND(R$14&gt;=Calculations!$D7,MIN(MOD(MONTH(Output!R$14)-MONTH(Calculations!$D7),12),MOD(MONTH(Output!R$14)-MONTH(Calculations!$G7),12))&lt;=Inputs!$N10),Calculations!$Q7/Calculations!$S7/(Inputs!$N10+1)*(1+MIN(MOD(MONTH(Output!R$14)-MONTH(Calculations!$D7),12),MOD(MONTH(Output!R$14)-MONTH(Calculations!$G7),12))*Calculations!$P7),0),Calculations!$Q7*Calculations!AS7*(1-Calculations!$R7)+IF(MONTH(R$14)=1,Calculations!$Q7*Calculations!$R7,0))</f>
        <v>0</v>
      </c>
      <c r="S18" s="36">
        <f>IF(Calculations!$D7&lt;&gt;"",IF(AND(S$14&gt;=Calculations!$D7,MIN(MOD(MONTH(Output!S$14)-MONTH(Calculations!$D7),12),MOD(MONTH(Output!S$14)-MONTH(Calculations!$G7),12))&lt;=Inputs!$N10),Calculations!$Q7/Calculations!$S7/(Inputs!$N10+1)*(1+MIN(MOD(MONTH(Output!S$14)-MONTH(Calculations!$D7),12),MOD(MONTH(Output!S$14)-MONTH(Calculations!$G7),12))*Calculations!$P7),0),Calculations!$Q7*Calculations!AT7*(1-Calculations!$R7)+IF(MONTH(S$14)=1,Calculations!$Q7*Calculations!$R7,0))</f>
        <v>0</v>
      </c>
      <c r="T18" s="36">
        <f>IF(Calculations!$D7&lt;&gt;"",IF(AND(T$14&gt;=Calculations!$D7,MIN(MOD(MONTH(Output!T$14)-MONTH(Calculations!$D7),12),MOD(MONTH(Output!T$14)-MONTH(Calculations!$G7),12))&lt;=Inputs!$N10),Calculations!$Q7/Calculations!$S7/(Inputs!$N10+1)*(1+MIN(MOD(MONTH(Output!T$14)-MONTH(Calculations!$D7),12),MOD(MONTH(Output!T$14)-MONTH(Calculations!$G7),12))*Calculations!$P7),0),Calculations!$Q7*Calculations!AU7*(1-Calculations!$R7)+IF(MONTH(T$14)=1,Calculations!$Q7*Calculations!$R7,0))</f>
        <v>0</v>
      </c>
      <c r="U18" s="36">
        <f>IF(Calculations!$D7&lt;&gt;"",IF(AND(U$14&gt;=Calculations!$D7,MIN(MOD(MONTH(Output!U$14)-MONTH(Calculations!$D7),12),MOD(MONTH(Output!U$14)-MONTH(Calculations!$G7),12))&lt;=Inputs!$N10),Calculations!$Q7/Calculations!$S7/(Inputs!$N10+1)*(1+MIN(MOD(MONTH(Output!U$14)-MONTH(Calculations!$D7),12),MOD(MONTH(Output!U$14)-MONTH(Calculations!$G7),12))*Calculations!$P7),0),Calculations!$Q7*Calculations!AV7*(1-Calculations!$R7)+IF(MONTH(U$14)=1,Calculations!$Q7*Calculations!$R7,0))</f>
        <v>0</v>
      </c>
      <c r="V18" s="36">
        <f>IF(Calculations!$D7&lt;&gt;"",IF(AND(V$14&gt;=Calculations!$D7,MIN(MOD(MONTH(Output!V$14)-MONTH(Calculations!$D7),12),MOD(MONTH(Output!V$14)-MONTH(Calculations!$G7),12))&lt;=Inputs!$N10),Calculations!$Q7/Calculations!$S7/(Inputs!$N10+1)*(1+MIN(MOD(MONTH(Output!V$14)-MONTH(Calculations!$D7),12),MOD(MONTH(Output!V$14)-MONTH(Calculations!$G7),12))*Calculations!$P7),0),Calculations!$Q7*Calculations!AW7*(1-Calculations!$R7)+IF(MONTH(V$14)=1,Calculations!$Q7*Calculations!$R7,0))</f>
        <v>0</v>
      </c>
      <c r="W18" s="36">
        <f>IF(Calculations!$D7&lt;&gt;"",IF(AND(W$14&gt;=Calculations!$D7,MIN(MOD(MONTH(Output!W$14)-MONTH(Calculations!$D7),12),MOD(MONTH(Output!W$14)-MONTH(Calculations!$G7),12))&lt;=Inputs!$N10),Calculations!$Q7/Calculations!$S7/(Inputs!$N10+1)*(1+MIN(MOD(MONTH(Output!W$14)-MONTH(Calculations!$D7),12),MOD(MONTH(Output!W$14)-MONTH(Calculations!$G7),12))*Calculations!$P7),0),Calculations!$Q7*Calculations!AX7*(1-Calculations!$R7)+IF(MONTH(W$14)=1,Calculations!$Q7*Calculations!$R7,0))</f>
        <v>0</v>
      </c>
      <c r="X18" s="36">
        <f>IF(Calculations!$D7&lt;&gt;"",IF(AND(X$14&gt;=Calculations!$D7,MIN(MOD(MONTH(Output!X$14)-MONTH(Calculations!$D7),12),MOD(MONTH(Output!X$14)-MONTH(Calculations!$G7),12))&lt;=Inputs!$N10),Calculations!$Q7/Calculations!$S7/(Inputs!$N10+1)*(1+MIN(MOD(MONTH(Output!X$14)-MONTH(Calculations!$D7),12),MOD(MONTH(Output!X$14)-MONTH(Calculations!$G7),12))*Calculations!$P7),0),Calculations!$Q7*Calculations!AY7*(1-Calculations!$R7)+IF(MONTH(X$14)=1,Calculations!$Q7*Calculations!$R7,0))</f>
        <v>0</v>
      </c>
      <c r="Y18" s="36">
        <f>IF(Calculations!$D7&lt;&gt;"",IF(AND(Y$14&gt;=Calculations!$D7,MIN(MOD(MONTH(Output!Y$14)-MONTH(Calculations!$D7),12),MOD(MONTH(Output!Y$14)-MONTH(Calculations!$G7),12))&lt;=Inputs!$N10),Calculations!$Q7/Calculations!$S7/(Inputs!$N10+1)*(1+MIN(MOD(MONTH(Output!Y$14)-MONTH(Calculations!$D7),12),MOD(MONTH(Output!Y$14)-MONTH(Calculations!$G7),12))*Calculations!$P7),0),Calculations!$Q7*Calculations!AZ7*(1-Calculations!$R7)+IF(MONTH(Y$14)=1,Calculations!$Q7*Calculations!$R7,0))</f>
        <v>0</v>
      </c>
      <c r="Z18" s="36" t="e">
        <f t="array" ref="Z18">SUM(IF($B$7:$Y$7+$B$8:$Y$8&gt;0,B18:Y18,0))</f>
        <v>#DIV/0!</v>
      </c>
      <c r="AA18" s="36">
        <f t="shared" si="29"/>
        <v>0</v>
      </c>
      <c r="AB18" s="36">
        <f t="shared" si="30"/>
        <v>0</v>
      </c>
    </row>
    <row r="19" spans="1:30" x14ac:dyDescent="0.25">
      <c r="A19" t="str">
        <f>IF(Calculations!A8&lt;&gt;Parameters!$A$18,IF(Calculations!A8=0,"",Calculations!A8),Inputs!B11)</f>
        <v/>
      </c>
      <c r="B19" s="36">
        <f t="shared" si="31"/>
        <v>0</v>
      </c>
      <c r="C19" s="36">
        <f t="shared" si="32"/>
        <v>0</v>
      </c>
      <c r="D19" s="36">
        <f t="shared" si="33"/>
        <v>0</v>
      </c>
      <c r="E19" s="36">
        <f t="shared" si="34"/>
        <v>0</v>
      </c>
      <c r="F19" s="36">
        <f t="shared" si="35"/>
        <v>0</v>
      </c>
      <c r="G19" s="36">
        <f t="shared" si="36"/>
        <v>0</v>
      </c>
      <c r="H19" s="36">
        <f t="shared" si="23"/>
        <v>0</v>
      </c>
      <c r="I19" s="36">
        <f t="shared" si="24"/>
        <v>0</v>
      </c>
      <c r="J19" s="36">
        <f t="shared" si="25"/>
        <v>0</v>
      </c>
      <c r="K19" s="36">
        <f t="shared" si="26"/>
        <v>0</v>
      </c>
      <c r="L19" s="36">
        <f t="shared" si="27"/>
        <v>0</v>
      </c>
      <c r="M19" s="36">
        <f t="shared" si="28"/>
        <v>0</v>
      </c>
      <c r="N19" s="36">
        <f>IF(Calculations!$D8&lt;&gt;"",IF(AND(N$14&gt;=Calculations!$D8,MIN(MOD(MONTH(Output!N$14)-MONTH(Calculations!$D8),12),MOD(MONTH(Output!N$14)-MONTH(Calculations!$G8),12))&lt;=Inputs!$N11),Calculations!$Q8/Calculations!$S8/(Inputs!$N11+1)*(1+MIN(MOD(MONTH(Output!N$14)-MONTH(Calculations!$D8),12),MOD(MONTH(Output!N$14)-MONTH(Calculations!$G8),12))*Calculations!$P8),0),Calculations!$Q8*Calculations!AO8*(1-Calculations!$R8)+IF(MONTH(N$14)=1,Calculations!$Q8*Calculations!$R8,0))</f>
        <v>0</v>
      </c>
      <c r="O19" s="36">
        <f>IF(Calculations!$D8&lt;&gt;"",IF(AND(O$14&gt;=Calculations!$D8,MIN(MOD(MONTH(Output!O$14)-MONTH(Calculations!$D8),12),MOD(MONTH(Output!O$14)-MONTH(Calculations!$G8),12))&lt;=Inputs!$N11),Calculations!$Q8/Calculations!$S8/(Inputs!$N11+1)*(1+MIN(MOD(MONTH(Output!O$14)-MONTH(Calculations!$D8),12),MOD(MONTH(Output!O$14)-MONTH(Calculations!$G8),12))*Calculations!$P8),0),Calculations!$Q8*Calculations!AP8*(1-Calculations!$R8)+IF(MONTH(O$14)=1,Calculations!$Q8*Calculations!$R8,0))</f>
        <v>0</v>
      </c>
      <c r="P19" s="36">
        <f>IF(Calculations!$D8&lt;&gt;"",IF(AND(P$14&gt;=Calculations!$D8,MIN(MOD(MONTH(Output!P$14)-MONTH(Calculations!$D8),12),MOD(MONTH(Output!P$14)-MONTH(Calculations!$G8),12))&lt;=Inputs!$N11),Calculations!$Q8/Calculations!$S8/(Inputs!$N11+1)*(1+MIN(MOD(MONTH(Output!P$14)-MONTH(Calculations!$D8),12),MOD(MONTH(Output!P$14)-MONTH(Calculations!$G8),12))*Calculations!$P8),0),Calculations!$Q8*Calculations!AQ8*(1-Calculations!$R8)+IF(MONTH(P$14)=1,Calculations!$Q8*Calculations!$R8,0))</f>
        <v>0</v>
      </c>
      <c r="Q19" s="36">
        <f>IF(Calculations!$D8&lt;&gt;"",IF(AND(Q$14&gt;=Calculations!$D8,MIN(MOD(MONTH(Output!Q$14)-MONTH(Calculations!$D8),12),MOD(MONTH(Output!Q$14)-MONTH(Calculations!$G8),12))&lt;=Inputs!$N11),Calculations!$Q8/Calculations!$S8/(Inputs!$N11+1)*(1+MIN(MOD(MONTH(Output!Q$14)-MONTH(Calculations!$D8),12),MOD(MONTH(Output!Q$14)-MONTH(Calculations!$G8),12))*Calculations!$P8),0),Calculations!$Q8*Calculations!AR8*(1-Calculations!$R8)+IF(MONTH(Q$14)=1,Calculations!$Q8*Calculations!$R8,0))</f>
        <v>0</v>
      </c>
      <c r="R19" s="36">
        <f>IF(Calculations!$D8&lt;&gt;"",IF(AND(R$14&gt;=Calculations!$D8,MIN(MOD(MONTH(Output!R$14)-MONTH(Calculations!$D8),12),MOD(MONTH(Output!R$14)-MONTH(Calculations!$G8),12))&lt;=Inputs!$N11),Calculations!$Q8/Calculations!$S8/(Inputs!$N11+1)*(1+MIN(MOD(MONTH(Output!R$14)-MONTH(Calculations!$D8),12),MOD(MONTH(Output!R$14)-MONTH(Calculations!$G8),12))*Calculations!$P8),0),Calculations!$Q8*Calculations!AS8*(1-Calculations!$R8)+IF(MONTH(R$14)=1,Calculations!$Q8*Calculations!$R8,0))</f>
        <v>0</v>
      </c>
      <c r="S19" s="36">
        <f>IF(Calculations!$D8&lt;&gt;"",IF(AND(S$14&gt;=Calculations!$D8,MIN(MOD(MONTH(Output!S$14)-MONTH(Calculations!$D8),12),MOD(MONTH(Output!S$14)-MONTH(Calculations!$G8),12))&lt;=Inputs!$N11),Calculations!$Q8/Calculations!$S8/(Inputs!$N11+1)*(1+MIN(MOD(MONTH(Output!S$14)-MONTH(Calculations!$D8),12),MOD(MONTH(Output!S$14)-MONTH(Calculations!$G8),12))*Calculations!$P8),0),Calculations!$Q8*Calculations!AT8*(1-Calculations!$R8)+IF(MONTH(S$14)=1,Calculations!$Q8*Calculations!$R8,0))</f>
        <v>0</v>
      </c>
      <c r="T19" s="36">
        <f>IF(Calculations!$D8&lt;&gt;"",IF(AND(T$14&gt;=Calculations!$D8,MIN(MOD(MONTH(Output!T$14)-MONTH(Calculations!$D8),12),MOD(MONTH(Output!T$14)-MONTH(Calculations!$G8),12))&lt;=Inputs!$N11),Calculations!$Q8/Calculations!$S8/(Inputs!$N11+1)*(1+MIN(MOD(MONTH(Output!T$14)-MONTH(Calculations!$D8),12),MOD(MONTH(Output!T$14)-MONTH(Calculations!$G8),12))*Calculations!$P8),0),Calculations!$Q8*Calculations!AU8*(1-Calculations!$R8)+IF(MONTH(T$14)=1,Calculations!$Q8*Calculations!$R8,0))</f>
        <v>0</v>
      </c>
      <c r="U19" s="36">
        <f>IF(Calculations!$D8&lt;&gt;"",IF(AND(U$14&gt;=Calculations!$D8,MIN(MOD(MONTH(Output!U$14)-MONTH(Calculations!$D8),12),MOD(MONTH(Output!U$14)-MONTH(Calculations!$G8),12))&lt;=Inputs!$N11),Calculations!$Q8/Calculations!$S8/(Inputs!$N11+1)*(1+MIN(MOD(MONTH(Output!U$14)-MONTH(Calculations!$D8),12),MOD(MONTH(Output!U$14)-MONTH(Calculations!$G8),12))*Calculations!$P8),0),Calculations!$Q8*Calculations!AV8*(1-Calculations!$R8)+IF(MONTH(U$14)=1,Calculations!$Q8*Calculations!$R8,0))</f>
        <v>0</v>
      </c>
      <c r="V19" s="36">
        <f>IF(Calculations!$D8&lt;&gt;"",IF(AND(V$14&gt;=Calculations!$D8,MIN(MOD(MONTH(Output!V$14)-MONTH(Calculations!$D8),12),MOD(MONTH(Output!V$14)-MONTH(Calculations!$G8),12))&lt;=Inputs!$N11),Calculations!$Q8/Calculations!$S8/(Inputs!$N11+1)*(1+MIN(MOD(MONTH(Output!V$14)-MONTH(Calculations!$D8),12),MOD(MONTH(Output!V$14)-MONTH(Calculations!$G8),12))*Calculations!$P8),0),Calculations!$Q8*Calculations!AW8*(1-Calculations!$R8)+IF(MONTH(V$14)=1,Calculations!$Q8*Calculations!$R8,0))</f>
        <v>0</v>
      </c>
      <c r="W19" s="36">
        <f>IF(Calculations!$D8&lt;&gt;"",IF(AND(W$14&gt;=Calculations!$D8,MIN(MOD(MONTH(Output!W$14)-MONTH(Calculations!$D8),12),MOD(MONTH(Output!W$14)-MONTH(Calculations!$G8),12))&lt;=Inputs!$N11),Calculations!$Q8/Calculations!$S8/(Inputs!$N11+1)*(1+MIN(MOD(MONTH(Output!W$14)-MONTH(Calculations!$D8),12),MOD(MONTH(Output!W$14)-MONTH(Calculations!$G8),12))*Calculations!$P8),0),Calculations!$Q8*Calculations!AX8*(1-Calculations!$R8)+IF(MONTH(W$14)=1,Calculations!$Q8*Calculations!$R8,0))</f>
        <v>0</v>
      </c>
      <c r="X19" s="36">
        <f>IF(Calculations!$D8&lt;&gt;"",IF(AND(X$14&gt;=Calculations!$D8,MIN(MOD(MONTH(Output!X$14)-MONTH(Calculations!$D8),12),MOD(MONTH(Output!X$14)-MONTH(Calculations!$G8),12))&lt;=Inputs!$N11),Calculations!$Q8/Calculations!$S8/(Inputs!$N11+1)*(1+MIN(MOD(MONTH(Output!X$14)-MONTH(Calculations!$D8),12),MOD(MONTH(Output!X$14)-MONTH(Calculations!$G8),12))*Calculations!$P8),0),Calculations!$Q8*Calculations!AY8*(1-Calculations!$R8)+IF(MONTH(X$14)=1,Calculations!$Q8*Calculations!$R8,0))</f>
        <v>0</v>
      </c>
      <c r="Y19" s="36">
        <f>IF(Calculations!$D8&lt;&gt;"",IF(AND(Y$14&gt;=Calculations!$D8,MIN(MOD(MONTH(Output!Y$14)-MONTH(Calculations!$D8),12),MOD(MONTH(Output!Y$14)-MONTH(Calculations!$G8),12))&lt;=Inputs!$N11),Calculations!$Q8/Calculations!$S8/(Inputs!$N11+1)*(1+MIN(MOD(MONTH(Output!Y$14)-MONTH(Calculations!$D8),12),MOD(MONTH(Output!Y$14)-MONTH(Calculations!$G8),12))*Calculations!$P8),0),Calculations!$Q8*Calculations!AZ8*(1-Calculations!$R8)+IF(MONTH(Y$14)=1,Calculations!$Q8*Calculations!$R8,0))</f>
        <v>0</v>
      </c>
      <c r="Z19" s="36" t="e">
        <f t="array" ref="Z19">SUM(IF($B$7:$Y$7+$B$8:$Y$8&gt;0,B19:Y19,0))</f>
        <v>#DIV/0!</v>
      </c>
      <c r="AA19" s="36">
        <f t="shared" si="29"/>
        <v>0</v>
      </c>
      <c r="AB19" s="46">
        <f t="shared" si="30"/>
        <v>0</v>
      </c>
    </row>
    <row r="20" spans="1:30" ht="4.5" customHeight="1" x14ac:dyDescent="0.25">
      <c r="A20" s="43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 t="e">
        <f t="array" ref="Z20">SUM(IF($B$7:$Y$7+$B$8:$Y$8&gt;0,B20:Y20,0))</f>
        <v>#DIV/0!</v>
      </c>
      <c r="AA20" s="36"/>
      <c r="AB20" s="46">
        <f t="shared" ref="AB20" si="37">AB43-AB66</f>
        <v>0</v>
      </c>
    </row>
    <row r="21" spans="1:30" x14ac:dyDescent="0.25">
      <c r="A21" s="43" t="str">
        <f>IF(Inputs!A19="","",IF(Inputs!A19=Parameters!$A$30,Inputs!B19,Inputs!A19))</f>
        <v/>
      </c>
      <c r="B21" s="36" t="str">
        <f>IFERROR(Calculations!$P14/12,"")</f>
        <v/>
      </c>
      <c r="C21" s="36" t="str">
        <f>IFERROR(Calculations!$P14/12,"")</f>
        <v/>
      </c>
      <c r="D21" s="36" t="str">
        <f>IFERROR(Calculations!$P14/12,"")</f>
        <v/>
      </c>
      <c r="E21" s="36" t="str">
        <f>IFERROR(Calculations!$P14/12,"")</f>
        <v/>
      </c>
      <c r="F21" s="36" t="str">
        <f>IFERROR(Calculations!$P14/12,"")</f>
        <v/>
      </c>
      <c r="G21" s="36" t="str">
        <f>IFERROR(Calculations!$P14/12,"")</f>
        <v/>
      </c>
      <c r="H21" s="36" t="str">
        <f>IFERROR(Calculations!$P14/12,"")</f>
        <v/>
      </c>
      <c r="I21" s="36" t="str">
        <f>IFERROR(Calculations!$P14/12,"")</f>
        <v/>
      </c>
      <c r="J21" s="36" t="str">
        <f>IFERROR(Calculations!$P14/12,"")</f>
        <v/>
      </c>
      <c r="K21" s="36" t="str">
        <f>IFERROR(Calculations!$P14/12,"")</f>
        <v/>
      </c>
      <c r="L21" s="36" t="str">
        <f>IFERROR(Calculations!$P14/12,"")</f>
        <v/>
      </c>
      <c r="M21" s="36" t="str">
        <f>IFERROR(Calculations!$P14/12,"")</f>
        <v/>
      </c>
      <c r="N21" s="36" t="str">
        <f>IFERROR(Calculations!$P14/12,"")</f>
        <v/>
      </c>
      <c r="O21" s="36" t="str">
        <f>IFERROR(Calculations!$P14/12,"")</f>
        <v/>
      </c>
      <c r="P21" s="36" t="str">
        <f>IFERROR(Calculations!$P14/12,"")</f>
        <v/>
      </c>
      <c r="Q21" s="36" t="str">
        <f>IFERROR(Calculations!$P14/12,"")</f>
        <v/>
      </c>
      <c r="R21" s="36" t="str">
        <f>IFERROR(Calculations!$P14/12,"")</f>
        <v/>
      </c>
      <c r="S21" s="36" t="str">
        <f>IFERROR(Calculations!$P14/12,"")</f>
        <v/>
      </c>
      <c r="T21" s="36" t="str">
        <f>IFERROR(Calculations!$P14/12,"")</f>
        <v/>
      </c>
      <c r="U21" s="36" t="str">
        <f>IFERROR(Calculations!$P14/12,"")</f>
        <v/>
      </c>
      <c r="V21" s="36" t="str">
        <f>IFERROR(Calculations!$P14/12,"")</f>
        <v/>
      </c>
      <c r="W21" s="36" t="str">
        <f>IFERROR(Calculations!$P14/12,"")</f>
        <v/>
      </c>
      <c r="X21" s="36" t="str">
        <f>IFERROR(Calculations!$P14/12,"")</f>
        <v/>
      </c>
      <c r="Y21" s="36" t="str">
        <f>IFERROR(Calculations!$P14/12,"")</f>
        <v/>
      </c>
      <c r="Z21" s="36" t="e">
        <f t="array" ref="Z21">SUM(IF($B$7:$Y$7+$B$8:$Y$8&gt;0,B21:Y21,0))</f>
        <v>#DIV/0!</v>
      </c>
      <c r="AA21" s="36">
        <f t="shared" ref="AA21:AA27" si="38">SUM(B21:M21)</f>
        <v>0</v>
      </c>
      <c r="AB21" s="46">
        <f t="shared" ref="AB21:AB24" si="39">SUM(B21:Y21)</f>
        <v>0</v>
      </c>
    </row>
    <row r="22" spans="1:30" x14ac:dyDescent="0.25">
      <c r="A22" s="43" t="str">
        <f>IF(Inputs!A20="","",IF(Inputs!A20=Parameters!$A$30,Inputs!B20,Inputs!A20))</f>
        <v/>
      </c>
      <c r="B22" s="36" t="str">
        <f>IFERROR(Calculations!$P15/12,"")</f>
        <v/>
      </c>
      <c r="C22" s="36" t="str">
        <f>IFERROR(Calculations!$P15/12,"")</f>
        <v/>
      </c>
      <c r="D22" s="36" t="str">
        <f>IFERROR(Calculations!$P15/12,"")</f>
        <v/>
      </c>
      <c r="E22" s="36" t="str">
        <f>IFERROR(Calculations!$P15/12,"")</f>
        <v/>
      </c>
      <c r="F22" s="36" t="str">
        <f>IFERROR(Calculations!$P15/12,"")</f>
        <v/>
      </c>
      <c r="G22" s="36" t="str">
        <f>IFERROR(Calculations!$P15/12,"")</f>
        <v/>
      </c>
      <c r="H22" s="36" t="str">
        <f>IFERROR(Calculations!$P15/12,"")</f>
        <v/>
      </c>
      <c r="I22" s="36" t="str">
        <f>IFERROR(Calculations!$P15/12,"")</f>
        <v/>
      </c>
      <c r="J22" s="36" t="str">
        <f>IFERROR(Calculations!$P15/12,"")</f>
        <v/>
      </c>
      <c r="K22" s="36" t="str">
        <f>IFERROR(Calculations!$P15/12,"")</f>
        <v/>
      </c>
      <c r="L22" s="36" t="str">
        <f>IFERROR(Calculations!$P15/12,"")</f>
        <v/>
      </c>
      <c r="M22" s="36" t="str">
        <f>IFERROR(Calculations!$P15/12,"")</f>
        <v/>
      </c>
      <c r="N22" s="36" t="str">
        <f>IFERROR(Calculations!$P15/12,"")</f>
        <v/>
      </c>
      <c r="O22" s="36" t="str">
        <f>IFERROR(Calculations!$P15/12,"")</f>
        <v/>
      </c>
      <c r="P22" s="36" t="str">
        <f>IFERROR(Calculations!$P15/12,"")</f>
        <v/>
      </c>
      <c r="Q22" s="36" t="str">
        <f>IFERROR(Calculations!$P15/12,"")</f>
        <v/>
      </c>
      <c r="R22" s="36" t="str">
        <f>IFERROR(Calculations!$P15/12,"")</f>
        <v/>
      </c>
      <c r="S22" s="36" t="str">
        <f>IFERROR(Calculations!$P15/12,"")</f>
        <v/>
      </c>
      <c r="T22" s="36" t="str">
        <f>IFERROR(Calculations!$P15/12,"")</f>
        <v/>
      </c>
      <c r="U22" s="36" t="str">
        <f>IFERROR(Calculations!$P15/12,"")</f>
        <v/>
      </c>
      <c r="V22" s="36" t="str">
        <f>IFERROR(Calculations!$P15/12,"")</f>
        <v/>
      </c>
      <c r="W22" s="36" t="str">
        <f>IFERROR(Calculations!$P15/12,"")</f>
        <v/>
      </c>
      <c r="X22" s="36" t="str">
        <f>IFERROR(Calculations!$P15/12,"")</f>
        <v/>
      </c>
      <c r="Y22" s="36" t="str">
        <f>IFERROR(Calculations!$P15/12,"")</f>
        <v/>
      </c>
      <c r="Z22" s="36" t="e">
        <f t="array" ref="Z22">SUM(IF($B$7:$Y$7+$B$8:$Y$8&gt;0,B22:Y22,0))</f>
        <v>#DIV/0!</v>
      </c>
      <c r="AA22" s="36">
        <f t="shared" si="38"/>
        <v>0</v>
      </c>
      <c r="AB22" s="46">
        <f t="shared" si="39"/>
        <v>0</v>
      </c>
    </row>
    <row r="23" spans="1:30" x14ac:dyDescent="0.25">
      <c r="A23" s="43" t="str">
        <f>IF(Inputs!A21="","",IF(Inputs!A21=Parameters!$A$30,Inputs!B21,Inputs!A21))</f>
        <v/>
      </c>
      <c r="B23" s="36" t="str">
        <f>IFERROR(Calculations!$P16/12,"")</f>
        <v/>
      </c>
      <c r="C23" s="36" t="str">
        <f>IFERROR(Calculations!$P16/12,"")</f>
        <v/>
      </c>
      <c r="D23" s="36" t="str">
        <f>IFERROR(Calculations!$P16/12,"")</f>
        <v/>
      </c>
      <c r="E23" s="36" t="str">
        <f>IFERROR(Calculations!$P16/12,"")</f>
        <v/>
      </c>
      <c r="F23" s="36" t="str">
        <f>IFERROR(Calculations!$P16/12,"")</f>
        <v/>
      </c>
      <c r="G23" s="36" t="str">
        <f>IFERROR(Calculations!$P16/12,"")</f>
        <v/>
      </c>
      <c r="H23" s="36" t="str">
        <f>IFERROR(Calculations!$P16/12,"")</f>
        <v/>
      </c>
      <c r="I23" s="36" t="str">
        <f>IFERROR(Calculations!$P16/12,"")</f>
        <v/>
      </c>
      <c r="J23" s="36" t="str">
        <f>IFERROR(Calculations!$P16/12,"")</f>
        <v/>
      </c>
      <c r="K23" s="36" t="str">
        <f>IFERROR(Calculations!$P16/12,"")</f>
        <v/>
      </c>
      <c r="L23" s="36" t="str">
        <f>IFERROR(Calculations!$P16/12,"")</f>
        <v/>
      </c>
      <c r="M23" s="36" t="str">
        <f>IFERROR(Calculations!$P16/12,"")</f>
        <v/>
      </c>
      <c r="N23" s="36" t="str">
        <f>IFERROR(Calculations!$P16/12,"")</f>
        <v/>
      </c>
      <c r="O23" s="36" t="str">
        <f>IFERROR(Calculations!$P16/12,"")</f>
        <v/>
      </c>
      <c r="P23" s="36" t="str">
        <f>IFERROR(Calculations!$P16/12,"")</f>
        <v/>
      </c>
      <c r="Q23" s="36" t="str">
        <f>IFERROR(Calculations!$P16/12,"")</f>
        <v/>
      </c>
      <c r="R23" s="36" t="str">
        <f>IFERROR(Calculations!$P16/12,"")</f>
        <v/>
      </c>
      <c r="S23" s="36" t="str">
        <f>IFERROR(Calculations!$P16/12,"")</f>
        <v/>
      </c>
      <c r="T23" s="36" t="str">
        <f>IFERROR(Calculations!$P16/12,"")</f>
        <v/>
      </c>
      <c r="U23" s="36" t="str">
        <f>IFERROR(Calculations!$P16/12,"")</f>
        <v/>
      </c>
      <c r="V23" s="36" t="str">
        <f>IFERROR(Calculations!$P16/12,"")</f>
        <v/>
      </c>
      <c r="W23" s="36" t="str">
        <f>IFERROR(Calculations!$P16/12,"")</f>
        <v/>
      </c>
      <c r="X23" s="36" t="str">
        <f>IFERROR(Calculations!$P16/12,"")</f>
        <v/>
      </c>
      <c r="Y23" s="36" t="str">
        <f>IFERROR(Calculations!$P16/12,"")</f>
        <v/>
      </c>
      <c r="Z23" s="36" t="e">
        <f t="array" ref="Z23">SUM(IF($B$7:$Y$7+$B$8:$Y$8&gt;0,B23:Y23,0))</f>
        <v>#DIV/0!</v>
      </c>
      <c r="AA23" s="36">
        <f t="shared" si="38"/>
        <v>0</v>
      </c>
      <c r="AB23" s="46">
        <f t="shared" si="39"/>
        <v>0</v>
      </c>
    </row>
    <row r="24" spans="1:30" x14ac:dyDescent="0.25">
      <c r="A24" s="43" t="str">
        <f>Calculations!C17</f>
        <v/>
      </c>
      <c r="B24" s="36">
        <f>IF(B14=Calculations!$L$17,Calculations!$P$17,0)</f>
        <v>0</v>
      </c>
      <c r="C24" s="36">
        <f>IF(C14=Calculations!$L$17,Calculations!$P$17,0)</f>
        <v>0</v>
      </c>
      <c r="D24" s="36">
        <f>IF(D14=Calculations!$L$17,Calculations!$P$17,0)</f>
        <v>0</v>
      </c>
      <c r="E24" s="36">
        <f>IF(E14=Calculations!$L$17,Calculations!$P$17,0)</f>
        <v>0</v>
      </c>
      <c r="F24" s="36">
        <f>IF(F14=Calculations!$L$17,Calculations!$P$17,0)</f>
        <v>0</v>
      </c>
      <c r="G24" s="36">
        <f>IF(G14=Calculations!$L$17,Calculations!$P$17,0)</f>
        <v>0</v>
      </c>
      <c r="H24" s="36">
        <f>IF(H14=Calculations!$L$17,Calculations!$P$17,0)</f>
        <v>0</v>
      </c>
      <c r="I24" s="36">
        <f>IF(I14=Calculations!$L$17,Calculations!$P$17,0)</f>
        <v>0</v>
      </c>
      <c r="J24" s="36">
        <f>IF(J14=Calculations!$L$17,Calculations!$P$17,0)</f>
        <v>0</v>
      </c>
      <c r="K24" s="36">
        <f>IF(K14=Calculations!$L$17,Calculations!$P$17,0)</f>
        <v>0</v>
      </c>
      <c r="L24" s="36">
        <f>IF(L14=Calculations!$L$17,Calculations!$P$17,0)</f>
        <v>0</v>
      </c>
      <c r="M24" s="36">
        <f>IF(M14=Calculations!$L$17,Calculations!$P$17,0)</f>
        <v>0</v>
      </c>
      <c r="N24" s="36">
        <f>IF(N14=Calculations!$L$17,Calculations!$P$17,0)</f>
        <v>0</v>
      </c>
      <c r="O24" s="36">
        <f>IF(O14=Calculations!$L$17,Calculations!$P$17,0)</f>
        <v>0</v>
      </c>
      <c r="P24" s="36">
        <f>IF(P14=Calculations!$L$17,Calculations!$P$17,0)</f>
        <v>0</v>
      </c>
      <c r="Q24" s="36">
        <f>IF(Q14=Calculations!$L$17,Calculations!$P$17,0)</f>
        <v>0</v>
      </c>
      <c r="R24" s="36">
        <f>IF(R14=Calculations!$L$17,Calculations!$P$17,0)</f>
        <v>0</v>
      </c>
      <c r="S24" s="36">
        <f>IF(S14=Calculations!$L$17,Calculations!$P$17,0)</f>
        <v>0</v>
      </c>
      <c r="T24" s="36">
        <f>IF(T14=Calculations!$L$17,Calculations!$P$17,0)</f>
        <v>0</v>
      </c>
      <c r="U24" s="36">
        <f>IF(U14=Calculations!$L$17,Calculations!$P$17,0)</f>
        <v>0</v>
      </c>
      <c r="V24" s="36">
        <f>IF(V14=Calculations!$L$17,Calculations!$P$17,0)</f>
        <v>0</v>
      </c>
      <c r="W24" s="36">
        <f>IF(W14=Calculations!$L$17,Calculations!$P$17,0)</f>
        <v>0</v>
      </c>
      <c r="X24" s="36">
        <f>IF(X14=Calculations!$L$17,Calculations!$P$17,0)</f>
        <v>0</v>
      </c>
      <c r="Y24" s="36">
        <f>IF(Y14=Calculations!$L$17,Calculations!$P$17,0)</f>
        <v>0</v>
      </c>
      <c r="Z24" s="36" t="e">
        <f t="array" ref="Z24">SUM(IF($B$7:$Y$7+$B$8:$Y$8&gt;0,B24:Y24,0))</f>
        <v>#DIV/0!</v>
      </c>
      <c r="AA24" s="36">
        <f t="shared" si="38"/>
        <v>0</v>
      </c>
      <c r="AB24" s="46">
        <f t="shared" si="39"/>
        <v>0</v>
      </c>
    </row>
    <row r="25" spans="1:30" ht="3.75" customHeight="1" x14ac:dyDescent="0.25">
      <c r="A25" s="43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 t="e">
        <f t="array" ref="Z25">SUM(IF($B$7:$S$7+$B$8:$S$8&gt;0,B25:S25,0))</f>
        <v>#DIV/0!</v>
      </c>
      <c r="AA25" s="36"/>
      <c r="AB25" s="46"/>
    </row>
    <row r="26" spans="1:30" ht="15.75" thickBot="1" x14ac:dyDescent="0.3">
      <c r="A26" s="18" t="s">
        <v>68</v>
      </c>
      <c r="B26" s="37">
        <f>Inputs!$B$30</f>
        <v>0</v>
      </c>
      <c r="C26" s="37">
        <f>Inputs!$B$30</f>
        <v>0</v>
      </c>
      <c r="D26" s="37">
        <f>Inputs!$B$30</f>
        <v>0</v>
      </c>
      <c r="E26" s="37">
        <f>Inputs!$B$30</f>
        <v>0</v>
      </c>
      <c r="F26" s="37">
        <f>Inputs!$B$30</f>
        <v>0</v>
      </c>
      <c r="G26" s="37">
        <f>Inputs!$B$30</f>
        <v>0</v>
      </c>
      <c r="H26" s="37">
        <f>Inputs!$B$30</f>
        <v>0</v>
      </c>
      <c r="I26" s="37">
        <f>Inputs!$B$30</f>
        <v>0</v>
      </c>
      <c r="J26" s="37">
        <f>Inputs!$B$30</f>
        <v>0</v>
      </c>
      <c r="K26" s="37">
        <f>Inputs!$B$30</f>
        <v>0</v>
      </c>
      <c r="L26" s="37">
        <f>Inputs!$B$30</f>
        <v>0</v>
      </c>
      <c r="M26" s="37">
        <f>Inputs!$B$30</f>
        <v>0</v>
      </c>
      <c r="N26" s="37">
        <f>Inputs!$B$30</f>
        <v>0</v>
      </c>
      <c r="O26" s="37">
        <f>Inputs!$B$30</f>
        <v>0</v>
      </c>
      <c r="P26" s="37">
        <f>Inputs!$B$30</f>
        <v>0</v>
      </c>
      <c r="Q26" s="37">
        <f>Inputs!$B$30</f>
        <v>0</v>
      </c>
      <c r="R26" s="37">
        <f>Inputs!$B$30</f>
        <v>0</v>
      </c>
      <c r="S26" s="37">
        <f>Inputs!$B$30</f>
        <v>0</v>
      </c>
      <c r="T26" s="37">
        <f>Inputs!$B$30</f>
        <v>0</v>
      </c>
      <c r="U26" s="37">
        <f>Inputs!$B$30</f>
        <v>0</v>
      </c>
      <c r="V26" s="37">
        <f>Inputs!$B$30</f>
        <v>0</v>
      </c>
      <c r="W26" s="37">
        <f>Inputs!$B$30</f>
        <v>0</v>
      </c>
      <c r="X26" s="37">
        <f>Inputs!$B$30</f>
        <v>0</v>
      </c>
      <c r="Y26" s="37">
        <f>Inputs!$B$30</f>
        <v>0</v>
      </c>
      <c r="Z26" s="37" t="e">
        <f t="array" ref="Z26">SUM(IF($B$7:$S$7+$B$8:$S$8&gt;0,B26:S26,0))</f>
        <v>#DIV/0!</v>
      </c>
      <c r="AA26" s="37">
        <f t="shared" si="38"/>
        <v>0</v>
      </c>
      <c r="AB26" s="37">
        <f t="shared" ref="AB26:AB27" si="40">SUM(B26:Y26)</f>
        <v>0</v>
      </c>
    </row>
    <row r="27" spans="1:30" ht="15.75" thickTop="1" x14ac:dyDescent="0.25">
      <c r="A27" s="1" t="s">
        <v>33</v>
      </c>
      <c r="B27" s="19">
        <f>SUM(B15:B26)</f>
        <v>0</v>
      </c>
      <c r="C27" s="19">
        <f t="shared" ref="C27:S27" si="41">SUM(C15:C26)</f>
        <v>0</v>
      </c>
      <c r="D27" s="19">
        <f t="shared" si="41"/>
        <v>0</v>
      </c>
      <c r="E27" s="19">
        <f t="shared" si="41"/>
        <v>0</v>
      </c>
      <c r="F27" s="19">
        <f t="shared" si="41"/>
        <v>0</v>
      </c>
      <c r="G27" s="19">
        <f t="shared" si="41"/>
        <v>0</v>
      </c>
      <c r="H27" s="19">
        <f t="shared" si="41"/>
        <v>0</v>
      </c>
      <c r="I27" s="19">
        <f t="shared" si="41"/>
        <v>0</v>
      </c>
      <c r="J27" s="19">
        <f t="shared" si="41"/>
        <v>0</v>
      </c>
      <c r="K27" s="19">
        <f t="shared" si="41"/>
        <v>0</v>
      </c>
      <c r="L27" s="19">
        <f t="shared" si="41"/>
        <v>0</v>
      </c>
      <c r="M27" s="19">
        <f t="shared" si="41"/>
        <v>0</v>
      </c>
      <c r="N27" s="19">
        <f t="shared" si="41"/>
        <v>0</v>
      </c>
      <c r="O27" s="19">
        <f t="shared" si="41"/>
        <v>0</v>
      </c>
      <c r="P27" s="19">
        <f t="shared" si="41"/>
        <v>0</v>
      </c>
      <c r="Q27" s="19">
        <f t="shared" si="41"/>
        <v>0</v>
      </c>
      <c r="R27" s="19">
        <f t="shared" si="41"/>
        <v>0</v>
      </c>
      <c r="S27" s="19">
        <f t="shared" si="41"/>
        <v>0</v>
      </c>
      <c r="T27" s="19">
        <f t="shared" ref="T27:Y27" si="42">SUM(T15:T26)</f>
        <v>0</v>
      </c>
      <c r="U27" s="19">
        <f t="shared" si="42"/>
        <v>0</v>
      </c>
      <c r="V27" s="19">
        <f t="shared" si="42"/>
        <v>0</v>
      </c>
      <c r="W27" s="19">
        <f t="shared" si="42"/>
        <v>0</v>
      </c>
      <c r="X27" s="19">
        <f t="shared" si="42"/>
        <v>0</v>
      </c>
      <c r="Y27" s="19">
        <f t="shared" si="42"/>
        <v>0</v>
      </c>
      <c r="Z27" s="19" t="e">
        <f t="array" ref="Z27">SUM(IF($B$7:$Y$7+$B$8:$Y$8&gt;0,B27:Y27,0))</f>
        <v>#DIV/0!</v>
      </c>
      <c r="AA27" s="19">
        <f t="shared" si="38"/>
        <v>0</v>
      </c>
      <c r="AB27" s="19">
        <f t="shared" si="40"/>
        <v>0</v>
      </c>
      <c r="AC27" s="1"/>
      <c r="AD27" s="1"/>
    </row>
    <row r="28" spans="1:30" x14ac:dyDescent="0.25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spans="1:30" x14ac:dyDescent="0.25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</row>
    <row r="30" spans="1:30" x14ac:dyDescent="0.25">
      <c r="A30" s="3" t="s">
        <v>226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4"/>
    </row>
    <row r="32" spans="1:30" x14ac:dyDescent="0.25">
      <c r="A32" s="5" t="s">
        <v>32</v>
      </c>
      <c r="B32" s="17">
        <f t="shared" ref="B32:L32" si="43">B14</f>
        <v>1</v>
      </c>
      <c r="C32" s="17">
        <f t="shared" si="43"/>
        <v>32</v>
      </c>
      <c r="D32" s="17">
        <f t="shared" si="43"/>
        <v>61</v>
      </c>
      <c r="E32" s="17">
        <f t="shared" si="43"/>
        <v>92</v>
      </c>
      <c r="F32" s="17">
        <f t="shared" si="43"/>
        <v>122</v>
      </c>
      <c r="G32" s="17">
        <f t="shared" si="43"/>
        <v>153</v>
      </c>
      <c r="H32" s="17">
        <f t="shared" si="43"/>
        <v>183</v>
      </c>
      <c r="I32" s="17">
        <f t="shared" si="43"/>
        <v>214</v>
      </c>
      <c r="J32" s="17">
        <f t="shared" si="43"/>
        <v>245</v>
      </c>
      <c r="K32" s="17">
        <f t="shared" si="43"/>
        <v>275</v>
      </c>
      <c r="L32" s="17">
        <f t="shared" si="43"/>
        <v>306</v>
      </c>
      <c r="M32" s="17">
        <f t="shared" ref="M32:AB32" si="44">M14</f>
        <v>336</v>
      </c>
      <c r="N32" s="17">
        <f t="shared" si="44"/>
        <v>367</v>
      </c>
      <c r="O32" s="17">
        <f t="shared" si="44"/>
        <v>398</v>
      </c>
      <c r="P32" s="17">
        <f t="shared" si="44"/>
        <v>426</v>
      </c>
      <c r="Q32" s="17">
        <f t="shared" si="44"/>
        <v>457</v>
      </c>
      <c r="R32" s="17">
        <f t="shared" si="44"/>
        <v>487</v>
      </c>
      <c r="S32" s="17">
        <f t="shared" si="44"/>
        <v>518</v>
      </c>
      <c r="T32" s="17">
        <f t="shared" ref="T32:Y32" si="45">T14</f>
        <v>548</v>
      </c>
      <c r="U32" s="17">
        <f t="shared" si="45"/>
        <v>579</v>
      </c>
      <c r="V32" s="17">
        <f t="shared" si="45"/>
        <v>610</v>
      </c>
      <c r="W32" s="17">
        <f t="shared" si="45"/>
        <v>640</v>
      </c>
      <c r="X32" s="17">
        <f t="shared" si="45"/>
        <v>671</v>
      </c>
      <c r="Y32" s="17">
        <f t="shared" si="45"/>
        <v>701</v>
      </c>
      <c r="Z32" s="47" t="str">
        <f t="shared" si="44"/>
        <v>Total during loan period</v>
      </c>
      <c r="AA32" s="47" t="s">
        <v>305</v>
      </c>
      <c r="AB32" s="47" t="str">
        <f t="shared" si="44"/>
        <v>Total 24 months</v>
      </c>
    </row>
    <row r="33" spans="1:29" x14ac:dyDescent="0.25">
      <c r="A33" t="s">
        <v>60</v>
      </c>
      <c r="B33" s="36">
        <f>N33</f>
        <v>0</v>
      </c>
      <c r="C33" s="36">
        <f t="shared" ref="C33:C38" si="46">O33</f>
        <v>0</v>
      </c>
      <c r="D33" s="36">
        <f t="shared" ref="D33:D38" si="47">P33</f>
        <v>0</v>
      </c>
      <c r="E33" s="36">
        <f t="shared" ref="E33:E38" si="48">Q33</f>
        <v>0</v>
      </c>
      <c r="F33" s="36">
        <f t="shared" ref="F33:F38" si="49">R33</f>
        <v>0</v>
      </c>
      <c r="G33" s="36">
        <f t="shared" ref="G33:G38" si="50">S33</f>
        <v>0</v>
      </c>
      <c r="H33" s="36">
        <f t="shared" ref="H33:H38" si="51">T33</f>
        <v>0</v>
      </c>
      <c r="I33" s="36">
        <f t="shared" ref="I33:I38" si="52">U33</f>
        <v>0</v>
      </c>
      <c r="J33" s="36">
        <f t="shared" ref="J33:J38" si="53">V33</f>
        <v>0</v>
      </c>
      <c r="K33" s="36">
        <f t="shared" ref="K33:K38" si="54">W33</f>
        <v>0</v>
      </c>
      <c r="L33" s="36">
        <f t="shared" ref="L33:L38" si="55">X33</f>
        <v>0</v>
      </c>
      <c r="M33" s="36">
        <f t="shared" ref="M33:M38" si="56">Y33</f>
        <v>0</v>
      </c>
      <c r="N33" s="36">
        <f t="array" ref="N33">SUM(IF(Calculations!$S4:$S8=0,Calculations!$W4:$W8/12,IFERROR(IF(MONTH(Calculations!$B$4:$B$8)=MONTH(Output!N$32),Calculations!$W$4:$W$8,0),0)+IFERROR(IF(MONTH(Calculations!$C$4:$C$8)=MONTH(Output!N$32),Calculations!$X$4:$X$8,0),0)+IFERROR(IF(MONTH(Calculations!$E$4:$E$8)=MONTH(Output!N$32),Calculations!$W$4:$W$8,0),0)+IFERROR(IF(MONTH(Calculations!$F$4:$F$8)=MONTH(Output!N$32),Calculations!$X$4:$X$8,0),0)))</f>
        <v>0</v>
      </c>
      <c r="O33" s="36">
        <f t="array" ref="O33">SUM(IF(Calculations!$S4:$S8=0,Calculations!$W4:$W8/12,IFERROR(IF(MONTH(Calculations!$B$4:$B$8)=MONTH(Output!O$32),Calculations!$W$4:$W$8,0),0)+IFERROR(IF(MONTH(Calculations!$C$4:$C$8)=MONTH(Output!O$32),Calculations!$X$4:$X$8,0),0)+IFERROR(IF(MONTH(Calculations!$E$4:$E$8)=MONTH(Output!O$32),Calculations!$W$4:$W$8,0),0)+IFERROR(IF(MONTH(Calculations!$F$4:$F$8)=MONTH(Output!O$32),Calculations!$X$4:$X$8,0),0)))</f>
        <v>0</v>
      </c>
      <c r="P33" s="36">
        <f t="array" ref="P33">SUM(IF(Calculations!$S4:$S8=0,Calculations!$W4:$W8/12,IFERROR(IF(MONTH(Calculations!$B$4:$B$8)=MONTH(Output!P$32),Calculations!$W$4:$W$8,0),0)+IFERROR(IF(MONTH(Calculations!$C$4:$C$8)=MONTH(Output!P$32),Calculations!$X$4:$X$8,0),0)+IFERROR(IF(MONTH(Calculations!$E$4:$E$8)=MONTH(Output!P$32),Calculations!$W$4:$W$8,0),0)+IFERROR(IF(MONTH(Calculations!$F$4:$F$8)=MONTH(Output!P$32),Calculations!$X$4:$X$8,0),0)))</f>
        <v>0</v>
      </c>
      <c r="Q33" s="36">
        <f t="array" ref="Q33">SUM(IF(Calculations!$S4:$S8=0,Calculations!$W4:$W8/12,IFERROR(IF(MONTH(Calculations!$B$4:$B$8)=MONTH(Output!Q$32),Calculations!$W$4:$W$8,0),0)+IFERROR(IF(MONTH(Calculations!$C$4:$C$8)=MONTH(Output!Q$32),Calculations!$X$4:$X$8,0),0)+IFERROR(IF(MONTH(Calculations!$E$4:$E$8)=MONTH(Output!Q$32),Calculations!$W$4:$W$8,0),0)+IFERROR(IF(MONTH(Calculations!$F$4:$F$8)=MONTH(Output!Q$32),Calculations!$X$4:$X$8,0),0)))</f>
        <v>0</v>
      </c>
      <c r="R33" s="36">
        <f t="array" ref="R33">SUM(IF(Calculations!$S4:$S8=0,Calculations!$W4:$W8/12,IFERROR(IF(MONTH(Calculations!$B$4:$B$8)=MONTH(Output!R$32),Calculations!$W$4:$W$8,0),0)+IFERROR(IF(MONTH(Calculations!$C$4:$C$8)=MONTH(Output!R$32),Calculations!$X$4:$X$8,0),0)+IFERROR(IF(MONTH(Calculations!$E$4:$E$8)=MONTH(Output!R$32),Calculations!$W$4:$W$8,0),0)+IFERROR(IF(MONTH(Calculations!$F$4:$F$8)=MONTH(Output!R$32),Calculations!$X$4:$X$8,0),0)))</f>
        <v>0</v>
      </c>
      <c r="S33" s="36">
        <f t="array" ref="S33">SUM(IF(Calculations!$S4:$S8=0,Calculations!$W4:$W8/12,IFERROR(IF(MONTH(Calculations!$B$4:$B$8)=MONTH(Output!S$32),Calculations!$W$4:$W$8,0),0)+IFERROR(IF(MONTH(Calculations!$C$4:$C$8)=MONTH(Output!S$32),Calculations!$X$4:$X$8,0),0)+IFERROR(IF(MONTH(Calculations!$E$4:$E$8)=MONTH(Output!S$32),Calculations!$W$4:$W$8,0),0)+IFERROR(IF(MONTH(Calculations!$F$4:$F$8)=MONTH(Output!S$32),Calculations!$X$4:$X$8,0),0)))</f>
        <v>0</v>
      </c>
      <c r="T33" s="36">
        <f t="array" ref="T33">SUM(IF(Calculations!$S4:$S8=0,Calculations!$W4:$W8/12,IFERROR(IF(MONTH(Calculations!$B$4:$B$8)=MONTH(Output!T$32),Calculations!$W$4:$W$8,0),0)+IFERROR(IF(MONTH(Calculations!$C$4:$C$8)=MONTH(Output!T$32),Calculations!$X$4:$X$8,0),0)+IFERROR(IF(MONTH(Calculations!$E$4:$E$8)=MONTH(Output!T$32),Calculations!$W$4:$W$8,0),0)+IFERROR(IF(MONTH(Calculations!$F$4:$F$8)=MONTH(Output!T$32),Calculations!$X$4:$X$8,0),0)))</f>
        <v>0</v>
      </c>
      <c r="U33" s="36">
        <f t="array" ref="U33">SUM(IF(Calculations!$S4:$S8=0,Calculations!$W4:$W8/12,IFERROR(IF(MONTH(Calculations!$B$4:$B$8)=MONTH(Output!U$32),Calculations!$W$4:$W$8,0),0)+IFERROR(IF(MONTH(Calculations!$C$4:$C$8)=MONTH(Output!U$32),Calculations!$X$4:$X$8,0),0)+IFERROR(IF(MONTH(Calculations!$E$4:$E$8)=MONTH(Output!U$32),Calculations!$W$4:$W$8,0),0)+IFERROR(IF(MONTH(Calculations!$F$4:$F$8)=MONTH(Output!U$32),Calculations!$X$4:$X$8,0),0)))</f>
        <v>0</v>
      </c>
      <c r="V33" s="36">
        <f t="array" ref="V33">SUM(IF(Calculations!$S4:$S8=0,Calculations!$W4:$W8/12,IFERROR(IF(MONTH(Calculations!$B$4:$B$8)=MONTH(Output!V$32),Calculations!$W$4:$W$8,0),0)+IFERROR(IF(MONTH(Calculations!$C$4:$C$8)=MONTH(Output!V$32),Calculations!$X$4:$X$8,0),0)+IFERROR(IF(MONTH(Calculations!$E$4:$E$8)=MONTH(Output!V$32),Calculations!$W$4:$W$8,0),0)+IFERROR(IF(MONTH(Calculations!$F$4:$F$8)=MONTH(Output!V$32),Calculations!$X$4:$X$8,0),0)))</f>
        <v>0</v>
      </c>
      <c r="W33" s="36">
        <f t="array" ref="W33">SUM(IF(Calculations!$S4:$S8=0,Calculations!$W4:$W8/12,IFERROR(IF(MONTH(Calculations!$B$4:$B$8)=MONTH(Output!W$32),Calculations!$W$4:$W$8,0),0)+IFERROR(IF(MONTH(Calculations!$C$4:$C$8)=MONTH(Output!W$32),Calculations!$X$4:$X$8,0),0)+IFERROR(IF(MONTH(Calculations!$E$4:$E$8)=MONTH(Output!W$32),Calculations!$W$4:$W$8,0),0)+IFERROR(IF(MONTH(Calculations!$F$4:$F$8)=MONTH(Output!W$32),Calculations!$X$4:$X$8,0),0)))</f>
        <v>0</v>
      </c>
      <c r="X33" s="36">
        <f t="array" ref="X33">SUM(IF(Calculations!$S4:$S8=0,Calculations!$W4:$W8/12,IFERROR(IF(MONTH(Calculations!$B$4:$B$8)=MONTH(Output!X$32),Calculations!$W$4:$W$8,0),0)+IFERROR(IF(MONTH(Calculations!$C$4:$C$8)=MONTH(Output!X$32),Calculations!$X$4:$X$8,0),0)+IFERROR(IF(MONTH(Calculations!$E$4:$E$8)=MONTH(Output!X$32),Calculations!$W$4:$W$8,0),0)+IFERROR(IF(MONTH(Calculations!$F$4:$F$8)=MONTH(Output!X$32),Calculations!$X$4:$X$8,0),0)))</f>
        <v>0</v>
      </c>
      <c r="Y33" s="36">
        <f t="array" ref="Y33">SUM(IF(Calculations!$S4:$S8=0,Calculations!$W4:$W8/12,IFERROR(IF(MONTH(Calculations!$B$4:$B$8)=MONTH(Output!Y$32),Calculations!$W$4:$W$8,0),0)+IFERROR(IF(MONTH(Calculations!$C$4:$C$8)=MONTH(Output!Y$32),Calculations!$X$4:$X$8,0),0)+IFERROR(IF(MONTH(Calculations!$E$4:$E$8)=MONTH(Output!Y$32),Calculations!$W$4:$W$8,0),0)+IFERROR(IF(MONTH(Calculations!$F$4:$F$8)=MONTH(Output!Y$32),Calculations!$X$4:$X$8,0),0)))</f>
        <v>0</v>
      </c>
      <c r="Z33" s="36" t="e">
        <f t="array" ref="Z33">SUM(IF($B$7:$Y$7+$B$8:$Y$8&gt;0,B33:Y33,0))</f>
        <v>#DIV/0!</v>
      </c>
      <c r="AA33" s="36">
        <f t="shared" ref="AA33:AA38" si="57">SUM(B33:M33)</f>
        <v>0</v>
      </c>
      <c r="AB33" s="36">
        <f t="shared" ref="AB33:AB39" si="58">SUM(B33:Y33)</f>
        <v>0</v>
      </c>
      <c r="AC33" s="74"/>
    </row>
    <row r="34" spans="1:29" x14ac:dyDescent="0.25">
      <c r="A34" t="s">
        <v>61</v>
      </c>
      <c r="B34" s="36">
        <f t="shared" ref="B34:B38" si="59">N34</f>
        <v>0</v>
      </c>
      <c r="C34" s="36">
        <f t="shared" si="46"/>
        <v>0</v>
      </c>
      <c r="D34" s="36">
        <f t="shared" si="47"/>
        <v>0</v>
      </c>
      <c r="E34" s="36">
        <f t="shared" si="48"/>
        <v>0</v>
      </c>
      <c r="F34" s="36">
        <f t="shared" si="49"/>
        <v>0</v>
      </c>
      <c r="G34" s="36">
        <f t="shared" si="50"/>
        <v>0</v>
      </c>
      <c r="H34" s="36">
        <f t="shared" si="51"/>
        <v>0</v>
      </c>
      <c r="I34" s="36">
        <f t="shared" si="52"/>
        <v>0</v>
      </c>
      <c r="J34" s="36">
        <f t="shared" si="53"/>
        <v>0</v>
      </c>
      <c r="K34" s="36">
        <f t="shared" si="54"/>
        <v>0</v>
      </c>
      <c r="L34" s="36">
        <f t="shared" si="55"/>
        <v>0</v>
      </c>
      <c r="M34" s="36">
        <f t="shared" si="56"/>
        <v>0</v>
      </c>
      <c r="N34" s="36">
        <f t="array" ref="N34">SUM(IFERROR(IF(MONTH(Calculations!$B$4:$B$8)=MONTH(Output!N$32),Calculations!$V$4:$V$8,0),0)+IFERROR(IF(MONTH(Calculations!$E$4:$E$8)=MONTH(Output!N$32),Calculations!$V$4:$V$8,0),0))</f>
        <v>0</v>
      </c>
      <c r="O34" s="36">
        <f t="array" ref="O34">SUM(IFERROR(IF(MONTH(Calculations!$B$4:$B$8)=MONTH(Output!O$32),Calculations!$V$4:$V$8,0),0)+IFERROR(IF(MONTH(Calculations!$E$4:$E$8)=MONTH(Output!O$32),Calculations!$V$4:$V$8,0),0))</f>
        <v>0</v>
      </c>
      <c r="P34" s="36">
        <f t="array" ref="P34">SUM(IFERROR(IF(MONTH(Calculations!$B$4:$B$8)=MONTH(Output!P$32),Calculations!$V$4:$V$8,0),0)+IFERROR(IF(MONTH(Calculations!$E$4:$E$8)=MONTH(Output!P$32),Calculations!$V$4:$V$8,0),0))</f>
        <v>0</v>
      </c>
      <c r="Q34" s="36">
        <f t="array" ref="Q34">SUM(IFERROR(IF(MONTH(Calculations!$B$4:$B$8)=MONTH(Output!Q$32),Calculations!$V$4:$V$8,0),0)+IFERROR(IF(MONTH(Calculations!$E$4:$E$8)=MONTH(Output!Q$32),Calculations!$V$4:$V$8,0),0))</f>
        <v>0</v>
      </c>
      <c r="R34" s="36">
        <f t="array" ref="R34">SUM(IFERROR(IF(MONTH(Calculations!$B$4:$B$8)=MONTH(Output!R$32),Calculations!$V$4:$V$8,0),0)+IFERROR(IF(MONTH(Calculations!$E$4:$E$8)=MONTH(Output!R$32),Calculations!$V$4:$V$8,0),0))</f>
        <v>0</v>
      </c>
      <c r="S34" s="36">
        <f t="array" ref="S34">SUM(IFERROR(IF(MONTH(Calculations!$B$4:$B$8)=MONTH(Output!S$32),Calculations!$V$4:$V$8,0),0)+IFERROR(IF(MONTH(Calculations!$E$4:$E$8)=MONTH(Output!S$32),Calculations!$V$4:$V$8,0),0))</f>
        <v>0</v>
      </c>
      <c r="T34" s="36">
        <f t="array" ref="T34">SUM(IFERROR(IF(MONTH(Calculations!$B$4:$B$8)=MONTH(Output!T$32),Calculations!$V$4:$V$8,0),0)+IFERROR(IF(MONTH(Calculations!$E$4:$E$8)=MONTH(Output!T$32),Calculations!$V$4:$V$8,0),0))</f>
        <v>0</v>
      </c>
      <c r="U34" s="36">
        <f t="array" ref="U34">SUM(IFERROR(IF(MONTH(Calculations!$B$4:$B$8)=MONTH(Output!U$32),Calculations!$V$4:$V$8,0),0)+IFERROR(IF(MONTH(Calculations!$E$4:$E$8)=MONTH(Output!U$32),Calculations!$V$4:$V$8,0),0))</f>
        <v>0</v>
      </c>
      <c r="V34" s="36">
        <f t="array" ref="V34">SUM(IFERROR(IF(MONTH(Calculations!$B$4:$B$8)=MONTH(Output!V$32),Calculations!$V$4:$V$8,0),0)+IFERROR(IF(MONTH(Calculations!$E$4:$E$8)=MONTH(Output!V$32),Calculations!$V$4:$V$8,0),0))</f>
        <v>0</v>
      </c>
      <c r="W34" s="36">
        <f t="array" ref="W34">SUM(IFERROR(IF(MONTH(Calculations!$B$4:$B$8)=MONTH(Output!W$32),Calculations!$V$4:$V$8,0),0)+IFERROR(IF(MONTH(Calculations!$E$4:$E$8)=MONTH(Output!W$32),Calculations!$V$4:$V$8,0),0))</f>
        <v>0</v>
      </c>
      <c r="X34" s="36">
        <f t="array" ref="X34">SUM(IFERROR(IF(MONTH(Calculations!$B$4:$B$8)=MONTH(Output!X$32),Calculations!$V$4:$V$8,0),0)+IFERROR(IF(MONTH(Calculations!$E$4:$E$8)=MONTH(Output!X$32),Calculations!$V$4:$V$8,0),0))</f>
        <v>0</v>
      </c>
      <c r="Y34" s="36">
        <f t="array" ref="Y34">SUM(IFERROR(IF(MONTH(Calculations!$B$4:$B$8)=MONTH(Output!Y$32),Calculations!$V$4:$V$8,0),0)+IFERROR(IF(MONTH(Calculations!$E$4:$E$8)=MONTH(Output!Y$32),Calculations!$V$4:$V$8,0),0))</f>
        <v>0</v>
      </c>
      <c r="Z34" s="36" t="e">
        <f t="array" ref="Z34">SUM(IF($B$7:$Y$7+$B$8:$Y$8&gt;0,B34:Y34,0))</f>
        <v>#DIV/0!</v>
      </c>
      <c r="AA34" s="36">
        <f t="shared" si="57"/>
        <v>0</v>
      </c>
      <c r="AB34" s="36">
        <f t="shared" si="58"/>
        <v>0</v>
      </c>
    </row>
    <row r="35" spans="1:29" x14ac:dyDescent="0.25">
      <c r="A35" s="43" t="s">
        <v>106</v>
      </c>
      <c r="B35" s="36">
        <f t="shared" si="59"/>
        <v>0</v>
      </c>
      <c r="C35" s="36">
        <f t="shared" si="46"/>
        <v>0</v>
      </c>
      <c r="D35" s="36">
        <f t="shared" si="47"/>
        <v>0</v>
      </c>
      <c r="E35" s="36">
        <f t="shared" si="48"/>
        <v>0</v>
      </c>
      <c r="F35" s="36">
        <f t="shared" si="49"/>
        <v>0</v>
      </c>
      <c r="G35" s="36">
        <f t="shared" si="50"/>
        <v>0</v>
      </c>
      <c r="H35" s="36">
        <f t="shared" si="51"/>
        <v>0</v>
      </c>
      <c r="I35" s="36">
        <f t="shared" si="52"/>
        <v>0</v>
      </c>
      <c r="J35" s="36">
        <f t="shared" si="53"/>
        <v>0</v>
      </c>
      <c r="K35" s="36">
        <f t="shared" si="54"/>
        <v>0</v>
      </c>
      <c r="L35" s="36">
        <f t="shared" si="55"/>
        <v>0</v>
      </c>
      <c r="M35" s="36">
        <f t="shared" si="56"/>
        <v>0</v>
      </c>
      <c r="N35" s="46">
        <f t="array" ref="N35">SUM(IFERROR(IF(MONTH(Calculations!$C$4:$C$8)=MONTH(Output!N$32),Calculations!$Y$4:$Y$8,0),0)+IFERROR(IF(MONTH(Calculations!$F$4:$F$8)=MONTH(Output!N$32),Calculations!$Y$4:$Y$8,0),0))</f>
        <v>0</v>
      </c>
      <c r="O35" s="46">
        <f t="array" ref="O35">SUM(IFERROR(IF(MONTH(Calculations!$C$4:$C$8)=MONTH(Output!O$32),Calculations!$Y$4:$Y$8,0),0)+IFERROR(IF(MONTH(Calculations!$F$4:$F$8)=MONTH(Output!O$32),Calculations!$Y$4:$Y$8,0),0))</f>
        <v>0</v>
      </c>
      <c r="P35" s="46">
        <f t="array" ref="P35">SUM(IFERROR(IF(MONTH(Calculations!$C$4:$C$8)=MONTH(Output!P$32),Calculations!$Y$4:$Y$8,0),0)+IFERROR(IF(MONTH(Calculations!$F$4:$F$8)=MONTH(Output!P$32),Calculations!$Y$4:$Y$8,0),0))</f>
        <v>0</v>
      </c>
      <c r="Q35" s="46">
        <f t="array" ref="Q35">SUM(IFERROR(IF(MONTH(Calculations!$C$4:$C$8)=MONTH(Output!Q$32),Calculations!$Y$4:$Y$8,0),0)+IFERROR(IF(MONTH(Calculations!$F$4:$F$8)=MONTH(Output!Q$32),Calculations!$Y$4:$Y$8,0),0))</f>
        <v>0</v>
      </c>
      <c r="R35" s="46">
        <f t="array" ref="R35">SUM(IFERROR(IF(MONTH(Calculations!$C$4:$C$8)=MONTH(Output!R$32),Calculations!$Y$4:$Y$8,0),0)+IFERROR(IF(MONTH(Calculations!$F$4:$F$8)=MONTH(Output!R$32),Calculations!$Y$4:$Y$8,0),0))</f>
        <v>0</v>
      </c>
      <c r="S35" s="46">
        <f t="array" ref="S35">SUM(IFERROR(IF(MONTH(Calculations!$C$4:$C$8)=MONTH(Output!S$32),Calculations!$Y$4:$Y$8,0),0)+IFERROR(IF(MONTH(Calculations!$F$4:$F$8)=MONTH(Output!S$32),Calculations!$Y$4:$Y$8,0),0))</f>
        <v>0</v>
      </c>
      <c r="T35" s="46">
        <f t="array" ref="T35">SUM(IFERROR(IF(MONTH(Calculations!$C$4:$C$8)=MONTH(Output!T$32),Calculations!$Y$4:$Y$8,0),0)+IFERROR(IF(MONTH(Calculations!$F$4:$F$8)=MONTH(Output!T$32),Calculations!$Y$4:$Y$8,0),0))</f>
        <v>0</v>
      </c>
      <c r="U35" s="46">
        <f t="array" ref="U35">SUM(IFERROR(IF(MONTH(Calculations!$C$4:$C$8)=MONTH(Output!U$32),Calculations!$Y$4:$Y$8,0),0)+IFERROR(IF(MONTH(Calculations!$F$4:$F$8)=MONTH(Output!U$32),Calculations!$Y$4:$Y$8,0),0))</f>
        <v>0</v>
      </c>
      <c r="V35" s="46">
        <f t="array" ref="V35">SUM(IFERROR(IF(MONTH(Calculations!$C$4:$C$8)=MONTH(Output!V$32),Calculations!$Y$4:$Y$8,0),0)+IFERROR(IF(MONTH(Calculations!$F$4:$F$8)=MONTH(Output!V$32),Calculations!$Y$4:$Y$8,0),0))</f>
        <v>0</v>
      </c>
      <c r="W35" s="46">
        <f t="array" ref="W35">SUM(IFERROR(IF(MONTH(Calculations!$C$4:$C$8)=MONTH(Output!W$32),Calculations!$Y$4:$Y$8,0),0)+IFERROR(IF(MONTH(Calculations!$F$4:$F$8)=MONTH(Output!W$32),Calculations!$Y$4:$Y$8,0),0))</f>
        <v>0</v>
      </c>
      <c r="X35" s="46">
        <f t="array" ref="X35">SUM(IFERROR(IF(MONTH(Calculations!$C$4:$C$8)=MONTH(Output!X$32),Calculations!$Y$4:$Y$8,0),0)+IFERROR(IF(MONTH(Calculations!$F$4:$F$8)=MONTH(Output!X$32),Calculations!$Y$4:$Y$8,0),0))</f>
        <v>0</v>
      </c>
      <c r="Y35" s="46">
        <f t="array" ref="Y35">SUM(IFERROR(IF(MONTH(Calculations!$C$4:$C$8)=MONTH(Output!Y$32),Calculations!$Y$4:$Y$8,0),0)+IFERROR(IF(MONTH(Calculations!$F$4:$F$8)=MONTH(Output!Y$32),Calculations!$Y$4:$Y$8,0),0))</f>
        <v>0</v>
      </c>
      <c r="Z35" s="46" t="e">
        <f t="array" ref="Z35">SUM(IF($B$7:$Y$7+$B$8:$Y$8&gt;0,B35:Y35,0))</f>
        <v>#DIV/0!</v>
      </c>
      <c r="AA35" s="46">
        <f t="shared" si="57"/>
        <v>0</v>
      </c>
      <c r="AB35" s="46">
        <f t="shared" si="58"/>
        <v>0</v>
      </c>
    </row>
    <row r="36" spans="1:29" x14ac:dyDescent="0.25">
      <c r="A36" s="16" t="s">
        <v>197</v>
      </c>
      <c r="B36" s="36">
        <f t="shared" si="59"/>
        <v>0</v>
      </c>
      <c r="C36" s="36">
        <f t="shared" si="46"/>
        <v>0</v>
      </c>
      <c r="D36" s="36">
        <f t="shared" si="47"/>
        <v>0</v>
      </c>
      <c r="E36" s="36">
        <f t="shared" si="48"/>
        <v>0</v>
      </c>
      <c r="F36" s="36">
        <f t="shared" si="49"/>
        <v>0</v>
      </c>
      <c r="G36" s="36">
        <f t="shared" si="50"/>
        <v>0</v>
      </c>
      <c r="H36" s="36">
        <f t="shared" si="51"/>
        <v>0</v>
      </c>
      <c r="I36" s="36">
        <f t="shared" si="52"/>
        <v>0</v>
      </c>
      <c r="J36" s="36">
        <f t="shared" si="53"/>
        <v>0</v>
      </c>
      <c r="K36" s="36">
        <f t="shared" si="54"/>
        <v>0</v>
      </c>
      <c r="L36" s="36">
        <f t="shared" si="55"/>
        <v>0</v>
      </c>
      <c r="M36" s="36">
        <f t="shared" si="56"/>
        <v>0</v>
      </c>
      <c r="N36" s="46">
        <f t="array" ref="N36">SUM(IFERROR(IF(MONTH(Calculations!$D$4:$D$8)=MONTH(Output!N$32),Calculations!$AA$4:$AA$8,0),0)+IFERROR(IF(MONTH(Calculations!$G$4:$G$8)=MONTH(Output!N$32),Calculations!$AA$4:$AA$8,0),0))</f>
        <v>0</v>
      </c>
      <c r="O36" s="46">
        <f t="array" ref="O36">SUM(IFERROR(IF(MONTH(Calculations!$D$4:$D$8)=MONTH(Output!O$32),Calculations!$AA$4:$AA$8,0),0)+IFERROR(IF(MONTH(Calculations!$G$4:$G$8)=MONTH(Output!O$32),Calculations!$AA$4:$AA$8,0),0))</f>
        <v>0</v>
      </c>
      <c r="P36" s="46">
        <f t="array" ref="P36">SUM(IFERROR(IF(MONTH(Calculations!$D$4:$D$8)=MONTH(Output!P$32),Calculations!$AA$4:$AA$8,0),0)+IFERROR(IF(MONTH(Calculations!$G$4:$G$8)=MONTH(Output!P$32),Calculations!$AA$4:$AA$8,0),0))</f>
        <v>0</v>
      </c>
      <c r="Q36" s="46">
        <f t="array" ref="Q36">SUM(IFERROR(IF(MONTH(Calculations!$D$4:$D$8)=MONTH(Output!Q$32),Calculations!$AA$4:$AA$8,0),0)+IFERROR(IF(MONTH(Calculations!$G$4:$G$8)=MONTH(Output!Q$32),Calculations!$AA$4:$AA$8,0),0))</f>
        <v>0</v>
      </c>
      <c r="R36" s="46">
        <f t="array" ref="R36">SUM(IFERROR(IF(MONTH(Calculations!$D$4:$D$8)=MONTH(Output!R$32),Calculations!$AA$4:$AA$8,0),0)+IFERROR(IF(MONTH(Calculations!$G$4:$G$8)=MONTH(Output!R$32),Calculations!$AA$4:$AA$8,0),0))</f>
        <v>0</v>
      </c>
      <c r="S36" s="46">
        <f t="array" ref="S36">SUM(IFERROR(IF(MONTH(Calculations!$D$4:$D$8)=MONTH(Output!S$32),Calculations!$AA$4:$AA$8,0),0)+IFERROR(IF(MONTH(Calculations!$G$4:$G$8)=MONTH(Output!S$32),Calculations!$AA$4:$AA$8,0),0))</f>
        <v>0</v>
      </c>
      <c r="T36" s="46">
        <f t="array" ref="T36">SUM(IFERROR(IF(MONTH(Calculations!$D$4:$D$8)=MONTH(Output!T$32),Calculations!$AA$4:$AA$8,0),0)+IFERROR(IF(MONTH(Calculations!$G$4:$G$8)=MONTH(Output!T$32),Calculations!$AA$4:$AA$8,0),0))</f>
        <v>0</v>
      </c>
      <c r="U36" s="46">
        <f t="array" ref="U36">SUM(IFERROR(IF(MONTH(Calculations!$D$4:$D$8)=MONTH(Output!U$32),Calculations!$AA$4:$AA$8,0),0)+IFERROR(IF(MONTH(Calculations!$G$4:$G$8)=MONTH(Output!U$32),Calculations!$AA$4:$AA$8,0),0))</f>
        <v>0</v>
      </c>
      <c r="V36" s="46">
        <f t="array" ref="V36">SUM(IFERROR(IF(MONTH(Calculations!$D$4:$D$8)=MONTH(Output!V$32),Calculations!$AA$4:$AA$8,0),0)+IFERROR(IF(MONTH(Calculations!$G$4:$G$8)=MONTH(Output!V$32),Calculations!$AA$4:$AA$8,0),0))</f>
        <v>0</v>
      </c>
      <c r="W36" s="46">
        <f t="array" ref="W36">SUM(IFERROR(IF(MONTH(Calculations!$D$4:$D$8)=MONTH(Output!W$32),Calculations!$AA$4:$AA$8,0),0)+IFERROR(IF(MONTH(Calculations!$G$4:$G$8)=MONTH(Output!W$32),Calculations!$AA$4:$AA$8,0),0))</f>
        <v>0</v>
      </c>
      <c r="X36" s="46">
        <f t="array" ref="X36">SUM(IFERROR(IF(MONTH(Calculations!$D$4:$D$8)=MONTH(Output!X$32),Calculations!$AA$4:$AA$8,0),0)+IFERROR(IF(MONTH(Calculations!$G$4:$G$8)=MONTH(Output!X$32),Calculations!$AA$4:$AA$8,0),0))</f>
        <v>0</v>
      </c>
      <c r="Y36" s="46">
        <f t="array" ref="Y36">SUM(IFERROR(IF(MONTH(Calculations!$D$4:$D$8)=MONTH(Output!Y$32),Calculations!$AA$4:$AA$8,0),0)+IFERROR(IF(MONTH(Calculations!$G$4:$G$8)=MONTH(Output!Y$32),Calculations!$AA$4:$AA$8,0),0))</f>
        <v>0</v>
      </c>
      <c r="Z36" s="46" t="e">
        <f t="array" ref="Z36">SUM(IF($B$7:$Y$7+$B$8:$Y$8&gt;0,B36:Y36,0))</f>
        <v>#DIV/0!</v>
      </c>
      <c r="AA36" s="46">
        <f t="shared" si="57"/>
        <v>0</v>
      </c>
      <c r="AB36" s="46">
        <f t="shared" si="58"/>
        <v>0</v>
      </c>
    </row>
    <row r="37" spans="1:29" x14ac:dyDescent="0.25">
      <c r="A37" s="16" t="s">
        <v>251</v>
      </c>
      <c r="B37" s="36">
        <f t="shared" si="59"/>
        <v>0</v>
      </c>
      <c r="C37" s="36">
        <f t="shared" si="46"/>
        <v>0</v>
      </c>
      <c r="D37" s="36">
        <f t="shared" si="47"/>
        <v>0</v>
      </c>
      <c r="E37" s="36">
        <f t="shared" si="48"/>
        <v>0</v>
      </c>
      <c r="F37" s="36">
        <f t="shared" si="49"/>
        <v>0</v>
      </c>
      <c r="G37" s="36">
        <f t="shared" si="50"/>
        <v>0</v>
      </c>
      <c r="H37" s="36">
        <f t="shared" si="51"/>
        <v>0</v>
      </c>
      <c r="I37" s="36">
        <f t="shared" si="52"/>
        <v>0</v>
      </c>
      <c r="J37" s="36">
        <f t="shared" si="53"/>
        <v>0</v>
      </c>
      <c r="K37" s="36">
        <f t="shared" si="54"/>
        <v>0</v>
      </c>
      <c r="L37" s="36">
        <f t="shared" si="55"/>
        <v>0</v>
      </c>
      <c r="M37" s="36">
        <f t="shared" si="56"/>
        <v>0</v>
      </c>
      <c r="N37" s="46">
        <f t="array" ref="N37">SUM(IF(Calculations!$S$4:$S$8&lt;&gt;0,IFERROR(IF(MOD(MONTH(Output!N32)-MONTH(Calculations!$B$4:$B$8),12)&lt;=Calculations!$T$4:$T$8,Calculations!$Z$4:$Z$8/(Calculations!$T$4:$T$8+1),0),0)+IFERROR(IF(MOD(MONTH(Output!N32)-MONTH(Calculations!$E$4:$E$8),12)&lt;=Calculations!$T$4:$T$8,Calculations!$Z$4:$Z$8/(Calculations!$T$4:$T$8+1),0),0),Calculations!$Z$4:$Z$8/12))</f>
        <v>0</v>
      </c>
      <c r="O37" s="46">
        <f t="array" ref="O37">SUM(IF(Calculations!$S$4:$S$8&lt;&gt;0,IFERROR(IF(MOD(MONTH(Output!O32)-MONTH(Calculations!$B$4:$B$8),12)&lt;=Calculations!$T$4:$T$8,Calculations!$Z$4:$Z$8/(Calculations!$T$4:$T$8+1),0),0)+IFERROR(IF(MOD(MONTH(Output!O32)-MONTH(Calculations!$E$4:$E$8),12)&lt;=Calculations!$T$4:$T$8,Calculations!$Z$4:$Z$8/(Calculations!$T$4:$T$8+1),0),0),Calculations!$Z$4:$Z$8/12))</f>
        <v>0</v>
      </c>
      <c r="P37" s="46">
        <f t="array" ref="P37">SUM(IF(Calculations!$S$4:$S$8&lt;&gt;0,IFERROR(IF(MOD(MONTH(Output!P32)-MONTH(Calculations!$B$4:$B$8),12)&lt;=Calculations!$T$4:$T$8,Calculations!$Z$4:$Z$8/(Calculations!$T$4:$T$8+1),0),0)+IFERROR(IF(MOD(MONTH(Output!P32)-MONTH(Calculations!$E$4:$E$8),12)&lt;=Calculations!$T$4:$T$8,Calculations!$Z$4:$Z$8/(Calculations!$T$4:$T$8+1),0),0),Calculations!$Z$4:$Z$8/12))</f>
        <v>0</v>
      </c>
      <c r="Q37" s="46">
        <f t="array" ref="Q37">SUM(IF(Calculations!$S$4:$S$8&lt;&gt;0,IFERROR(IF(MOD(MONTH(Output!Q32)-MONTH(Calculations!$B$4:$B$8),12)&lt;=Calculations!$T$4:$T$8,Calculations!$Z$4:$Z$8/(Calculations!$T$4:$T$8+1),0),0)+IFERROR(IF(MOD(MONTH(Output!Q32)-MONTH(Calculations!$E$4:$E$8),12)&lt;=Calculations!$T$4:$T$8,Calculations!$Z$4:$Z$8/(Calculations!$T$4:$T$8+1),0),0),Calculations!$Z$4:$Z$8/12))</f>
        <v>0</v>
      </c>
      <c r="R37" s="46">
        <f t="array" ref="R37">SUM(IF(Calculations!$S$4:$S$8&lt;&gt;0,IFERROR(IF(MOD(MONTH(Output!R32)-MONTH(Calculations!$B$4:$B$8),12)&lt;=Calculations!$T$4:$T$8,Calculations!$Z$4:$Z$8/(Calculations!$T$4:$T$8+1),0),0)+IFERROR(IF(MOD(MONTH(Output!R32)-MONTH(Calculations!$E$4:$E$8),12)&lt;=Calculations!$T$4:$T$8,Calculations!$Z$4:$Z$8/(Calculations!$T$4:$T$8+1),0),0),Calculations!$Z$4:$Z$8/12))</f>
        <v>0</v>
      </c>
      <c r="S37" s="46">
        <f t="array" ref="S37">SUM(IF(Calculations!$S$4:$S$8&lt;&gt;0,IFERROR(IF(MOD(MONTH(Output!S32)-MONTH(Calculations!$B$4:$B$8),12)&lt;=Calculations!$T$4:$T$8,Calculations!$Z$4:$Z$8/(Calculations!$T$4:$T$8+1),0),0)+IFERROR(IF(MOD(MONTH(Output!S32)-MONTH(Calculations!$E$4:$E$8),12)&lt;=Calculations!$T$4:$T$8,Calculations!$Z$4:$Z$8/(Calculations!$T$4:$T$8+1),0),0),Calculations!$Z$4:$Z$8/12))</f>
        <v>0</v>
      </c>
      <c r="T37" s="46">
        <f t="array" ref="T37">SUM(IF(Calculations!$S$4:$S$8&lt;&gt;0,IFERROR(IF(MOD(MONTH(Output!T32)-MONTH(Calculations!$B$4:$B$8),12)&lt;=Calculations!$T$4:$T$8,Calculations!$Z$4:$Z$8/(Calculations!$T$4:$T$8+1),0),0)+IFERROR(IF(MOD(MONTH(Output!T32)-MONTH(Calculations!$E$4:$E$8),12)&lt;=Calculations!$T$4:$T$8,Calculations!$Z$4:$Z$8/(Calculations!$T$4:$T$8+1),0),0),Calculations!$Z$4:$Z$8/12))</f>
        <v>0</v>
      </c>
      <c r="U37" s="46">
        <f t="array" ref="U37">SUM(IF(Calculations!$S$4:$S$8&lt;&gt;0,IFERROR(IF(MOD(MONTH(Output!U32)-MONTH(Calculations!$B$4:$B$8),12)&lt;=Calculations!$T$4:$T$8,Calculations!$Z$4:$Z$8/(Calculations!$T$4:$T$8+1),0),0)+IFERROR(IF(MOD(MONTH(Output!U32)-MONTH(Calculations!$E$4:$E$8),12)&lt;=Calculations!$T$4:$T$8,Calculations!$Z$4:$Z$8/(Calculations!$T$4:$T$8+1),0),0),Calculations!$Z$4:$Z$8/12))</f>
        <v>0</v>
      </c>
      <c r="V37" s="46">
        <f t="array" ref="V37">SUM(IF(Calculations!$S$4:$S$8&lt;&gt;0,IFERROR(IF(MOD(MONTH(Output!V32)-MONTH(Calculations!$B$4:$B$8),12)&lt;=Calculations!$T$4:$T$8,Calculations!$Z$4:$Z$8/(Calculations!$T$4:$T$8+1),0),0)+IFERROR(IF(MOD(MONTH(Output!V32)-MONTH(Calculations!$E$4:$E$8),12)&lt;=Calculations!$T$4:$T$8,Calculations!$Z$4:$Z$8/(Calculations!$T$4:$T$8+1),0),0),Calculations!$Z$4:$Z$8/12))</f>
        <v>0</v>
      </c>
      <c r="W37" s="46">
        <f t="array" ref="W37">SUM(IF(Calculations!$S$4:$S$8&lt;&gt;0,IFERROR(IF(MOD(MONTH(Output!W32)-MONTH(Calculations!$B$4:$B$8),12)&lt;=Calculations!$T$4:$T$8,Calculations!$Z$4:$Z$8/(Calculations!$T$4:$T$8+1),0),0)+IFERROR(IF(MOD(MONTH(Output!W32)-MONTH(Calculations!$E$4:$E$8),12)&lt;=Calculations!$T$4:$T$8,Calculations!$Z$4:$Z$8/(Calculations!$T$4:$T$8+1),0),0),Calculations!$Z$4:$Z$8/12))</f>
        <v>0</v>
      </c>
      <c r="X37" s="46">
        <f t="array" ref="X37">SUM(IF(Calculations!$S$4:$S$8&lt;&gt;0,IFERROR(IF(MOD(MONTH(Output!X32)-MONTH(Calculations!$B$4:$B$8),12)&lt;=Calculations!$T$4:$T$8,Calculations!$Z$4:$Z$8/(Calculations!$T$4:$T$8+1),0),0)+IFERROR(IF(MOD(MONTH(Output!X32)-MONTH(Calculations!$E$4:$E$8),12)&lt;=Calculations!$T$4:$T$8,Calculations!$Z$4:$Z$8/(Calculations!$T$4:$T$8+1),0),0),Calculations!$Z$4:$Z$8/12))</f>
        <v>0</v>
      </c>
      <c r="Y37" s="46">
        <f t="array" ref="Y37">SUM(IF(Calculations!$S$4:$S$8&lt;&gt;0,IFERROR(IF(MOD(MONTH(Output!Y32)-MONTH(Calculations!$B$4:$B$8),12)&lt;=Calculations!$T$4:$T$8,Calculations!$Z$4:$Z$8/(Calculations!$T$4:$T$8+1),0),0)+IFERROR(IF(MOD(MONTH(Output!Y32)-MONTH(Calculations!$E$4:$E$8),12)&lt;=Calculations!$T$4:$T$8,Calculations!$Z$4:$Z$8/(Calculations!$T$4:$T$8+1),0),0),Calculations!$Z$4:$Z$8/12))</f>
        <v>0</v>
      </c>
      <c r="Z37" s="46" t="e">
        <f t="array" ref="Z37">SUM(IF($B$7:$Y$7+$B$8:$Y$8&gt;0,B37:Y37,0))</f>
        <v>#DIV/0!</v>
      </c>
      <c r="AA37" s="46">
        <f t="shared" si="57"/>
        <v>0</v>
      </c>
      <c r="AB37" s="46">
        <f t="shared" si="58"/>
        <v>0</v>
      </c>
    </row>
    <row r="38" spans="1:29" x14ac:dyDescent="0.25">
      <c r="A38" s="43" t="s">
        <v>136</v>
      </c>
      <c r="B38" s="36">
        <f t="shared" si="59"/>
        <v>0</v>
      </c>
      <c r="C38" s="36">
        <f t="shared" si="46"/>
        <v>0</v>
      </c>
      <c r="D38" s="36">
        <f t="shared" si="47"/>
        <v>0</v>
      </c>
      <c r="E38" s="36">
        <f t="shared" si="48"/>
        <v>0</v>
      </c>
      <c r="F38" s="36">
        <f t="shared" si="49"/>
        <v>0</v>
      </c>
      <c r="G38" s="36">
        <f t="shared" si="50"/>
        <v>0</v>
      </c>
      <c r="H38" s="36">
        <f t="shared" si="51"/>
        <v>0</v>
      </c>
      <c r="I38" s="36">
        <f t="shared" si="52"/>
        <v>0</v>
      </c>
      <c r="J38" s="36">
        <f t="shared" si="53"/>
        <v>0</v>
      </c>
      <c r="K38" s="36">
        <f t="shared" si="54"/>
        <v>0</v>
      </c>
      <c r="L38" s="36">
        <f t="shared" si="55"/>
        <v>0</v>
      </c>
      <c r="M38" s="36">
        <f t="shared" si="56"/>
        <v>0</v>
      </c>
      <c r="N38" s="46">
        <f t="array" ref="N38">SUM(IF(Calculations!$S$4:$S$8&lt;&gt;0,IFERROR(IF(MOD(MONTH(Output!N32)-MONTH(Calculations!$B$4:$B$8),12)&lt;=Calculations!$T$4:$T$8,Calculations!$AB$4:$AB$8/(Calculations!$T$4:$T$8+1),0),0)+IFERROR(IF(MOD(MONTH(Output!N32)-MONTH(Calculations!$E$4:$E$8),12)&lt;=Calculations!$T$4:$T$8,Calculations!$AB$4:$AB$8/(Calculations!$T$4:$T$8+1),0),0),Calculations!$AB$4:$AB$8/12)*(1-Inputs!$B$25/100))</f>
        <v>0</v>
      </c>
      <c r="O38" s="46">
        <f t="array" ref="O38">SUM(IF(Calculations!$S$4:$S$8&lt;&gt;0,IFERROR(IF(MOD(MONTH(Output!O32)-MONTH(Calculations!$B$4:$B$8),12)&lt;=Calculations!$T$4:$T$8,Calculations!$AB$4:$AB$8/(Calculations!$T$4:$T$8+1),0),0)+IFERROR(IF(MOD(MONTH(Output!O32)-MONTH(Calculations!$E$4:$E$8),12)&lt;=Calculations!$T$4:$T$8,Calculations!$AB$4:$AB$8/(Calculations!$T$4:$T$8+1),0),0),Calculations!$AB$4:$AB$8/12)*(1-Inputs!$B$25/100))</f>
        <v>0</v>
      </c>
      <c r="P38" s="46">
        <f t="array" ref="P38">SUM(IF(Calculations!$S$4:$S$8&lt;&gt;0,IFERROR(IF(MOD(MONTH(Output!P32)-MONTH(Calculations!$B$4:$B$8),12)&lt;=Calculations!$T$4:$T$8,Calculations!$AB$4:$AB$8/(Calculations!$T$4:$T$8+1),0),0)+IFERROR(IF(MOD(MONTH(Output!P32)-MONTH(Calculations!$E$4:$E$8),12)&lt;=Calculations!$T$4:$T$8,Calculations!$AB$4:$AB$8/(Calculations!$T$4:$T$8+1),0),0),Calculations!$AB$4:$AB$8/12)*(1-Inputs!$B$25/100))</f>
        <v>0</v>
      </c>
      <c r="Q38" s="46">
        <f t="array" ref="Q38">SUM(IF(Calculations!$S$4:$S$8&lt;&gt;0,IFERROR(IF(MOD(MONTH(Output!Q32)-MONTH(Calculations!$B$4:$B$8),12)&lt;=Calculations!$T$4:$T$8,Calculations!$AB$4:$AB$8/(Calculations!$T$4:$T$8+1),0),0)+IFERROR(IF(MOD(MONTH(Output!Q32)-MONTH(Calculations!$E$4:$E$8),12)&lt;=Calculations!$T$4:$T$8,Calculations!$AB$4:$AB$8/(Calculations!$T$4:$T$8+1),0),0),Calculations!$AB$4:$AB$8/12)*(1-Inputs!$B$25/100))</f>
        <v>0</v>
      </c>
      <c r="R38" s="46">
        <f t="array" ref="R38">SUM(IF(Calculations!$S$4:$S$8&lt;&gt;0,IFERROR(IF(MOD(MONTH(Output!R32)-MONTH(Calculations!$B$4:$B$8),12)&lt;=Calculations!$T$4:$T$8,Calculations!$AB$4:$AB$8/(Calculations!$T$4:$T$8+1),0),0)+IFERROR(IF(MOD(MONTH(Output!R32)-MONTH(Calculations!$E$4:$E$8),12)&lt;=Calculations!$T$4:$T$8,Calculations!$AB$4:$AB$8/(Calculations!$T$4:$T$8+1),0),0),Calculations!$AB$4:$AB$8/12)*(1-Inputs!$B$25/100))</f>
        <v>0</v>
      </c>
      <c r="S38" s="46">
        <f t="array" ref="S38">SUM(IF(Calculations!$S$4:$S$8&lt;&gt;0,IFERROR(IF(MOD(MONTH(Output!S32)-MONTH(Calculations!$B$4:$B$8),12)&lt;=Calculations!$T$4:$T$8,Calculations!$AB$4:$AB$8/(Calculations!$T$4:$T$8+1),0),0)+IFERROR(IF(MOD(MONTH(Output!S32)-MONTH(Calculations!$E$4:$E$8),12)&lt;=Calculations!$T$4:$T$8,Calculations!$AB$4:$AB$8/(Calculations!$T$4:$T$8+1),0),0),Calculations!$AB$4:$AB$8/12)*(1-Inputs!$B$25/100))</f>
        <v>0</v>
      </c>
      <c r="T38" s="46">
        <f t="array" ref="T38">SUM(IF(Calculations!$S$4:$S$8&lt;&gt;0,IFERROR(IF(MOD(MONTH(Output!T32)-MONTH(Calculations!$B$4:$B$8),12)&lt;=Calculations!$T$4:$T$8,Calculations!$AB$4:$AB$8/(Calculations!$T$4:$T$8+1),0),0)+IFERROR(IF(MOD(MONTH(Output!T32)-MONTH(Calculations!$E$4:$E$8),12)&lt;=Calculations!$T$4:$T$8,Calculations!$AB$4:$AB$8/(Calculations!$T$4:$T$8+1),0),0),Calculations!$AB$4:$AB$8/12)*(1-Inputs!$B$25/100))</f>
        <v>0</v>
      </c>
      <c r="U38" s="46">
        <f t="array" ref="U38">SUM(IF(Calculations!$S$4:$S$8&lt;&gt;0,IFERROR(IF(MOD(MONTH(Output!U32)-MONTH(Calculations!$B$4:$B$8),12)&lt;=Calculations!$T$4:$T$8,Calculations!$AB$4:$AB$8/(Calculations!$T$4:$T$8+1),0),0)+IFERROR(IF(MOD(MONTH(Output!U32)-MONTH(Calculations!$E$4:$E$8),12)&lt;=Calculations!$T$4:$T$8,Calculations!$AB$4:$AB$8/(Calculations!$T$4:$T$8+1),0),0),Calculations!$AB$4:$AB$8/12)*(1-Inputs!$B$25/100))</f>
        <v>0</v>
      </c>
      <c r="V38" s="46">
        <f t="array" ref="V38">SUM(IF(Calculations!$S$4:$S$8&lt;&gt;0,IFERROR(IF(MOD(MONTH(Output!V32)-MONTH(Calculations!$B$4:$B$8),12)&lt;=Calculations!$T$4:$T$8,Calculations!$AB$4:$AB$8/(Calculations!$T$4:$T$8+1),0),0)+IFERROR(IF(MOD(MONTH(Output!V32)-MONTH(Calculations!$E$4:$E$8),12)&lt;=Calculations!$T$4:$T$8,Calculations!$AB$4:$AB$8/(Calculations!$T$4:$T$8+1),0),0),Calculations!$AB$4:$AB$8/12)*(1-Inputs!$B$25/100))</f>
        <v>0</v>
      </c>
      <c r="W38" s="46">
        <f t="array" ref="W38">SUM(IF(Calculations!$S$4:$S$8&lt;&gt;0,IFERROR(IF(MOD(MONTH(Output!W32)-MONTH(Calculations!$B$4:$B$8),12)&lt;=Calculations!$T$4:$T$8,Calculations!$AB$4:$AB$8/(Calculations!$T$4:$T$8+1),0),0)+IFERROR(IF(MOD(MONTH(Output!W32)-MONTH(Calculations!$E$4:$E$8),12)&lt;=Calculations!$T$4:$T$8,Calculations!$AB$4:$AB$8/(Calculations!$T$4:$T$8+1),0),0),Calculations!$AB$4:$AB$8/12)*(1-Inputs!$B$25/100))</f>
        <v>0</v>
      </c>
      <c r="X38" s="46">
        <f t="array" ref="X38">SUM(IF(Calculations!$S$4:$S$8&lt;&gt;0,IFERROR(IF(MOD(MONTH(Output!X32)-MONTH(Calculations!$B$4:$B$8),12)&lt;=Calculations!$T$4:$T$8,Calculations!$AB$4:$AB$8/(Calculations!$T$4:$T$8+1),0),0)+IFERROR(IF(MOD(MONTH(Output!X32)-MONTH(Calculations!$E$4:$E$8),12)&lt;=Calculations!$T$4:$T$8,Calculations!$AB$4:$AB$8/(Calculations!$T$4:$T$8+1),0),0),Calculations!$AB$4:$AB$8/12)*(1-Inputs!$B$25/100))</f>
        <v>0</v>
      </c>
      <c r="Y38" s="46">
        <f t="array" ref="Y38">SUM(IF(Calculations!$S$4:$S$8&lt;&gt;0,IFERROR(IF(MOD(MONTH(Output!Y32)-MONTH(Calculations!$B$4:$B$8),12)&lt;=Calculations!$T$4:$T$8,Calculations!$AB$4:$AB$8/(Calculations!$T$4:$T$8+1),0),0)+IFERROR(IF(MOD(MONTH(Output!Y32)-MONTH(Calculations!$E$4:$E$8),12)&lt;=Calculations!$T$4:$T$8,Calculations!$AB$4:$AB$8/(Calculations!$T$4:$T$8+1),0),0),Calculations!$AB$4:$AB$8/12)*(1-Inputs!$B$25/100))</f>
        <v>0</v>
      </c>
      <c r="Z38" s="46" t="e">
        <f t="array" ref="Z38">SUM(IF($B$7:$Y$7+$B$8:$Y$8&gt;0,B38:Y38,0))</f>
        <v>#DIV/0!</v>
      </c>
      <c r="AA38" s="46">
        <f t="shared" si="57"/>
        <v>0</v>
      </c>
      <c r="AB38" s="46">
        <f t="shared" si="58"/>
        <v>0</v>
      </c>
    </row>
    <row r="39" spans="1:29" x14ac:dyDescent="0.25">
      <c r="A39" s="16" t="s">
        <v>321</v>
      </c>
      <c r="B39" s="46">
        <f>IF(Inputs!$B$40="No",IF(Inputs!$B$42=Parameters!$C$75,Inputs!$B$41/12,IF(INDEX(Parameters!$D$76:$D$87,MATCH(Inputs!$B$42,Parameters!$C$76:$C$87,0))=MONTH(Output!B32),Inputs!$B$41,0)),0)</f>
        <v>0</v>
      </c>
      <c r="C39" s="46">
        <f>IF(Inputs!$B$40="No",IF(Inputs!$B$42=Parameters!$C$75,Inputs!$B$41/12,IF(INDEX(Parameters!$D$76:$D$87,MATCH(Inputs!$B$42,Parameters!$C$76:$C$87,0))=MONTH(Output!C32),Inputs!$B$41,0)),0)</f>
        <v>0</v>
      </c>
      <c r="D39" s="46">
        <f>IF(Inputs!$B$40="No",IF(Inputs!$B$42=Parameters!$C$75,Inputs!$B$41/12,IF(INDEX(Parameters!$D$76:$D$87,MATCH(Inputs!$B$42,Parameters!$C$76:$C$87,0))=MONTH(Output!D32),Inputs!$B$41,0)),0)</f>
        <v>0</v>
      </c>
      <c r="E39" s="46">
        <f>IF(Inputs!$B$40="No",IF(Inputs!$B$42=Parameters!$C$75,Inputs!$B$41/12,IF(INDEX(Parameters!$D$76:$D$87,MATCH(Inputs!$B$42,Parameters!$C$76:$C$87,0))=MONTH(Output!E32),Inputs!$B$41,0)),0)</f>
        <v>0</v>
      </c>
      <c r="F39" s="46">
        <f>IF(Inputs!$B$40="No",IF(Inputs!$B$42=Parameters!$C$75,Inputs!$B$41/12,IF(INDEX(Parameters!$D$76:$D$87,MATCH(Inputs!$B$42,Parameters!$C$76:$C$87,0))=MONTH(Output!F32),Inputs!$B$41,0)),0)</f>
        <v>0</v>
      </c>
      <c r="G39" s="46">
        <f>IF(Inputs!$B$40="No",IF(Inputs!$B$42=Parameters!$C$75,Inputs!$B$41/12,IF(INDEX(Parameters!$D$76:$D$87,MATCH(Inputs!$B$42,Parameters!$C$76:$C$87,0))=MONTH(Output!G32),Inputs!$B$41,0)),0)</f>
        <v>0</v>
      </c>
      <c r="H39" s="46">
        <f>IF(Inputs!$B$40="No",IF(Inputs!$B$42=Parameters!$C$75,Inputs!$B$41/12,IF(INDEX(Parameters!$D$76:$D$87,MATCH(Inputs!$B$42,Parameters!$C$76:$C$87,0))=MONTH(Output!H32),Inputs!$B$41,0)),0)</f>
        <v>0</v>
      </c>
      <c r="I39" s="46">
        <f>IF(Inputs!$B$40="No",IF(Inputs!$B$42=Parameters!$C$75,Inputs!$B$41/12,IF(INDEX(Parameters!$D$76:$D$87,MATCH(Inputs!$B$42,Parameters!$C$76:$C$87,0))=MONTH(Output!I32),Inputs!$B$41,0)),0)</f>
        <v>0</v>
      </c>
      <c r="J39" s="46">
        <f>IF(Inputs!$B$40="No",IF(Inputs!$B$42=Parameters!$C$75,Inputs!$B$41/12,IF(INDEX(Parameters!$D$76:$D$87,MATCH(Inputs!$B$42,Parameters!$C$76:$C$87,0))=MONTH(Output!J32),Inputs!$B$41,0)),0)</f>
        <v>0</v>
      </c>
      <c r="K39" s="46">
        <f>IF(Inputs!$B$40="No",IF(Inputs!$B$42=Parameters!$C$75,Inputs!$B$41/12,IF(INDEX(Parameters!$D$76:$D$87,MATCH(Inputs!$B$42,Parameters!$C$76:$C$87,0))=MONTH(Output!K32),Inputs!$B$41,0)),0)</f>
        <v>0</v>
      </c>
      <c r="L39" s="46">
        <f>IF(Inputs!$B$40="No",IF(Inputs!$B$42=Parameters!$C$75,Inputs!$B$41/12,IF(INDEX(Parameters!$D$76:$D$87,MATCH(Inputs!$B$42,Parameters!$C$76:$C$87,0))=MONTH(Output!L32),Inputs!$B$41,0)),0)</f>
        <v>0</v>
      </c>
      <c r="M39" s="46">
        <f>IF(Inputs!$B$40="No",IF(Inputs!$B$42=Parameters!$C$75,Inputs!$B$41/12,IF(INDEX(Parameters!$D$76:$D$87,MATCH(Inputs!$B$42,Parameters!$C$76:$C$87,0))=MONTH(Output!M32),Inputs!$B$41,0)),0)</f>
        <v>0</v>
      </c>
      <c r="N39" s="46">
        <f>IF(Inputs!$B$40="No",IF(Inputs!$B$42=Parameters!$C$75,Inputs!$B$41/12,IF(INDEX(Parameters!$D$76:$D$87,MATCH(Inputs!$B$42,Parameters!$C$76:$C$87,0))=MONTH(Output!N32),Inputs!$B$41,0)),0)</f>
        <v>0</v>
      </c>
      <c r="O39" s="46">
        <f>IF(Inputs!$B$40="No",IF(Inputs!$B$42=Parameters!$C$75,Inputs!$B$41/12,IF(INDEX(Parameters!$D$76:$D$87,MATCH(Inputs!$B$42,Parameters!$C$76:$C$87,0))=MONTH(Output!O32),Inputs!$B$41,0)),0)</f>
        <v>0</v>
      </c>
      <c r="P39" s="46">
        <f>IF(Inputs!$B$40="No",IF(Inputs!$B$42=Parameters!$C$75,Inputs!$B$41/12,IF(INDEX(Parameters!$D$76:$D$87,MATCH(Inputs!$B$42,Parameters!$C$76:$C$87,0))=MONTH(Output!P32),Inputs!$B$41,0)),0)</f>
        <v>0</v>
      </c>
      <c r="Q39" s="46">
        <f>IF(Inputs!$B$40="No",IF(Inputs!$B$42=Parameters!$C$75,Inputs!$B$41/12,IF(INDEX(Parameters!$D$76:$D$87,MATCH(Inputs!$B$42,Parameters!$C$76:$C$87,0))=MONTH(Output!Q32),Inputs!$B$41,0)),0)</f>
        <v>0</v>
      </c>
      <c r="R39" s="46">
        <f>IF(Inputs!$B$40="No",IF(Inputs!$B$42=Parameters!$C$75,Inputs!$B$41/12,IF(INDEX(Parameters!$D$76:$D$87,MATCH(Inputs!$B$42,Parameters!$C$76:$C$87,0))=MONTH(Output!R32),Inputs!$B$41,0)),0)</f>
        <v>0</v>
      </c>
      <c r="S39" s="46">
        <f>IF(Inputs!$B$40="No",IF(Inputs!$B$42=Parameters!$C$75,Inputs!$B$41/12,IF(INDEX(Parameters!$D$76:$D$87,MATCH(Inputs!$B$42,Parameters!$C$76:$C$87,0))=MONTH(Output!S32),Inputs!$B$41,0)),0)</f>
        <v>0</v>
      </c>
      <c r="T39" s="46">
        <f>IF(Inputs!$B$40="No",IF(Inputs!$B$42=Parameters!$C$75,Inputs!$B$41/12,IF(INDEX(Parameters!$D$76:$D$87,MATCH(Inputs!$B$42,Parameters!$C$76:$C$87,0))=MONTH(Output!T32),Inputs!$B$41,0)),0)</f>
        <v>0</v>
      </c>
      <c r="U39" s="46">
        <f>IF(Inputs!$B$40="No",IF(Inputs!$B$42=Parameters!$C$75,Inputs!$B$41/12,IF(INDEX(Parameters!$D$76:$D$87,MATCH(Inputs!$B$42,Parameters!$C$76:$C$87,0))=MONTH(Output!U32),Inputs!$B$41,0)),0)</f>
        <v>0</v>
      </c>
      <c r="V39" s="46">
        <f>IF(Inputs!$B$40="No",IF(Inputs!$B$42=Parameters!$C$75,Inputs!$B$41/12,IF(INDEX(Parameters!$D$76:$D$87,MATCH(Inputs!$B$42,Parameters!$C$76:$C$87,0))=MONTH(Output!V32),Inputs!$B$41,0)),0)</f>
        <v>0</v>
      </c>
      <c r="W39" s="46">
        <f>IF(Inputs!$B$40="No",IF(Inputs!$B$42=Parameters!$C$75,Inputs!$B$41/12,IF(INDEX(Parameters!$D$76:$D$87,MATCH(Inputs!$B$42,Parameters!$C$76:$C$87,0))=MONTH(Output!W32),Inputs!$B$41,0)),0)</f>
        <v>0</v>
      </c>
      <c r="X39" s="46">
        <f>IF(Inputs!$B$40="No",IF(Inputs!$B$42=Parameters!$C$75,Inputs!$B$41/12,IF(INDEX(Parameters!$D$76:$D$87,MATCH(Inputs!$B$42,Parameters!$C$76:$C$87,0))=MONTH(Output!X32),Inputs!$B$41,0)),0)</f>
        <v>0</v>
      </c>
      <c r="Y39" s="46">
        <f>IF(Inputs!$B$40="No",IF(Inputs!$B$42=Parameters!$C$75,Inputs!$B$41/12,IF(INDEX(Parameters!$D$76:$D$87,MATCH(Inputs!$B$42,Parameters!$C$76:$C$87,0))=MONTH(Output!Y32),Inputs!$B$41,0)),0)</f>
        <v>0</v>
      </c>
      <c r="Z39" s="46" t="e">
        <f t="array" ref="Z39">SUM(IF($B$7:$Y$7+$B$8:$Y$8&gt;0,B39:Y39,0))</f>
        <v>#DIV/0!</v>
      </c>
      <c r="AA39" s="46">
        <f t="shared" ref="AA39" si="60">SUM(B39:M39)</f>
        <v>0</v>
      </c>
      <c r="AB39" s="46">
        <f t="shared" si="58"/>
        <v>0</v>
      </c>
    </row>
    <row r="40" spans="1:29" ht="5.25" customHeight="1" x14ac:dyDescent="0.25">
      <c r="A40" s="43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 t="e">
        <f t="array" ref="Z40">SUM(IF($B$7:$S$7+$B$8:$S$8&gt;0,B40:S40,0))</f>
        <v>#DIV/0!</v>
      </c>
      <c r="AA40" s="46"/>
      <c r="AB40" s="46"/>
    </row>
    <row r="41" spans="1:29" x14ac:dyDescent="0.25">
      <c r="A41" s="16" t="s">
        <v>137</v>
      </c>
      <c r="B41" s="46">
        <f>SUM(Calculations!$Q$14:$Q$16)/12</f>
        <v>0</v>
      </c>
      <c r="C41" s="46">
        <f>SUM(Calculations!$Q$14:$Q$16)/12</f>
        <v>0</v>
      </c>
      <c r="D41" s="46">
        <f>SUM(Calculations!$Q$14:$Q$16)/12</f>
        <v>0</v>
      </c>
      <c r="E41" s="46">
        <f>SUM(Calculations!$Q$14:$Q$16)/12</f>
        <v>0</v>
      </c>
      <c r="F41" s="46">
        <f>SUM(Calculations!$Q$14:$Q$16)/12</f>
        <v>0</v>
      </c>
      <c r="G41" s="46">
        <f>SUM(Calculations!$Q$14:$Q$16)/12</f>
        <v>0</v>
      </c>
      <c r="H41" s="46">
        <f>SUM(Calculations!$Q$14:$Q$16)/12</f>
        <v>0</v>
      </c>
      <c r="I41" s="46">
        <f>SUM(Calculations!$Q$14:$Q$16)/12</f>
        <v>0</v>
      </c>
      <c r="J41" s="46">
        <f>SUM(Calculations!$Q$14:$Q$16)/12</f>
        <v>0</v>
      </c>
      <c r="K41" s="46">
        <f>SUM(Calculations!$Q$14:$Q$16)/12</f>
        <v>0</v>
      </c>
      <c r="L41" s="46">
        <f>SUM(Calculations!$Q$14:$Q$16)/12</f>
        <v>0</v>
      </c>
      <c r="M41" s="46">
        <f>SUM(Calculations!$Q$14:$Q$16)/12</f>
        <v>0</v>
      </c>
      <c r="N41" s="46">
        <f>SUM(Calculations!$Q$14:$Q$16)/12</f>
        <v>0</v>
      </c>
      <c r="O41" s="46">
        <f>SUM(Calculations!$Q$14:$Q$16)/12</f>
        <v>0</v>
      </c>
      <c r="P41" s="46">
        <f>SUM(Calculations!$Q$14:$Q$16)/12</f>
        <v>0</v>
      </c>
      <c r="Q41" s="46">
        <f>SUM(Calculations!$Q$14:$Q$16)/12</f>
        <v>0</v>
      </c>
      <c r="R41" s="46">
        <f>SUM(Calculations!$Q$14:$Q$16)/12</f>
        <v>0</v>
      </c>
      <c r="S41" s="46">
        <f>SUM(Calculations!$Q$14:$Q$16)/12</f>
        <v>0</v>
      </c>
      <c r="T41" s="46">
        <f>SUM(Calculations!$Q$14:$Q$16)/12</f>
        <v>0</v>
      </c>
      <c r="U41" s="46">
        <f>SUM(Calculations!$Q$14:$Q$16)/12</f>
        <v>0</v>
      </c>
      <c r="V41" s="46">
        <f>SUM(Calculations!$Q$14:$Q$16)/12</f>
        <v>0</v>
      </c>
      <c r="W41" s="46">
        <f>SUM(Calculations!$Q$14:$Q$16)/12</f>
        <v>0</v>
      </c>
      <c r="X41" s="46">
        <f>SUM(Calculations!$Q$14:$Q$16)/12</f>
        <v>0</v>
      </c>
      <c r="Y41" s="46">
        <f>SUM(Calculations!$Q$14:$Q$16)/12</f>
        <v>0</v>
      </c>
      <c r="Z41" s="46" t="e">
        <f t="array" ref="Z41">SUM(IF($B$7:$Y$7+$B$8:$Y$8&gt;0,B41:Y41,0))</f>
        <v>#DIV/0!</v>
      </c>
      <c r="AA41" s="46">
        <f t="shared" ref="AA41:AA44" si="61">SUM(B41:M41)</f>
        <v>0</v>
      </c>
      <c r="AB41" s="46">
        <f t="shared" ref="AB41:AB44" si="62">SUM(B41:Y41)</f>
        <v>0</v>
      </c>
    </row>
    <row r="42" spans="1:29" x14ac:dyDescent="0.25">
      <c r="A42" s="16" t="s">
        <v>141</v>
      </c>
      <c r="B42" s="46">
        <f>SUM(Calculations!$R$14:$R$16)/12</f>
        <v>0</v>
      </c>
      <c r="C42" s="46">
        <f>SUM(Calculations!$R$14:$R$16)/12</f>
        <v>0</v>
      </c>
      <c r="D42" s="46">
        <f>SUM(Calculations!$R$14:$R$16)/12</f>
        <v>0</v>
      </c>
      <c r="E42" s="46">
        <f>SUM(Calculations!$R$14:$R$16)/12</f>
        <v>0</v>
      </c>
      <c r="F42" s="46">
        <f>SUM(Calculations!$R$14:$R$16)/12</f>
        <v>0</v>
      </c>
      <c r="G42" s="46">
        <f>SUM(Calculations!$R$14:$R$16)/12</f>
        <v>0</v>
      </c>
      <c r="H42" s="46">
        <f>SUM(Calculations!$R$14:$R$16)/12</f>
        <v>0</v>
      </c>
      <c r="I42" s="46">
        <f>SUM(Calculations!$R$14:$R$16)/12</f>
        <v>0</v>
      </c>
      <c r="J42" s="46">
        <f>SUM(Calculations!$R$14:$R$16)/12</f>
        <v>0</v>
      </c>
      <c r="K42" s="46">
        <f>SUM(Calculations!$R$14:$R$16)/12</f>
        <v>0</v>
      </c>
      <c r="L42" s="46">
        <f>SUM(Calculations!$R$14:$R$16)/12</f>
        <v>0</v>
      </c>
      <c r="M42" s="46">
        <f>SUM(Calculations!$R$14:$R$16)/12</f>
        <v>0</v>
      </c>
      <c r="N42" s="46">
        <f>SUM(Calculations!$R$14:$R$16)/12</f>
        <v>0</v>
      </c>
      <c r="O42" s="46">
        <f>SUM(Calculations!$R$14:$R$16)/12</f>
        <v>0</v>
      </c>
      <c r="P42" s="46">
        <f>SUM(Calculations!$R$14:$R$16)/12</f>
        <v>0</v>
      </c>
      <c r="Q42" s="46">
        <f>SUM(Calculations!$R$14:$R$16)/12</f>
        <v>0</v>
      </c>
      <c r="R42" s="46">
        <f>SUM(Calculations!$R$14:$R$16)/12</f>
        <v>0</v>
      </c>
      <c r="S42" s="46">
        <f>SUM(Calculations!$R$14:$R$16)/12</f>
        <v>0</v>
      </c>
      <c r="T42" s="46">
        <f>SUM(Calculations!$R$14:$R$16)/12</f>
        <v>0</v>
      </c>
      <c r="U42" s="46">
        <f>SUM(Calculations!$R$14:$R$16)/12</f>
        <v>0</v>
      </c>
      <c r="V42" s="46">
        <f>SUM(Calculations!$R$14:$R$16)/12</f>
        <v>0</v>
      </c>
      <c r="W42" s="46">
        <f>SUM(Calculations!$R$14:$R$16)/12</f>
        <v>0</v>
      </c>
      <c r="X42" s="46">
        <f>SUM(Calculations!$R$14:$R$16)/12</f>
        <v>0</v>
      </c>
      <c r="Y42" s="46">
        <f>SUM(Calculations!$R$14:$R$16)/12</f>
        <v>0</v>
      </c>
      <c r="Z42" s="46" t="e">
        <f t="array" ref="Z42">SUM(IF($B$7:$Y$7+$B$8:$Y$8&gt;0,B42:Y42,0))</f>
        <v>#DIV/0!</v>
      </c>
      <c r="AA42" s="46">
        <f t="shared" si="61"/>
        <v>0</v>
      </c>
      <c r="AB42" s="46">
        <f t="shared" si="62"/>
        <v>0</v>
      </c>
    </row>
    <row r="43" spans="1:29" x14ac:dyDescent="0.25">
      <c r="A43" s="16" t="s">
        <v>142</v>
      </c>
      <c r="B43" s="46">
        <f>SUM(Calculations!$S$14:$S$16)/12</f>
        <v>0</v>
      </c>
      <c r="C43" s="46">
        <f>SUM(Calculations!$S$14:$S$16)/12</f>
        <v>0</v>
      </c>
      <c r="D43" s="46">
        <f>SUM(Calculations!$S$14:$S$16)/12</f>
        <v>0</v>
      </c>
      <c r="E43" s="46">
        <f>SUM(Calculations!$S$14:$S$16)/12</f>
        <v>0</v>
      </c>
      <c r="F43" s="46">
        <f>SUM(Calculations!$S$14:$S$16)/12</f>
        <v>0</v>
      </c>
      <c r="G43" s="46">
        <f>SUM(Calculations!$S$14:$S$16)/12</f>
        <v>0</v>
      </c>
      <c r="H43" s="46">
        <f>SUM(Calculations!$S$14:$S$16)/12</f>
        <v>0</v>
      </c>
      <c r="I43" s="46">
        <f>SUM(Calculations!$S$14:$S$16)/12</f>
        <v>0</v>
      </c>
      <c r="J43" s="46">
        <f>SUM(Calculations!$S$14:$S$16)/12</f>
        <v>0</v>
      </c>
      <c r="K43" s="46">
        <f>SUM(Calculations!$S$14:$S$16)/12</f>
        <v>0</v>
      </c>
      <c r="L43" s="46">
        <f>SUM(Calculations!$S$14:$S$16)/12</f>
        <v>0</v>
      </c>
      <c r="M43" s="46">
        <f>SUM(Calculations!$S$14:$S$16)/12</f>
        <v>0</v>
      </c>
      <c r="N43" s="46">
        <f>SUM(Calculations!$S$14:$S$16)/12</f>
        <v>0</v>
      </c>
      <c r="O43" s="46">
        <f>SUM(Calculations!$S$14:$S$16)/12</f>
        <v>0</v>
      </c>
      <c r="P43" s="46">
        <f>SUM(Calculations!$S$14:$S$16)/12</f>
        <v>0</v>
      </c>
      <c r="Q43" s="46">
        <f>SUM(Calculations!$S$14:$S$16)/12</f>
        <v>0</v>
      </c>
      <c r="R43" s="46">
        <f>SUM(Calculations!$S$14:$S$16)/12</f>
        <v>0</v>
      </c>
      <c r="S43" s="46">
        <f>SUM(Calculations!$S$14:$S$16)/12</f>
        <v>0</v>
      </c>
      <c r="T43" s="46">
        <f>SUM(Calculations!$S$14:$S$16)/12</f>
        <v>0</v>
      </c>
      <c r="U43" s="46">
        <f>SUM(Calculations!$S$14:$S$16)/12</f>
        <v>0</v>
      </c>
      <c r="V43" s="46">
        <f>SUM(Calculations!$S$14:$S$16)/12</f>
        <v>0</v>
      </c>
      <c r="W43" s="46">
        <f>SUM(Calculations!$S$14:$S$16)/12</f>
        <v>0</v>
      </c>
      <c r="X43" s="46">
        <f>SUM(Calculations!$S$14:$S$16)/12</f>
        <v>0</v>
      </c>
      <c r="Y43" s="46">
        <f>SUM(Calculations!$S$14:$S$16)/12</f>
        <v>0</v>
      </c>
      <c r="Z43" s="46" t="e">
        <f t="array" ref="Z43">SUM(IF($B$7:$Y$7+$B$8:$Y$8&gt;0,B43:Y43,0))</f>
        <v>#DIV/0!</v>
      </c>
      <c r="AA43" s="46">
        <f t="shared" si="61"/>
        <v>0</v>
      </c>
      <c r="AB43" s="46">
        <f t="shared" si="62"/>
        <v>0</v>
      </c>
    </row>
    <row r="44" spans="1:29" x14ac:dyDescent="0.25">
      <c r="A44" s="16" t="s">
        <v>143</v>
      </c>
      <c r="B44" s="46">
        <f>SUM(Inputs!$H$19:$H$21)</f>
        <v>0</v>
      </c>
      <c r="C44" s="46">
        <f>SUM(Inputs!$H$19:$H$21)</f>
        <v>0</v>
      </c>
      <c r="D44" s="46">
        <f>SUM(Inputs!$H$19:$H$21)</f>
        <v>0</v>
      </c>
      <c r="E44" s="46">
        <f>SUM(Inputs!$H$19:$H$21)</f>
        <v>0</v>
      </c>
      <c r="F44" s="46">
        <f>SUM(Inputs!$H$19:$H$21)</f>
        <v>0</v>
      </c>
      <c r="G44" s="46">
        <f>SUM(Inputs!$H$19:$H$21)</f>
        <v>0</v>
      </c>
      <c r="H44" s="46">
        <f>SUM(Inputs!$H$19:$H$21)</f>
        <v>0</v>
      </c>
      <c r="I44" s="46">
        <f>SUM(Inputs!$H$19:$H$21)</f>
        <v>0</v>
      </c>
      <c r="J44" s="46">
        <f>SUM(Inputs!$H$19:$H$21)</f>
        <v>0</v>
      </c>
      <c r="K44" s="46">
        <f>SUM(Inputs!$H$19:$H$21)</f>
        <v>0</v>
      </c>
      <c r="L44" s="46">
        <f>SUM(Inputs!$H$19:$H$21)</f>
        <v>0</v>
      </c>
      <c r="M44" s="46">
        <f>SUM(Inputs!$H$19:$H$21)</f>
        <v>0</v>
      </c>
      <c r="N44" s="46">
        <f>SUM(Inputs!$H$19:$H$21)</f>
        <v>0</v>
      </c>
      <c r="O44" s="46">
        <f>SUM(Inputs!$H$19:$H$21)</f>
        <v>0</v>
      </c>
      <c r="P44" s="46">
        <f>SUM(Inputs!$H$19:$H$21)</f>
        <v>0</v>
      </c>
      <c r="Q44" s="46">
        <f>SUM(Inputs!$H$19:$H$21)</f>
        <v>0</v>
      </c>
      <c r="R44" s="46">
        <f>SUM(Inputs!$H$19:$H$21)</f>
        <v>0</v>
      </c>
      <c r="S44" s="46">
        <f>SUM(Inputs!$H$19:$H$21)</f>
        <v>0</v>
      </c>
      <c r="T44" s="46">
        <f>SUM(Inputs!$H$19:$H$21)</f>
        <v>0</v>
      </c>
      <c r="U44" s="46">
        <f>SUM(Inputs!$H$19:$H$21)</f>
        <v>0</v>
      </c>
      <c r="V44" s="46">
        <f>SUM(Inputs!$H$19:$H$21)</f>
        <v>0</v>
      </c>
      <c r="W44" s="46">
        <f>SUM(Inputs!$H$19:$H$21)</f>
        <v>0</v>
      </c>
      <c r="X44" s="46">
        <f>SUM(Inputs!$H$19:$H$21)</f>
        <v>0</v>
      </c>
      <c r="Y44" s="46">
        <f>SUM(Inputs!$H$19:$H$21)</f>
        <v>0</v>
      </c>
      <c r="Z44" s="46" t="e">
        <f t="array" ref="Z44">SUM(IF($B$7:$Y$7+$B$8:$Y$8&gt;0,B44:Y44,0))</f>
        <v>#DIV/0!</v>
      </c>
      <c r="AA44" s="46">
        <f t="shared" si="61"/>
        <v>0</v>
      </c>
      <c r="AB44" s="46">
        <f t="shared" si="62"/>
        <v>0</v>
      </c>
    </row>
    <row r="45" spans="1:29" ht="5.25" customHeight="1" x14ac:dyDescent="0.25">
      <c r="A45" s="1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 t="e">
        <f t="array" ref="Z45">SUM(IF($B$7:$Y$7+$B$8:$Y$8&gt;0,B45:Y45,0))</f>
        <v>#DIV/0!</v>
      </c>
      <c r="AA45" s="46"/>
      <c r="AB45" s="46"/>
    </row>
    <row r="46" spans="1:29" x14ac:dyDescent="0.25">
      <c r="A46" s="43" t="s">
        <v>68</v>
      </c>
      <c r="B46" s="46">
        <f>Inputs!$B$31</f>
        <v>0</v>
      </c>
      <c r="C46" s="46">
        <f>Inputs!$B$31</f>
        <v>0</v>
      </c>
      <c r="D46" s="46">
        <f>Inputs!$B$31</f>
        <v>0</v>
      </c>
      <c r="E46" s="46">
        <f>Inputs!$B$31</f>
        <v>0</v>
      </c>
      <c r="F46" s="46">
        <f>Inputs!$B$31</f>
        <v>0</v>
      </c>
      <c r="G46" s="46">
        <f>Inputs!$B$31</f>
        <v>0</v>
      </c>
      <c r="H46" s="46">
        <f>Inputs!$B$31</f>
        <v>0</v>
      </c>
      <c r="I46" s="46">
        <f>Inputs!$B$31</f>
        <v>0</v>
      </c>
      <c r="J46" s="46">
        <f>Inputs!$B$31</f>
        <v>0</v>
      </c>
      <c r="K46" s="46">
        <f>Inputs!$B$31</f>
        <v>0</v>
      </c>
      <c r="L46" s="46">
        <f>Inputs!$B$31</f>
        <v>0</v>
      </c>
      <c r="M46" s="46">
        <f>Inputs!$B$31</f>
        <v>0</v>
      </c>
      <c r="N46" s="46">
        <f>Inputs!$B$31</f>
        <v>0</v>
      </c>
      <c r="O46" s="46">
        <f>Inputs!$B$31</f>
        <v>0</v>
      </c>
      <c r="P46" s="46">
        <f>Inputs!$B$31</f>
        <v>0</v>
      </c>
      <c r="Q46" s="46">
        <f>Inputs!$B$31</f>
        <v>0</v>
      </c>
      <c r="R46" s="46">
        <f>Inputs!$B$31</f>
        <v>0</v>
      </c>
      <c r="S46" s="46">
        <f>Inputs!$B$31</f>
        <v>0</v>
      </c>
      <c r="T46" s="46">
        <f>Inputs!$B$31</f>
        <v>0</v>
      </c>
      <c r="U46" s="46">
        <f>Inputs!$B$31</f>
        <v>0</v>
      </c>
      <c r="V46" s="46">
        <f>Inputs!$B$31</f>
        <v>0</v>
      </c>
      <c r="W46" s="46">
        <f>Inputs!$B$31</f>
        <v>0</v>
      </c>
      <c r="X46" s="46">
        <f>Inputs!$B$31</f>
        <v>0</v>
      </c>
      <c r="Y46" s="46">
        <f>Inputs!$B$31</f>
        <v>0</v>
      </c>
      <c r="Z46" s="46" t="e">
        <f t="array" ref="Z46">SUM(IF($B$7:$Y$7+$B$8:$Y$8&gt;0,B46:Y46,0))</f>
        <v>#DIV/0!</v>
      </c>
      <c r="AA46" s="46">
        <f t="shared" ref="AA46:AA50" si="63">SUM(B46:M46)</f>
        <v>0</v>
      </c>
      <c r="AB46" s="46">
        <f t="shared" ref="AB46:AB50" si="64">SUM(B46:Y46)</f>
        <v>0</v>
      </c>
    </row>
    <row r="47" spans="1:29" x14ac:dyDescent="0.25">
      <c r="A47" s="16" t="s">
        <v>69</v>
      </c>
      <c r="B47" s="46">
        <f>SUMIF(Inputs!$D$35:$D$36,MONTH(Output!B32),Inputs!$B$35:$B$36)</f>
        <v>0</v>
      </c>
      <c r="C47" s="46">
        <f>SUMIF(Inputs!$D$35:$D$36,MONTH(Output!C32),Inputs!$B$35:$B$36)</f>
        <v>0</v>
      </c>
      <c r="D47" s="46">
        <f>SUMIF(Inputs!$D$35:$D$36,MONTH(Output!D32),Inputs!$B$35:$B$36)</f>
        <v>0</v>
      </c>
      <c r="E47" s="46">
        <f>SUMIF(Inputs!$D$35:$D$36,MONTH(Output!E32),Inputs!$B$35:$B$36)</f>
        <v>0</v>
      </c>
      <c r="F47" s="46">
        <f>SUMIF(Inputs!$D$35:$D$36,MONTH(Output!F32),Inputs!$B$35:$B$36)</f>
        <v>0</v>
      </c>
      <c r="G47" s="46">
        <f>SUMIF(Inputs!$D$35:$D$36,MONTH(Output!G32),Inputs!$B$35:$B$36)</f>
        <v>0</v>
      </c>
      <c r="H47" s="46">
        <f>SUMIF(Inputs!$D$35:$D$36,MONTH(Output!H32),Inputs!$B$35:$B$36)</f>
        <v>0</v>
      </c>
      <c r="I47" s="46">
        <f>SUMIF(Inputs!$D$35:$D$36,MONTH(Output!I32),Inputs!$B$35:$B$36)</f>
        <v>0</v>
      </c>
      <c r="J47" s="46">
        <f>SUMIF(Inputs!$D$35:$D$36,MONTH(Output!J32),Inputs!$B$35:$B$36)</f>
        <v>0</v>
      </c>
      <c r="K47" s="46">
        <f>SUMIF(Inputs!$D$35:$D$36,MONTH(Output!K32),Inputs!$B$35:$B$36)</f>
        <v>0</v>
      </c>
      <c r="L47" s="46">
        <f>SUMIF(Inputs!$D$35:$D$36,MONTH(Output!L32),Inputs!$B$35:$B$36)</f>
        <v>0</v>
      </c>
      <c r="M47" s="46">
        <f>SUMIF(Inputs!$D$35:$D$36,MONTH(Output!M32),Inputs!$B$35:$B$36)</f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46" t="e">
        <f t="array" ref="Z47">SUM(IF($B$7:$Y$7+$B$8:$Y$8&gt;0,B47:Y47,0))</f>
        <v>#DIV/0!</v>
      </c>
      <c r="AA47" s="46">
        <f t="shared" si="63"/>
        <v>0</v>
      </c>
      <c r="AB47" s="46">
        <f t="shared" si="64"/>
        <v>0</v>
      </c>
    </row>
    <row r="48" spans="1:29" x14ac:dyDescent="0.25">
      <c r="A48" s="43" t="s">
        <v>151</v>
      </c>
      <c r="B48" s="46">
        <f>(SUM($AA$15:$AA$26)-SUM($AA$33:$AA$46))*Parameters!$B$37/12</f>
        <v>0</v>
      </c>
      <c r="C48" s="46">
        <f>(SUM($AA$15:$AA$26)-SUM($AA$33:$AA$46))*Parameters!$B$37/12</f>
        <v>0</v>
      </c>
      <c r="D48" s="46">
        <f>(SUM($AA$15:$AA$26)-SUM($AA$33:$AA$46))*Parameters!$B$37/12</f>
        <v>0</v>
      </c>
      <c r="E48" s="46">
        <f>(SUM($AA$15:$AA$26)-SUM($AA$33:$AA$46))*Parameters!$B$37/12</f>
        <v>0</v>
      </c>
      <c r="F48" s="46">
        <f>(SUM($AA$15:$AA$26)-SUM($AA$33:$AA$46))*Parameters!$B$37/12</f>
        <v>0</v>
      </c>
      <c r="G48" s="46">
        <f>(SUM($AA$15:$AA$26)-SUM($AA$33:$AA$46))*Parameters!$B$37/12</f>
        <v>0</v>
      </c>
      <c r="H48" s="46">
        <f>(SUM($AA$15:$AA$26)-SUM($AA$33:$AA$46))*Parameters!$B$37/12</f>
        <v>0</v>
      </c>
      <c r="I48" s="46">
        <f>(SUM($AA$15:$AA$26)-SUM($AA$33:$AA$46))*Parameters!$B$37/12</f>
        <v>0</v>
      </c>
      <c r="J48" s="46">
        <f>(SUM($AA$15:$AA$26)-SUM($AA$33:$AA$46))*Parameters!$B$37/12</f>
        <v>0</v>
      </c>
      <c r="K48" s="46">
        <f>(SUM($AA$15:$AA$26)-SUM($AA$33:$AA$46))*Parameters!$B$37/12</f>
        <v>0</v>
      </c>
      <c r="L48" s="46">
        <f>(SUM($AA$15:$AA$26)-SUM($AA$33:$AA$46))*Parameters!$B$37/12</f>
        <v>0</v>
      </c>
      <c r="M48" s="46">
        <f>(SUM($AA$15:$AA$26)-SUM($AA$33:$AA$46))*Parameters!$B$37/12</f>
        <v>0</v>
      </c>
      <c r="N48" s="46">
        <f>(SUM($AA$15:$AA$26)-SUM($AA$33:$AA$46))*Parameters!$B$37/12</f>
        <v>0</v>
      </c>
      <c r="O48" s="46">
        <f>(SUM($AA$15:$AA$26)-SUM($AA$33:$AA$46))*Parameters!$B$37/12</f>
        <v>0</v>
      </c>
      <c r="P48" s="46">
        <f>(SUM($AA$15:$AA$26)-SUM($AA$33:$AA$46))*Parameters!$B$37/12</f>
        <v>0</v>
      </c>
      <c r="Q48" s="46">
        <f>(SUM($AA$15:$AA$26)-SUM($AA$33:$AA$46))*Parameters!$B$37/12</f>
        <v>0</v>
      </c>
      <c r="R48" s="46">
        <f>(SUM($AA$15:$AA$26)-SUM($AA$33:$AA$46))*Parameters!$B$37/12</f>
        <v>0</v>
      </c>
      <c r="S48" s="46">
        <f>(SUM($AA$15:$AA$26)-SUM($AA$33:$AA$46))*Parameters!$B$37/12</f>
        <v>0</v>
      </c>
      <c r="T48" s="46">
        <f>(SUM($AA$15:$AA$26)-SUM($AA$33:$AA$46))*Parameters!$B$37/12</f>
        <v>0</v>
      </c>
      <c r="U48" s="46">
        <f>(SUM($AA$15:$AA$26)-SUM($AA$33:$AA$46))*Parameters!$B$37/12</f>
        <v>0</v>
      </c>
      <c r="V48" s="46">
        <f>(SUM($AA$15:$AA$26)-SUM($AA$33:$AA$46))*Parameters!$B$37/12</f>
        <v>0</v>
      </c>
      <c r="W48" s="46">
        <f>(SUM($AA$15:$AA$26)-SUM($AA$33:$AA$46))*Parameters!$B$37/12</f>
        <v>0</v>
      </c>
      <c r="X48" s="46">
        <f>(SUM($AA$15:$AA$26)-SUM($AA$33:$AA$46))*Parameters!$B$37/12</f>
        <v>0</v>
      </c>
      <c r="Y48" s="46">
        <f>(SUM($AA$15:$AA$26)-SUM($AA$33:$AA$46))*Parameters!$B$37/12</f>
        <v>0</v>
      </c>
      <c r="Z48" s="46" t="e">
        <f t="array" ref="Z48">SUM(IF($B$7:$Y$7+$B$8:$Y$8&gt;0,B48:Y48,0))</f>
        <v>#DIV/0!</v>
      </c>
      <c r="AA48" s="46">
        <f t="shared" si="63"/>
        <v>0</v>
      </c>
      <c r="AB48" s="46">
        <f t="shared" si="64"/>
        <v>0</v>
      </c>
    </row>
    <row r="49" spans="1:30" ht="15.75" thickBot="1" x14ac:dyDescent="0.3">
      <c r="A49" s="85" t="s">
        <v>224</v>
      </c>
      <c r="B49" s="37">
        <f t="array" ref="B49">SUM(IF(Calculations!$E$23:$E$27&gt;COUNT(Output!$B$32:B32),Calculations!$B$23:$B$27,IF(Calculations!$E$23:$E$27=COUNT(Output!$B$32:B32),Inputs!$B$56:$B$60-Calculations!$C$23:$C$27*(Calculations!$E$23:$E$27-1)+Calculations!$D$23:$D$27)))</f>
        <v>0</v>
      </c>
      <c r="C49" s="37">
        <f t="array" ref="C49">SUM(IF(Calculations!$E$23:$E$27&gt;COUNT(Output!$B$32:C32),Calculations!$B$23:$B$27,IF(Calculations!$E$23:$E$27=COUNT(Output!$B$32:C32),Inputs!$B$56:$B$60-Calculations!$C$23:$C$27*(Calculations!$E$23:$E$27-1)+Calculations!$D$23:$D$27)))</f>
        <v>0</v>
      </c>
      <c r="D49" s="37">
        <f t="array" ref="D49">SUM(IF(Calculations!$E$23:$E$27&gt;COUNT(Output!$B$32:D32),Calculations!$B$23:$B$27,IF(Calculations!$E$23:$E$27=COUNT(Output!$B$32:D32),Inputs!$B$56:$B$60-Calculations!$C$23:$C$27*(Calculations!$E$23:$E$27-1)+Calculations!$D$23:$D$27)))</f>
        <v>0</v>
      </c>
      <c r="E49" s="37">
        <f t="array" ref="E49">SUM(IF(Calculations!$E$23:$E$27&gt;COUNT(Output!$B$32:E32),Calculations!$B$23:$B$27,IF(Calculations!$E$23:$E$27=COUNT(Output!$B$32:E32),Inputs!$B$56:$B$60-Calculations!$C$23:$C$27*(Calculations!$E$23:$E$27-1)+Calculations!$D$23:$D$27)))</f>
        <v>0</v>
      </c>
      <c r="F49" s="37">
        <f t="array" ref="F49">SUM(IF(Calculations!$E$23:$E$27&gt;COUNT(Output!$B$32:F32),Calculations!$B$23:$B$27,IF(Calculations!$E$23:$E$27=COUNT(Output!$B$32:F32),Inputs!$B$56:$B$60-Calculations!$C$23:$C$27*(Calculations!$E$23:$E$27-1)+Calculations!$D$23:$D$27)))</f>
        <v>0</v>
      </c>
      <c r="G49" s="37">
        <f t="array" ref="G49">SUM(IF(Calculations!$E$23:$E$27&gt;COUNT(Output!$B$32:G32),Calculations!$B$23:$B$27,IF(Calculations!$E$23:$E$27=COUNT(Output!$B$32:G32),Inputs!$B$56:$B$60-Calculations!$C$23:$C$27*(Calculations!$E$23:$E$27-1)+Calculations!$D$23:$D$27)))</f>
        <v>0</v>
      </c>
      <c r="H49" s="37">
        <f t="array" ref="H49">SUM(IF(Calculations!$E$23:$E$27&gt;COUNT(Output!$B$32:H32),Calculations!$B$23:$B$27,IF(Calculations!$E$23:$E$27=COUNT(Output!$B$32:H32),Inputs!$B$56:$B$60-Calculations!$C$23:$C$27*(Calculations!$E$23:$E$27-1)+Calculations!$D$23:$D$27)))</f>
        <v>0</v>
      </c>
      <c r="I49" s="37">
        <f t="array" ref="I49">SUM(IF(Calculations!$E$23:$E$27&gt;COUNT(Output!$B$32:I32),Calculations!$B$23:$B$27,IF(Calculations!$E$23:$E$27=COUNT(Output!$B$32:I32),Inputs!$B$56:$B$60-Calculations!$C$23:$C$27*(Calculations!$E$23:$E$27-1)+Calculations!$D$23:$D$27)))</f>
        <v>0</v>
      </c>
      <c r="J49" s="37">
        <f t="array" ref="J49">SUM(IF(Calculations!$E$23:$E$27&gt;COUNT(Output!$B$32:J32),Calculations!$B$23:$B$27,IF(Calculations!$E$23:$E$27=COUNT(Output!$B$32:J32),Inputs!$B$56:$B$60-Calculations!$C$23:$C$27*(Calculations!$E$23:$E$27-1)+Calculations!$D$23:$D$27)))</f>
        <v>0</v>
      </c>
      <c r="K49" s="37">
        <f t="array" ref="K49">SUM(IF(Calculations!$E$23:$E$27&gt;COUNT(Output!$B$32:K32),Calculations!$B$23:$B$27,IF(Calculations!$E$23:$E$27=COUNT(Output!$B$32:K32),Inputs!$B$56:$B$60-Calculations!$C$23:$C$27*(Calculations!$E$23:$E$27-1)+Calculations!$D$23:$D$27)))</f>
        <v>0</v>
      </c>
      <c r="L49" s="37">
        <f t="array" ref="L49">SUM(IF(Calculations!$E$23:$E$27&gt;COUNT(Output!$B$32:L32),Calculations!$B$23:$B$27,IF(Calculations!$E$23:$E$27=COUNT(Output!$B$32:L32),Inputs!$B$56:$B$60-Calculations!$C$23:$C$27*(Calculations!$E$23:$E$27-1)+Calculations!$D$23:$D$27)))</f>
        <v>0</v>
      </c>
      <c r="M49" s="37">
        <f t="array" ref="M49">SUM(IF(Calculations!$E$23:$E$27&gt;COUNT(Output!$B$32:M32),Calculations!$B$23:$B$27,IF(Calculations!$E$23:$E$27=COUNT(Output!$B$32:M32),Inputs!$B$56:$B$60-Calculations!$C$23:$C$27*(Calculations!$E$23:$E$27-1)+Calculations!$D$23:$D$27)))</f>
        <v>0</v>
      </c>
      <c r="N49" s="37">
        <f t="array" ref="N49">SUM(IF(Calculations!$E$23:$E$27&gt;COUNT(Output!$B$32:N32),Calculations!$B$23:$B$27,IF(Calculations!$E$23:$E$27=COUNT(Output!$B$32:N32),Inputs!$B$56:$B$60-Calculations!$C$23:$C$27*(Calculations!$E$23:$E$27-1)+Calculations!$D$23:$D$27)))</f>
        <v>0</v>
      </c>
      <c r="O49" s="37">
        <f t="array" ref="O49">SUM(IF(Calculations!$E$23:$E$27&gt;COUNT(Output!$B$32:O32),Calculations!$B$23:$B$27,IF(Calculations!$E$23:$E$27=COUNT(Output!$B$32:O32),Inputs!$B$56:$B$60-Calculations!$C$23:$C$27*(Calculations!$E$23:$E$27-1)+Calculations!$D$23:$D$27)))</f>
        <v>0</v>
      </c>
      <c r="P49" s="37">
        <f t="array" ref="P49">SUM(IF(Calculations!$E$23:$E$27&gt;COUNT(Output!$B$32:P32),Calculations!$B$23:$B$27,IF(Calculations!$E$23:$E$27=COUNT(Output!$B$32:P32),Inputs!$B$56:$B$60-Calculations!$C$23:$C$27*(Calculations!$E$23:$E$27-1)+Calculations!$D$23:$D$27)))</f>
        <v>0</v>
      </c>
      <c r="Q49" s="37">
        <f t="array" ref="Q49">SUM(IF(Calculations!$E$23:$E$27&gt;COUNT(Output!$B$32:Q32),Calculations!$B$23:$B$27,IF(Calculations!$E$23:$E$27=COUNT(Output!$B$32:Q32),Inputs!$B$56:$B$60-Calculations!$C$23:$C$27*(Calculations!$E$23:$E$27-1)+Calculations!$D$23:$D$27)))</f>
        <v>0</v>
      </c>
      <c r="R49" s="37">
        <f t="array" ref="R49">SUM(IF(Calculations!$E$23:$E$27&gt;COUNT(Output!$B$32:R32),Calculations!$B$23:$B$27,IF(Calculations!$E$23:$E$27=COUNT(Output!$B$32:R32),Inputs!$B$56:$B$60-Calculations!$C$23:$C$27*(Calculations!$E$23:$E$27-1)+Calculations!$D$23:$D$27)))</f>
        <v>0</v>
      </c>
      <c r="S49" s="37">
        <f t="array" ref="S49">SUM(IF(Calculations!$E$23:$E$27&gt;COUNT(Output!$B$32:S32),Calculations!$B$23:$B$27,IF(Calculations!$E$23:$E$27=COUNT(Output!$B$32:S32),Inputs!$B$56:$B$60-Calculations!$C$23:$C$27*(Calculations!$E$23:$E$27-1)+Calculations!$D$23:$D$27)))</f>
        <v>0</v>
      </c>
      <c r="T49" s="37">
        <f t="array" ref="T49">SUM(IF(Calculations!$E$23:$E$27&gt;COUNT(Output!$B$32:T32),Calculations!$B$23:$B$27,IF(Calculations!$E$23:$E$27=COUNT(Output!$B$32:T32),Inputs!$B$56:$B$60-Calculations!$C$23:$C$27*(Calculations!$E$23:$E$27-1)+Calculations!$D$23:$D$27)))</f>
        <v>0</v>
      </c>
      <c r="U49" s="37">
        <f t="array" ref="U49">SUM(IF(Calculations!$E$23:$E$27&gt;COUNT(Output!$B$32:U32),Calculations!$B$23:$B$27,IF(Calculations!$E$23:$E$27=COUNT(Output!$B$32:U32),Inputs!$B$56:$B$60-Calculations!$C$23:$C$27*(Calculations!$E$23:$E$27-1)+Calculations!$D$23:$D$27)))</f>
        <v>0</v>
      </c>
      <c r="V49" s="37">
        <f t="array" ref="V49">SUM(IF(Calculations!$E$23:$E$27&gt;COUNT(Output!$B$32:V32),Calculations!$B$23:$B$27,IF(Calculations!$E$23:$E$27=COUNT(Output!$B$32:V32),Inputs!$B$56:$B$60-Calculations!$C$23:$C$27*(Calculations!$E$23:$E$27-1)+Calculations!$D$23:$D$27)))</f>
        <v>0</v>
      </c>
      <c r="W49" s="37">
        <f t="array" ref="W49">SUM(IF(Calculations!$E$23:$E$27&gt;COUNT(Output!$B$32:W32),Calculations!$B$23:$B$27,IF(Calculations!$E$23:$E$27=COUNT(Output!$B$32:W32),Inputs!$B$56:$B$60-Calculations!$C$23:$C$27*(Calculations!$E$23:$E$27-1)+Calculations!$D$23:$D$27)))</f>
        <v>0</v>
      </c>
      <c r="X49" s="37">
        <f t="array" ref="X49">SUM(IF(Calculations!$E$23:$E$27&gt;COUNT(Output!$B$32:X32),Calculations!$B$23:$B$27,IF(Calculations!$E$23:$E$27=COUNT(Output!$B$32:X32),Inputs!$B$56:$B$60-Calculations!$C$23:$C$27*(Calculations!$E$23:$E$27-1)+Calculations!$D$23:$D$27)))</f>
        <v>0</v>
      </c>
      <c r="Y49" s="37">
        <f t="array" ref="Y49">SUM(IF(Calculations!$E$23:$E$27&gt;COUNT(Output!$B$32:Y32),Calculations!$B$23:$B$27,IF(Calculations!$E$23:$E$27=COUNT(Output!$B$32:Y32),Inputs!$B$56:$B$60-Calculations!$C$23:$C$27*(Calculations!$E$23:$E$27-1)+Calculations!$D$23:$D$27)))</f>
        <v>0</v>
      </c>
      <c r="Z49" s="37" t="e">
        <f t="array" ref="Z49">SUM(IF($B$7:$Y$7+$B$8:$Y$8&gt;0,B49:Y49,0))</f>
        <v>#DIV/0!</v>
      </c>
      <c r="AA49" s="37">
        <f t="shared" si="63"/>
        <v>0</v>
      </c>
      <c r="AB49" s="37">
        <f t="shared" si="64"/>
        <v>0</v>
      </c>
    </row>
    <row r="50" spans="1:30" ht="15.75" thickTop="1" x14ac:dyDescent="0.25">
      <c r="A50" s="1" t="s">
        <v>33</v>
      </c>
      <c r="B50" s="19">
        <f t="shared" ref="B50:S50" si="65">SUM(B33:B49)</f>
        <v>0</v>
      </c>
      <c r="C50" s="19">
        <f t="shared" si="65"/>
        <v>0</v>
      </c>
      <c r="D50" s="19">
        <f t="shared" si="65"/>
        <v>0</v>
      </c>
      <c r="E50" s="19">
        <f t="shared" si="65"/>
        <v>0</v>
      </c>
      <c r="F50" s="19">
        <f t="shared" si="65"/>
        <v>0</v>
      </c>
      <c r="G50" s="19">
        <f t="shared" si="65"/>
        <v>0</v>
      </c>
      <c r="H50" s="19">
        <f t="shared" si="65"/>
        <v>0</v>
      </c>
      <c r="I50" s="19">
        <f t="shared" si="65"/>
        <v>0</v>
      </c>
      <c r="J50" s="19">
        <f t="shared" si="65"/>
        <v>0</v>
      </c>
      <c r="K50" s="19">
        <f t="shared" si="65"/>
        <v>0</v>
      </c>
      <c r="L50" s="19">
        <f t="shared" si="65"/>
        <v>0</v>
      </c>
      <c r="M50" s="19">
        <f t="shared" si="65"/>
        <v>0</v>
      </c>
      <c r="N50" s="19">
        <f t="shared" si="65"/>
        <v>0</v>
      </c>
      <c r="O50" s="19">
        <f t="shared" si="65"/>
        <v>0</v>
      </c>
      <c r="P50" s="19">
        <f t="shared" si="65"/>
        <v>0</v>
      </c>
      <c r="Q50" s="19">
        <f t="shared" si="65"/>
        <v>0</v>
      </c>
      <c r="R50" s="19">
        <f t="shared" si="65"/>
        <v>0</v>
      </c>
      <c r="S50" s="19">
        <f t="shared" si="65"/>
        <v>0</v>
      </c>
      <c r="T50" s="19">
        <f t="shared" ref="T50:Y50" si="66">SUM(T33:T49)</f>
        <v>0</v>
      </c>
      <c r="U50" s="19">
        <f t="shared" si="66"/>
        <v>0</v>
      </c>
      <c r="V50" s="19">
        <f t="shared" si="66"/>
        <v>0</v>
      </c>
      <c r="W50" s="19">
        <f t="shared" si="66"/>
        <v>0</v>
      </c>
      <c r="X50" s="19">
        <f t="shared" si="66"/>
        <v>0</v>
      </c>
      <c r="Y50" s="19">
        <f t="shared" si="66"/>
        <v>0</v>
      </c>
      <c r="Z50" s="19" t="e">
        <f t="array" ref="Z50">SUM(IF($B$7:$Y$7+$B$8:$Y$8&gt;0,B50:Y50,0))</f>
        <v>#DIV/0!</v>
      </c>
      <c r="AA50" s="19">
        <f t="shared" si="63"/>
        <v>0</v>
      </c>
      <c r="AB50" s="19">
        <f t="shared" si="64"/>
        <v>0</v>
      </c>
    </row>
    <row r="51" spans="1:30" x14ac:dyDescent="0.25"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</row>
    <row r="52" spans="1:30" x14ac:dyDescent="0.25">
      <c r="B52" s="77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</row>
    <row r="53" spans="1:30" x14ac:dyDescent="0.25">
      <c r="A53" s="3" t="s">
        <v>77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4"/>
    </row>
    <row r="55" spans="1:30" x14ac:dyDescent="0.25">
      <c r="A55" s="5" t="s">
        <v>174</v>
      </c>
      <c r="B55" s="5"/>
    </row>
    <row r="56" spans="1:30" x14ac:dyDescent="0.25">
      <c r="A56" t="s">
        <v>81</v>
      </c>
      <c r="B56" s="36">
        <f>Inputs!B49</f>
        <v>0</v>
      </c>
    </row>
    <row r="57" spans="1:30" x14ac:dyDescent="0.25">
      <c r="A57" t="s">
        <v>148</v>
      </c>
      <c r="B57" s="36">
        <f>Inputs!B47</f>
        <v>0</v>
      </c>
    </row>
    <row r="58" spans="1:30" x14ac:dyDescent="0.25">
      <c r="A58" t="s">
        <v>108</v>
      </c>
      <c r="B58" s="36">
        <f>SUMPRODUCT(Inputs!C19:C21,Calculations!O14:O16)</f>
        <v>0</v>
      </c>
    </row>
    <row r="59" spans="1:30" x14ac:dyDescent="0.25">
      <c r="A59" t="s">
        <v>78</v>
      </c>
      <c r="B59" s="36">
        <f>IF(Inputs!B40="Yes",SUM(Inputs!C7:C11)*INDEX(Parameters!$H$54:$I$68,MATCH(Calculations!$I$32,Parameters!$B$54:$B$68,0),MATCH(Inputs!$B$43,Parameters!$H$52:$I$52,0)),0)</f>
        <v>0</v>
      </c>
    </row>
    <row r="60" spans="1:30" x14ac:dyDescent="0.25">
      <c r="A60" t="s">
        <v>79</v>
      </c>
      <c r="B60" s="36">
        <f>IF(Inputs!B44="Yes",Inputs!B45,0)</f>
        <v>0</v>
      </c>
    </row>
    <row r="61" spans="1:30" x14ac:dyDescent="0.25">
      <c r="A61" t="s">
        <v>80</v>
      </c>
      <c r="B61" s="36">
        <f>Inputs!B46</f>
        <v>0</v>
      </c>
    </row>
    <row r="62" spans="1:30" ht="15.75" thickBot="1" x14ac:dyDescent="0.3">
      <c r="A62" s="18" t="s">
        <v>82</v>
      </c>
      <c r="B62" s="37">
        <f>Inputs!B48</f>
        <v>0</v>
      </c>
    </row>
    <row r="63" spans="1:30" ht="15.75" thickTop="1" x14ac:dyDescent="0.25">
      <c r="A63" s="1" t="s">
        <v>83</v>
      </c>
      <c r="B63" s="19">
        <f>SUM(B56:B62)</f>
        <v>0</v>
      </c>
    </row>
    <row r="65" spans="1:2" x14ac:dyDescent="0.25">
      <c r="A65" s="5" t="s">
        <v>175</v>
      </c>
      <c r="B65" s="5"/>
    </row>
    <row r="66" spans="1:2" x14ac:dyDescent="0.25">
      <c r="A66" t="s">
        <v>84</v>
      </c>
      <c r="B66" s="36">
        <f>Inputs!B51</f>
        <v>0</v>
      </c>
    </row>
    <row r="67" spans="1:2" x14ac:dyDescent="0.25">
      <c r="A67" t="s">
        <v>85</v>
      </c>
      <c r="B67" s="36">
        <f>SUM(Inputs!B56:B60)</f>
        <v>0</v>
      </c>
    </row>
    <row r="68" spans="1:2" ht="15.75" thickBot="1" x14ac:dyDescent="0.3">
      <c r="A68" s="18" t="s">
        <v>86</v>
      </c>
      <c r="B68" s="37">
        <f>Calculations!F35</f>
        <v>0</v>
      </c>
    </row>
    <row r="69" spans="1:2" ht="15.75" thickTop="1" x14ac:dyDescent="0.25">
      <c r="A69" s="1" t="s">
        <v>87</v>
      </c>
      <c r="B69" s="19">
        <f>SUM(B66:B68)</f>
        <v>0</v>
      </c>
    </row>
  </sheetData>
  <conditionalFormatting sqref="B4:S4 Z4:AB4">
    <cfRule type="cellIs" dxfId="15" priority="8" operator="lessThan">
      <formula>0</formula>
    </cfRule>
  </conditionalFormatting>
  <conditionalFormatting sqref="B5:S5 Z5:AB5">
    <cfRule type="cellIs" dxfId="14" priority="7" operator="lessThan">
      <formula>0</formula>
    </cfRule>
  </conditionalFormatting>
  <conditionalFormatting sqref="B9:S9 Z9:AB9">
    <cfRule type="cellIs" dxfId="13" priority="6" operator="lessThan">
      <formula>0</formula>
    </cfRule>
  </conditionalFormatting>
  <conditionalFormatting sqref="B10:S10">
    <cfRule type="cellIs" dxfId="12" priority="5" operator="greaterThan">
      <formula>0.6</formula>
    </cfRule>
  </conditionalFormatting>
  <conditionalFormatting sqref="T4:Y4">
    <cfRule type="cellIs" dxfId="11" priority="4" operator="lessThan">
      <formula>0</formula>
    </cfRule>
  </conditionalFormatting>
  <conditionalFormatting sqref="T5:Y5">
    <cfRule type="cellIs" dxfId="10" priority="3" operator="lessThan">
      <formula>0</formula>
    </cfRule>
  </conditionalFormatting>
  <conditionalFormatting sqref="T9:Y9">
    <cfRule type="cellIs" dxfId="9" priority="2" operator="lessThan">
      <formula>0</formula>
    </cfRule>
  </conditionalFormatting>
  <conditionalFormatting sqref="T10:Y10">
    <cfRule type="cellIs" dxfId="8" priority="1" operator="greaterThan">
      <formula>0.6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87"/>
  <sheetViews>
    <sheetView showGridLines="0" tabSelected="1" zoomScale="90" zoomScaleNormal="90" workbookViewId="0">
      <selection activeCell="A3" sqref="A3"/>
    </sheetView>
  </sheetViews>
  <sheetFormatPr defaultRowHeight="15" x14ac:dyDescent="0.25"/>
  <cols>
    <col min="1" max="1" width="39" customWidth="1"/>
    <col min="2" max="2" width="22.7109375" customWidth="1"/>
    <col min="3" max="3" width="28" customWidth="1"/>
    <col min="4" max="4" width="30.140625" customWidth="1"/>
    <col min="5" max="5" width="29" customWidth="1"/>
    <col min="6" max="6" width="19.7109375" customWidth="1"/>
    <col min="7" max="7" width="28.28515625" customWidth="1"/>
    <col min="8" max="8" width="23.85546875" customWidth="1"/>
    <col min="9" max="9" width="31.42578125" customWidth="1"/>
    <col min="10" max="10" width="28.140625" customWidth="1"/>
    <col min="11" max="11" width="25.42578125" customWidth="1"/>
    <col min="12" max="12" width="21.5703125" customWidth="1"/>
    <col min="13" max="13" width="21" customWidth="1"/>
    <col min="14" max="14" width="21.140625" customWidth="1"/>
    <col min="15" max="15" width="21" customWidth="1"/>
    <col min="16" max="16" width="25.42578125" customWidth="1"/>
  </cols>
  <sheetData>
    <row r="2" spans="1:16" x14ac:dyDescent="0.25">
      <c r="A2" s="3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16" x14ac:dyDescent="0.25">
      <c r="A4" s="14" t="s">
        <v>322</v>
      </c>
    </row>
    <row r="5" spans="1:16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6" ht="28.5" customHeight="1" x14ac:dyDescent="0.25">
      <c r="A6" s="10" t="s">
        <v>1</v>
      </c>
      <c r="B6" s="10" t="s">
        <v>290</v>
      </c>
      <c r="C6" s="10" t="s">
        <v>291</v>
      </c>
      <c r="D6" s="10" t="s">
        <v>323</v>
      </c>
      <c r="E6" s="10" t="s">
        <v>297</v>
      </c>
      <c r="F6" s="10" t="s">
        <v>243</v>
      </c>
      <c r="G6" s="10" t="s">
        <v>307</v>
      </c>
      <c r="H6" s="10" t="s">
        <v>89</v>
      </c>
      <c r="I6" s="10" t="s">
        <v>301</v>
      </c>
      <c r="J6" s="10" t="s">
        <v>306</v>
      </c>
      <c r="K6" s="10" t="s">
        <v>302</v>
      </c>
      <c r="L6" s="10" t="s">
        <v>303</v>
      </c>
      <c r="M6" s="10" t="s">
        <v>299</v>
      </c>
      <c r="N6" s="10" t="s">
        <v>300</v>
      </c>
    </row>
    <row r="7" spans="1:16" x14ac:dyDescent="0.25">
      <c r="A7" s="144"/>
      <c r="B7" s="20"/>
      <c r="C7" s="144"/>
      <c r="D7" s="20"/>
      <c r="E7" s="147"/>
      <c r="F7" s="148"/>
      <c r="G7" s="147"/>
      <c r="H7" s="147"/>
      <c r="I7" s="149"/>
      <c r="J7" s="150"/>
      <c r="K7" s="139"/>
      <c r="L7" s="20"/>
      <c r="M7" s="165"/>
      <c r="N7" s="155"/>
      <c r="P7" s="41"/>
    </row>
    <row r="8" spans="1:16" x14ac:dyDescent="0.25">
      <c r="A8" s="145"/>
      <c r="B8" s="16"/>
      <c r="C8" s="145"/>
      <c r="D8" s="16"/>
      <c r="E8" s="149"/>
      <c r="F8" s="151"/>
      <c r="G8" s="149"/>
      <c r="H8" s="149"/>
      <c r="I8" s="149"/>
      <c r="J8" s="150"/>
      <c r="K8" s="140"/>
      <c r="L8" s="16"/>
      <c r="M8" s="167"/>
      <c r="N8" s="156"/>
    </row>
    <row r="9" spans="1:16" x14ac:dyDescent="0.25">
      <c r="A9" s="145"/>
      <c r="B9" s="16"/>
      <c r="C9" s="145"/>
      <c r="D9" s="16"/>
      <c r="E9" s="149"/>
      <c r="F9" s="151"/>
      <c r="G9" s="149"/>
      <c r="H9" s="149"/>
      <c r="I9" s="149"/>
      <c r="J9" s="150"/>
      <c r="K9" s="140"/>
      <c r="L9" s="16"/>
      <c r="M9" s="167"/>
      <c r="N9" s="156"/>
    </row>
    <row r="10" spans="1:16" x14ac:dyDescent="0.25">
      <c r="A10" s="145"/>
      <c r="B10" s="16"/>
      <c r="C10" s="145"/>
      <c r="D10" s="16"/>
      <c r="E10" s="149"/>
      <c r="F10" s="151"/>
      <c r="G10" s="149"/>
      <c r="H10" s="149"/>
      <c r="I10" s="149"/>
      <c r="J10" s="150"/>
      <c r="K10" s="140"/>
      <c r="L10" s="16"/>
      <c r="M10" s="167"/>
      <c r="N10" s="156"/>
    </row>
    <row r="11" spans="1:16" x14ac:dyDescent="0.25">
      <c r="A11" s="146"/>
      <c r="B11" s="23"/>
      <c r="C11" s="146"/>
      <c r="D11" s="23"/>
      <c r="E11" s="152"/>
      <c r="F11" s="153"/>
      <c r="G11" s="152"/>
      <c r="H11" s="152"/>
      <c r="I11" s="152"/>
      <c r="J11" s="154"/>
      <c r="K11" s="121"/>
      <c r="L11" s="23"/>
      <c r="M11" s="169"/>
      <c r="N11" s="157"/>
    </row>
    <row r="14" spans="1:16" x14ac:dyDescent="0.25">
      <c r="A14" s="3" t="s">
        <v>108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16" x14ac:dyDescent="0.25">
      <c r="A16" s="14" t="s">
        <v>278</v>
      </c>
    </row>
    <row r="17" spans="1:16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16" ht="30" x14ac:dyDescent="0.25">
      <c r="A18" s="10" t="s">
        <v>109</v>
      </c>
      <c r="B18" s="10" t="s">
        <v>308</v>
      </c>
      <c r="C18" s="10" t="s">
        <v>121</v>
      </c>
      <c r="D18" s="10" t="s">
        <v>207</v>
      </c>
      <c r="E18" s="10" t="s">
        <v>313</v>
      </c>
      <c r="F18" s="10" t="s">
        <v>309</v>
      </c>
      <c r="G18" s="10" t="s">
        <v>314</v>
      </c>
      <c r="H18" s="10" t="s">
        <v>315</v>
      </c>
      <c r="I18" s="10" t="s">
        <v>310</v>
      </c>
      <c r="J18" s="10" t="s">
        <v>340</v>
      </c>
      <c r="K18" s="10" t="s">
        <v>341</v>
      </c>
      <c r="L18" s="10" t="s">
        <v>330</v>
      </c>
    </row>
    <row r="19" spans="1:16" x14ac:dyDescent="0.25">
      <c r="A19" s="144"/>
      <c r="B19" s="20"/>
      <c r="C19" s="144"/>
      <c r="D19" s="147"/>
      <c r="E19" s="20"/>
      <c r="F19" s="147"/>
      <c r="G19" s="20"/>
      <c r="H19" s="20"/>
      <c r="I19" s="147"/>
      <c r="J19" s="147"/>
      <c r="K19" s="147"/>
      <c r="L19" s="25"/>
    </row>
    <row r="20" spans="1:16" x14ac:dyDescent="0.25">
      <c r="A20" s="145"/>
      <c r="B20" s="16"/>
      <c r="C20" s="145"/>
      <c r="D20" s="149"/>
      <c r="E20" s="16"/>
      <c r="F20" s="149"/>
      <c r="G20" s="16"/>
      <c r="H20" s="16"/>
      <c r="I20" s="149"/>
      <c r="J20" s="149"/>
      <c r="K20" s="149"/>
      <c r="L20" s="30"/>
    </row>
    <row r="21" spans="1:16" x14ac:dyDescent="0.25">
      <c r="A21" s="146"/>
      <c r="B21" s="23"/>
      <c r="C21" s="146"/>
      <c r="D21" s="152"/>
      <c r="E21" s="23"/>
      <c r="F21" s="152"/>
      <c r="G21" s="23"/>
      <c r="H21" s="23"/>
      <c r="I21" s="152"/>
      <c r="J21" s="152"/>
      <c r="K21" s="152"/>
      <c r="L21" s="31"/>
    </row>
    <row r="23" spans="1:16" x14ac:dyDescent="0.25">
      <c r="A23" s="3" t="s">
        <v>176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16" ht="6" customHeight="1" x14ac:dyDescent="0.25"/>
    <row r="25" spans="1:16" ht="30" x14ac:dyDescent="0.25">
      <c r="A25" s="58" t="s">
        <v>342</v>
      </c>
      <c r="B25" s="179"/>
    </row>
    <row r="27" spans="1:16" x14ac:dyDescent="0.25">
      <c r="A27" s="14" t="s">
        <v>64</v>
      </c>
    </row>
    <row r="29" spans="1:16" x14ac:dyDescent="0.25">
      <c r="A29" s="45" t="s">
        <v>65</v>
      </c>
      <c r="B29" s="158"/>
    </row>
    <row r="30" spans="1:16" x14ac:dyDescent="0.25">
      <c r="A30" s="44" t="s">
        <v>66</v>
      </c>
      <c r="B30" s="159"/>
    </row>
    <row r="31" spans="1:16" x14ac:dyDescent="0.25">
      <c r="A31" s="5" t="s">
        <v>67</v>
      </c>
      <c r="B31" s="160"/>
    </row>
    <row r="33" spans="1:16" x14ac:dyDescent="0.25">
      <c r="A33" s="14" t="s">
        <v>279</v>
      </c>
    </row>
    <row r="34" spans="1:16" x14ac:dyDescent="0.25">
      <c r="A34" s="10" t="s">
        <v>209</v>
      </c>
      <c r="B34" s="10" t="s">
        <v>62</v>
      </c>
      <c r="C34" s="10" t="s">
        <v>63</v>
      </c>
      <c r="D34" s="48" t="s">
        <v>70</v>
      </c>
    </row>
    <row r="35" spans="1:16" x14ac:dyDescent="0.25">
      <c r="A35" s="144"/>
      <c r="B35" s="161"/>
      <c r="C35" s="147"/>
      <c r="D35" s="49" t="str">
        <f>IFERROR(VLOOKUP(C35,Parameters!$C$76:$D$87,2,0),"")</f>
        <v/>
      </c>
    </row>
    <row r="36" spans="1:16" x14ac:dyDescent="0.25">
      <c r="A36" s="146"/>
      <c r="B36" s="160"/>
      <c r="C36" s="152"/>
      <c r="D36" s="49" t="str">
        <f>IFERROR(VLOOKUP(C36,Parameters!$C$76:$D$87,2,0),"")</f>
        <v/>
      </c>
    </row>
    <row r="38" spans="1:16" x14ac:dyDescent="0.25">
      <c r="A38" s="3" t="s">
        <v>72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16" x14ac:dyDescent="0.25">
      <c r="A40" s="55" t="s">
        <v>73</v>
      </c>
      <c r="B40" s="162"/>
    </row>
    <row r="41" spans="1:16" x14ac:dyDescent="0.25">
      <c r="A41" s="55" t="s">
        <v>318</v>
      </c>
      <c r="B41" s="142"/>
    </row>
    <row r="42" spans="1:16" x14ac:dyDescent="0.25">
      <c r="A42" s="55" t="s">
        <v>316</v>
      </c>
      <c r="B42" s="141"/>
    </row>
    <row r="43" spans="1:16" x14ac:dyDescent="0.25">
      <c r="A43" s="55" t="s">
        <v>319</v>
      </c>
      <c r="B43" s="162"/>
    </row>
    <row r="44" spans="1:16" x14ac:dyDescent="0.25">
      <c r="A44" s="56" t="s">
        <v>74</v>
      </c>
      <c r="B44" s="162"/>
    </row>
    <row r="45" spans="1:16" x14ac:dyDescent="0.25">
      <c r="A45" s="56" t="s">
        <v>75</v>
      </c>
      <c r="B45" s="163"/>
    </row>
    <row r="46" spans="1:16" ht="30" x14ac:dyDescent="0.25">
      <c r="A46" s="57" t="s">
        <v>289</v>
      </c>
      <c r="B46" s="163"/>
    </row>
    <row r="47" spans="1:16" ht="30" x14ac:dyDescent="0.25">
      <c r="A47" s="57" t="s">
        <v>147</v>
      </c>
      <c r="B47" s="163"/>
    </row>
    <row r="48" spans="1:16" ht="30" x14ac:dyDescent="0.25">
      <c r="A48" s="57" t="s">
        <v>320</v>
      </c>
      <c r="B48" s="163"/>
    </row>
    <row r="49" spans="1:16" ht="30" x14ac:dyDescent="0.25">
      <c r="A49" s="57" t="s">
        <v>76</v>
      </c>
      <c r="B49" s="163"/>
    </row>
    <row r="50" spans="1:16" x14ac:dyDescent="0.25">
      <c r="A50" s="43"/>
      <c r="B50" s="36"/>
    </row>
    <row r="51" spans="1:16" x14ac:dyDescent="0.25">
      <c r="A51" s="58" t="s">
        <v>149</v>
      </c>
      <c r="B51" s="163"/>
    </row>
    <row r="52" spans="1:16" x14ac:dyDescent="0.25">
      <c r="A52" s="43"/>
    </row>
    <row r="53" spans="1:16" x14ac:dyDescent="0.25">
      <c r="A53" s="3" t="s">
        <v>159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16" ht="30.75" customHeight="1" x14ac:dyDescent="0.25">
      <c r="A55" s="66" t="s">
        <v>155</v>
      </c>
      <c r="B55" s="10" t="s">
        <v>156</v>
      </c>
      <c r="C55" s="10" t="s">
        <v>157</v>
      </c>
      <c r="D55" s="10" t="s">
        <v>158</v>
      </c>
      <c r="E55" s="10" t="s">
        <v>160</v>
      </c>
      <c r="F55" s="10" t="s">
        <v>210</v>
      </c>
    </row>
    <row r="56" spans="1:16" x14ac:dyDescent="0.25">
      <c r="A56" s="161"/>
      <c r="B56" s="161"/>
      <c r="C56" s="164"/>
      <c r="D56" s="165"/>
      <c r="E56" s="165"/>
      <c r="F56" s="165"/>
    </row>
    <row r="57" spans="1:16" x14ac:dyDescent="0.25">
      <c r="A57" s="159"/>
      <c r="B57" s="159"/>
      <c r="C57" s="166"/>
      <c r="D57" s="167"/>
      <c r="E57" s="167"/>
      <c r="F57" s="167"/>
    </row>
    <row r="58" spans="1:16" x14ac:dyDescent="0.25">
      <c r="A58" s="159"/>
      <c r="B58" s="159"/>
      <c r="C58" s="166"/>
      <c r="D58" s="167"/>
      <c r="E58" s="167"/>
      <c r="F58" s="167"/>
    </row>
    <row r="59" spans="1:16" x14ac:dyDescent="0.25">
      <c r="A59" s="159"/>
      <c r="B59" s="159"/>
      <c r="C59" s="166"/>
      <c r="D59" s="167"/>
      <c r="E59" s="167"/>
      <c r="F59" s="167"/>
    </row>
    <row r="60" spans="1:16" x14ac:dyDescent="0.25">
      <c r="A60" s="160"/>
      <c r="B60" s="160"/>
      <c r="C60" s="168"/>
      <c r="D60" s="169"/>
      <c r="E60" s="169"/>
      <c r="F60" s="169"/>
    </row>
    <row r="63" spans="1:16" x14ac:dyDescent="0.25">
      <c r="A63" s="3" t="s">
        <v>275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 x14ac:dyDescent="0.25">
      <c r="A65" s="66" t="s">
        <v>70</v>
      </c>
      <c r="B65" s="10" t="s">
        <v>276</v>
      </c>
      <c r="C65" s="10" t="s">
        <v>277</v>
      </c>
    </row>
    <row r="66" spans="1:48" x14ac:dyDescent="0.25">
      <c r="A66" s="144"/>
      <c r="B66" s="161"/>
      <c r="C66" s="165"/>
      <c r="D66" s="49" t="e">
        <f>INDEX(Parameters!$D$76:$D$87,MATCH(Inputs!A66,Parameters!$C$76:$C$87,0))</f>
        <v>#N/A</v>
      </c>
    </row>
    <row r="67" spans="1:48" x14ac:dyDescent="0.25">
      <c r="A67" s="145"/>
      <c r="B67" s="159"/>
      <c r="C67" s="167"/>
      <c r="D67" s="49" t="e">
        <f>INDEX(Parameters!$D$76:$D$87,MATCH(Inputs!A67,Parameters!$C$76:$C$87,0))</f>
        <v>#N/A</v>
      </c>
    </row>
    <row r="68" spans="1:48" x14ac:dyDescent="0.25">
      <c r="A68" s="145"/>
      <c r="B68" s="159"/>
      <c r="C68" s="167"/>
      <c r="D68" s="49" t="e">
        <f>INDEX(Parameters!$D$76:$D$87,MATCH(Inputs!A68,Parameters!$C$76:$C$87,0))</f>
        <v>#N/A</v>
      </c>
    </row>
    <row r="69" spans="1:48" x14ac:dyDescent="0.25">
      <c r="A69" s="145"/>
      <c r="B69" s="159"/>
      <c r="C69" s="167"/>
      <c r="D69" s="49" t="e">
        <f>INDEX(Parameters!$D$76:$D$87,MATCH(Inputs!A69,Parameters!$C$76:$C$87,0))</f>
        <v>#N/A</v>
      </c>
    </row>
    <row r="70" spans="1:48" x14ac:dyDescent="0.25">
      <c r="A70" s="145"/>
      <c r="B70" s="159"/>
      <c r="C70" s="167"/>
      <c r="D70" s="49" t="e">
        <f>INDEX(Parameters!$D$76:$D$87,MATCH(Inputs!A70,Parameters!$C$76:$C$87,0))</f>
        <v>#N/A</v>
      </c>
    </row>
    <row r="71" spans="1:48" x14ac:dyDescent="0.25">
      <c r="A71" s="146"/>
      <c r="B71" s="160"/>
      <c r="C71" s="169"/>
      <c r="D71" s="49" t="e">
        <f>INDEX(Parameters!$D$76:$D$87,MATCH(Inputs!A71,Parameters!$C$76:$C$87,0))</f>
        <v>#N/A</v>
      </c>
    </row>
    <row r="73" spans="1:48" x14ac:dyDescent="0.25">
      <c r="A73" s="3" t="s">
        <v>211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 x14ac:dyDescent="0.25">
      <c r="A75" t="s">
        <v>338</v>
      </c>
      <c r="B75" s="163"/>
    </row>
    <row r="76" spans="1:48" x14ac:dyDescent="0.25">
      <c r="A76" t="s">
        <v>216</v>
      </c>
      <c r="B76" s="170"/>
    </row>
    <row r="78" spans="1:48" ht="20.25" customHeight="1" x14ac:dyDescent="0.25">
      <c r="B78" s="129" t="s">
        <v>328</v>
      </c>
    </row>
    <row r="79" spans="1:48" x14ac:dyDescent="0.25">
      <c r="A79" t="s">
        <v>223</v>
      </c>
      <c r="B79" s="170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 x14ac:dyDescent="0.25">
      <c r="A80" t="s">
        <v>265</v>
      </c>
      <c r="B80" s="170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2" x14ac:dyDescent="0.25">
      <c r="A81" t="s">
        <v>231</v>
      </c>
      <c r="B81" s="163"/>
    </row>
    <row r="82" spans="1:2" x14ac:dyDescent="0.25">
      <c r="A82" t="s">
        <v>266</v>
      </c>
      <c r="B82" s="163"/>
    </row>
    <row r="83" spans="1:2" x14ac:dyDescent="0.25">
      <c r="A83" t="s">
        <v>332</v>
      </c>
      <c r="B83" s="171"/>
    </row>
    <row r="84" spans="1:2" x14ac:dyDescent="0.25">
      <c r="A84" t="s">
        <v>335</v>
      </c>
      <c r="B84" s="171"/>
    </row>
    <row r="85" spans="1:2" x14ac:dyDescent="0.25">
      <c r="A85" t="s">
        <v>336</v>
      </c>
      <c r="B85" s="171"/>
    </row>
    <row r="86" spans="1:2" x14ac:dyDescent="0.25">
      <c r="A86" t="s">
        <v>268</v>
      </c>
      <c r="B86" s="163"/>
    </row>
    <row r="87" spans="1:2" x14ac:dyDescent="0.25">
      <c r="A87" t="s">
        <v>269</v>
      </c>
      <c r="B87" s="163"/>
    </row>
  </sheetData>
  <conditionalFormatting sqref="B7:B11">
    <cfRule type="expression" dxfId="7" priority="8">
      <formula>A7="Other crops"</formula>
    </cfRule>
  </conditionalFormatting>
  <conditionalFormatting sqref="D7:D11 L7:L11">
    <cfRule type="expression" dxfId="6" priority="7">
      <formula>$A7="Other crops"</formula>
    </cfRule>
  </conditionalFormatting>
  <conditionalFormatting sqref="K7:K11">
    <cfRule type="expression" dxfId="5" priority="6">
      <formula>$A7="Other crops"</formula>
    </cfRule>
  </conditionalFormatting>
  <conditionalFormatting sqref="B19:B21 H19:H21">
    <cfRule type="expression" dxfId="4" priority="5">
      <formula>$A19="Other animals"</formula>
    </cfRule>
  </conditionalFormatting>
  <conditionalFormatting sqref="E19:E21">
    <cfRule type="expression" dxfId="3" priority="4">
      <formula>$A19="Other animals"</formula>
    </cfRule>
  </conditionalFormatting>
  <conditionalFormatting sqref="G19:G21">
    <cfRule type="expression" dxfId="2" priority="3">
      <formula>$A19="Other animals"</formula>
    </cfRule>
  </conditionalFormatting>
  <conditionalFormatting sqref="B41:B42">
    <cfRule type="expression" dxfId="1" priority="2">
      <formula>$B$40="No"</formula>
    </cfRule>
  </conditionalFormatting>
  <dataValidations count="8">
    <dataValidation type="list" allowBlank="1" showInputMessage="1" showErrorMessage="1" sqref="F19:F21">
      <formula1>$A$74:$A$75</formula1>
    </dataValidation>
    <dataValidation type="list" allowBlank="1" showInputMessage="1" showErrorMessage="1" sqref="B44">
      <formula1>$A$74:$A$75</formula1>
    </dataValidation>
    <dataValidation type="list" allowBlank="1" showInputMessage="1" showErrorMessage="1" sqref="B40">
      <formula1>$A$74:$A$75</formula1>
    </dataValidation>
    <dataValidation type="list" allowBlank="1" showInputMessage="1" showErrorMessage="1" sqref="H7:H11">
      <formula1>$A$74:$A$75</formula1>
    </dataValidation>
    <dataValidation type="list" allowBlank="1" showInputMessage="1" showErrorMessage="1" sqref="A66:A71">
      <formula1>$C$76:$C$87</formula1>
    </dataValidation>
    <dataValidation type="list" allowBlank="1" showInputMessage="1" showErrorMessage="1" sqref="B42">
      <formula1>$C$75:$C$87</formula1>
    </dataValidation>
    <dataValidation type="list" allowBlank="1" showInputMessage="1" showErrorMessage="1" sqref="M7:M11">
      <formula1>$B$74:$B$85</formula1>
    </dataValidation>
    <dataValidation type="list" allowBlank="1" showInputMessage="1" showErrorMessage="1" sqref="J19:K21">
      <formula1>$B$74:$B$85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2A79002-F9FA-44E8-A816-C278E81D3FA7}">
            <xm:f>$A19=Parameters!$A$23</xm:f>
            <x14:dxf>
              <fill>
                <patternFill>
                  <bgColor theme="9" tint="0.59996337778862885"/>
                </patternFill>
              </fill>
            </x14:dxf>
          </x14:cfRule>
          <xm:sqref>L19:L21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Parameters!$A$74:$A$75</xm:f>
          </x14:formula1>
          <xm:sqref>E56:E60</xm:sqref>
        </x14:dataValidation>
        <x14:dataValidation type="list" allowBlank="1" showInputMessage="1" showErrorMessage="1">
          <x14:formula1>
            <xm:f>Parameters!$A$4:$A$18</xm:f>
          </x14:formula1>
          <xm:sqref>A7:A11</xm:sqref>
        </x14:dataValidation>
        <x14:dataValidation type="list" allowBlank="1" showInputMessage="1" showErrorMessage="1">
          <x14:formula1>
            <xm:f>Parameters!$A$23:$A$30</xm:f>
          </x14:formula1>
          <xm:sqref>A19:A21</xm:sqref>
        </x14:dataValidation>
        <x14:dataValidation type="list" allowBlank="1" showInputMessage="1" showErrorMessage="1">
          <x14:formula1>
            <xm:f>Parameters!$G$74:$G$76</xm:f>
          </x14:formula1>
          <xm:sqref>I19:I21</xm:sqref>
        </x14:dataValidation>
        <x14:dataValidation type="list" allowBlank="1" showInputMessage="1" showErrorMessage="1">
          <x14:formula1>
            <xm:f>Parameters!$H$74:$H$75</xm:f>
          </x14:formula1>
          <xm:sqref>B43</xm:sqref>
        </x14:dataValidation>
        <x14:dataValidation type="list" allowBlank="1" showInputMessage="1" showErrorMessage="1">
          <x14:formula1>
            <xm:f>Parameters!$E$74:$E$77</xm:f>
          </x14:formula1>
          <xm:sqref>F7:F11</xm:sqref>
        </x14:dataValidation>
        <x14:dataValidation type="list" allowBlank="1" showInputMessage="1" showErrorMessage="1">
          <x14:formula1>
            <xm:f>Parameters!$F$74:$F$77</xm:f>
          </x14:formula1>
          <xm:sqref>I7:I11</xm:sqref>
        </x14:dataValidation>
        <x14:dataValidation type="list" allowBlank="1" showInputMessage="1" showErrorMessage="1">
          <x14:formula1>
            <xm:f>Parameters!$I$74:$I$76</xm:f>
          </x14:formula1>
          <xm:sqref>B83</xm:sqref>
        </x14:dataValidation>
        <x14:dataValidation type="list" allowBlank="1" showInputMessage="1" showErrorMessage="1">
          <x14:formula1>
            <xm:f>Parameters!$J$74:$J$78</xm:f>
          </x14:formula1>
          <xm:sqref>E7:E11</xm:sqref>
        </x14:dataValidation>
        <x14:dataValidation type="list" allowBlank="1" showInputMessage="1" showErrorMessage="1">
          <x14:formula1>
            <xm:f>Parameters!$C$76:$C$87</xm:f>
          </x14:formula1>
          <xm:sqref>C35:C36</xm:sqref>
        </x14:dataValidation>
        <x14:dataValidation type="list" allowBlank="1" showInputMessage="1" showErrorMessage="1">
          <x14:formula1>
            <xm:f>Parameters!$C$75:$C$87</xm:f>
          </x14:formula1>
          <xm:sqref>K7:K11</xm:sqref>
        </x14:dataValidation>
        <x14:dataValidation type="list" allowBlank="1" showInputMessage="1" showErrorMessage="1">
          <x14:formula1>
            <xm:f>Parameters!$C$74:$C$87</xm:f>
          </x14:formula1>
          <xm:sqref>J7:J11</xm:sqref>
        </x14:dataValidation>
        <x14:dataValidation type="list" allowBlank="1" showInputMessage="1" showErrorMessage="1">
          <x14:formula1>
            <xm:f>Parameters!$B$74:$B$85</xm:f>
          </x14:formula1>
          <xm:sqref>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4"/>
  <sheetViews>
    <sheetView showGridLines="0" topLeftCell="A4" zoomScale="90" zoomScaleNormal="90" workbookViewId="0">
      <selection activeCell="A17" sqref="A17"/>
    </sheetView>
  </sheetViews>
  <sheetFormatPr defaultRowHeight="15" x14ac:dyDescent="0.25"/>
  <cols>
    <col min="1" max="1" width="15.7109375" customWidth="1"/>
    <col min="2" max="2" width="18.85546875" style="43" customWidth="1"/>
    <col min="3" max="3" width="23.7109375" style="43" customWidth="1"/>
    <col min="4" max="4" width="19.42578125" customWidth="1"/>
    <col min="5" max="5" width="27.5703125" customWidth="1"/>
    <col min="6" max="6" width="17.140625" customWidth="1"/>
    <col min="7" max="7" width="19.42578125" customWidth="1"/>
    <col min="8" max="9" width="12.7109375" customWidth="1"/>
    <col min="10" max="10" width="12.28515625" customWidth="1"/>
    <col min="11" max="11" width="12.7109375" customWidth="1"/>
    <col min="12" max="12" width="10.42578125" customWidth="1"/>
    <col min="13" max="13" width="12.28515625" customWidth="1"/>
    <col min="14" max="14" width="13.28515625" customWidth="1"/>
    <col min="15" max="16" width="13" customWidth="1"/>
    <col min="18" max="18" width="16.7109375" customWidth="1"/>
    <col min="19" max="19" width="10" customWidth="1"/>
    <col min="20" max="20" width="12.5703125" customWidth="1"/>
    <col min="21" max="23" width="13.7109375" customWidth="1"/>
    <col min="24" max="24" width="10.7109375" customWidth="1"/>
    <col min="25" max="42" width="10" customWidth="1"/>
  </cols>
  <sheetData>
    <row r="1" spans="1:46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 x14ac:dyDescent="0.25">
      <c r="B2"/>
      <c r="C2"/>
    </row>
    <row r="3" spans="1:46" ht="28.5" customHeight="1" x14ac:dyDescent="0.25">
      <c r="A3" s="15" t="s">
        <v>1</v>
      </c>
      <c r="B3" s="15" t="s">
        <v>42</v>
      </c>
      <c r="C3" s="15" t="s">
        <v>248</v>
      </c>
      <c r="D3" s="15" t="s">
        <v>57</v>
      </c>
      <c r="E3" s="15" t="s">
        <v>58</v>
      </c>
      <c r="F3" s="15" t="s">
        <v>249</v>
      </c>
      <c r="G3" s="15" t="s">
        <v>59</v>
      </c>
      <c r="H3" s="15" t="s">
        <v>26</v>
      </c>
      <c r="I3" s="15" t="s">
        <v>296</v>
      </c>
      <c r="J3" s="15" t="s">
        <v>37</v>
      </c>
      <c r="K3" s="15" t="s">
        <v>38</v>
      </c>
      <c r="L3" s="15" t="s">
        <v>252</v>
      </c>
      <c r="M3" s="15" t="s">
        <v>253</v>
      </c>
      <c r="N3" s="15" t="s">
        <v>304</v>
      </c>
      <c r="O3" s="15" t="s">
        <v>39</v>
      </c>
      <c r="P3" s="15" t="s">
        <v>93</v>
      </c>
      <c r="Q3" s="32" t="s">
        <v>200</v>
      </c>
      <c r="R3" s="15" t="s">
        <v>242</v>
      </c>
      <c r="S3" s="15" t="s">
        <v>34</v>
      </c>
      <c r="T3" s="15" t="s">
        <v>40</v>
      </c>
      <c r="U3" s="180" t="s">
        <v>299</v>
      </c>
      <c r="V3" s="32" t="s">
        <v>199</v>
      </c>
      <c r="W3" s="32" t="s">
        <v>201</v>
      </c>
      <c r="X3" s="32" t="s">
        <v>250</v>
      </c>
      <c r="Y3" s="32" t="s">
        <v>203</v>
      </c>
      <c r="Z3" s="32" t="s">
        <v>251</v>
      </c>
      <c r="AA3" s="32" t="s">
        <v>204</v>
      </c>
      <c r="AB3" s="32" t="s">
        <v>41</v>
      </c>
      <c r="AC3" s="59">
        <f>Output!B3</f>
        <v>1</v>
      </c>
      <c r="AD3" s="59">
        <f>Output!C3</f>
        <v>32</v>
      </c>
      <c r="AE3" s="59">
        <f>Output!D3</f>
        <v>61</v>
      </c>
      <c r="AF3" s="59">
        <f>Output!E3</f>
        <v>92</v>
      </c>
      <c r="AG3" s="59">
        <f>Output!F3</f>
        <v>122</v>
      </c>
      <c r="AH3" s="59">
        <f>Output!G3</f>
        <v>153</v>
      </c>
      <c r="AI3" s="59">
        <f>Output!H3</f>
        <v>183</v>
      </c>
      <c r="AJ3" s="59">
        <f>Output!I3</f>
        <v>214</v>
      </c>
      <c r="AK3" s="59">
        <f>Output!J3</f>
        <v>245</v>
      </c>
      <c r="AL3" s="59">
        <f>Output!K3</f>
        <v>275</v>
      </c>
      <c r="AM3" s="59">
        <f>Output!L3</f>
        <v>306</v>
      </c>
      <c r="AN3" s="59">
        <f>Output!M3</f>
        <v>336</v>
      </c>
      <c r="AO3" s="59">
        <f>Output!N3</f>
        <v>367</v>
      </c>
      <c r="AP3" s="59">
        <f>Output!O3</f>
        <v>398</v>
      </c>
      <c r="AQ3" s="59">
        <f>Output!P3</f>
        <v>426</v>
      </c>
      <c r="AR3" s="59">
        <f>Output!Q3</f>
        <v>457</v>
      </c>
      <c r="AS3" s="59">
        <f>Output!R3</f>
        <v>487</v>
      </c>
      <c r="AT3" s="59">
        <f>Output!S3</f>
        <v>518</v>
      </c>
    </row>
    <row r="4" spans="1:46" s="21" customFormat="1" x14ac:dyDescent="0.25">
      <c r="A4" s="20">
        <f>Inputs!A7</f>
        <v>0</v>
      </c>
      <c r="B4" s="38" t="str">
        <f>IFERROR(IF(DATE(YEAR(Inputs!$B$76),VLOOKUP(VLOOKUP(A4,Inputs!$A$7:$J$11,MATCH(Inputs!$J$6,Inputs!$A$6:$N$6,0),0),Parameters!$C$76:$D$87,2,0)+1,1)&gt;Inputs!$B$76,DATE(YEAR(Inputs!$B$76),VLOOKUP(VLOOKUP(A4,Inputs!$A$7:$J$11,MATCH(Inputs!$J$6,Inputs!$A$6:$N$6,0),0),Parameters!$C$76:$D$87,2,0),1),DATE(YEAR(Inputs!$B$76)+1,VLOOKUP(VLOOKUP(A4,Inputs!$A$7:$J$11,MATCH(Inputs!$J$6,Inputs!$A$6:$N$6,0),0),Parameters!$C$76:$D$87,2,0)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9" t="str">
        <f>IFERROR(VLOOKUP(Inputs!E7,Parameters!$J$74:$K$78,2,0),"")</f>
        <v/>
      </c>
      <c r="J4" s="26" t="str">
        <f>IFERROR(Inputs!G7/Calculations!H4,"")</f>
        <v/>
      </c>
      <c r="K4" s="26">
        <f>IFERROR(INDEX(Parameters!$A$3:$V$17,MATCH(Calculations!$A4,Parameters!$A$3:$A$17,0),MATCH(Parameters!$I$3,Parameters!$A$3:$V$3,0)),0)</f>
        <v>0</v>
      </c>
      <c r="L4" s="29">
        <f>IFERROR(IF(A4="Other crops",Inputs!D7/Calculations!H4,IF(NOT(ISERROR(MATCH(Inputs!A7,Parameters!$D$52:$I$52,0))),INDEX(Parameters!$B$53:$I$68,MATCH(Calculations!$I$32,Parameters!$B$53:$B$68,0)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$68,MATCH(Calculations!$I$32,Parameters!$B$53:$B$68,0)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0</v>
      </c>
      <c r="P4" s="22">
        <f>IFERROR(INDEX(Parameters!$A$3:$V$17,MATCH(Calculations!$A4,Parameters!$A$3:$A$17,0),MATCH($P$3,Parameters!$A$3:$V$3,0)),0)</f>
        <v>0</v>
      </c>
      <c r="Q4" s="33">
        <f>M4*O4*(1-N4)*MAX(S4,1)</f>
        <v>0</v>
      </c>
      <c r="R4" s="22">
        <f>IFERROR(INDEX(Parameters!$A$3:$V$17,MATCH(Calculations!$A4,Parameters!$A$3:$A$17,0),MATCH($R$3,Parameters!$A$3:$V$3,0)),0)</f>
        <v>0</v>
      </c>
      <c r="S4" s="25" t="str">
        <f>IF(ISERROR(MATCH(Inputs!A7,Parameters!$D$52:$I$52,0)),IF(T4="","",IF(T4&lt;6,2,IF(T4="N/A",IF(Inputs!J7&lt;&gt;Parameters!$C$75,0,2),1))),INDEX(Parameters!$B$53:$I$68,MATCH(Calculations!$I$32,Parameters!$B$53:$B$68,0),MATCH(Parameters!$E$53,Parameters!$B$53:$I$53,0)))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$75,MOD(VLOOKUP(Inputs!K7,Parameters!$C$76:$D$87,2,0)-MONTH(Calculations!B4),12),"N/A"),"")),INDEX(Parameters!$B$53:$I$68,MATCH(Calculations!$I$32,Parameters!$B$53:$B$68,0)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IFERROR(J4*H4*Parameters!$B$35+IF(OR(Inputs!F7=Parameters!$E$75,Inputs!F7=Parameters!$E$77),Calculations!H4*Parameters!$B$36,0),0)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IF(Inputs!I7=Parameters!$F$75,H4*INDEX(Parameters!$A$3:$AI$17,MATCH(Calculations!A4,Parameters!$A$3:$A$17,0),MATCH(Parameters!$Q$3,Parameters!$A$3:$AI$3,0)),0)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>
        <f>IF($D4="",1/12,IFERROR(INDEX(Parameters!$X$2:$AI$17,MATCH(Calculations!$A4,Parameters!$A$2:$A$17,0),MATCH(MONTH(Calculations!AC$3),Parameters!$X$2:$AI$2,0)),1/12))</f>
        <v>8.3333333333333329E-2</v>
      </c>
      <c r="AD4" s="60">
        <f>IF($D4="",1/12,IFERROR(INDEX(Parameters!$X$2:$AI$17,MATCH(Calculations!$A4,Parameters!$A$2:$A$17,0),MATCH(MONTH(Calculations!AD$3),Parameters!$X$2:$AI$2,0)),1/12))</f>
        <v>8.3333333333333329E-2</v>
      </c>
      <c r="AE4" s="60">
        <f>IF($D4="",1/12,IFERROR(INDEX(Parameters!$X$2:$AI$17,MATCH(Calculations!$A4,Parameters!$A$2:$A$17,0),MATCH(MONTH(Calculations!AE$3),Parameters!$X$2:$AI$2,0)),1/12))</f>
        <v>8.3333333333333329E-2</v>
      </c>
      <c r="AF4" s="60">
        <f>IF($D4="",1/12,IFERROR(INDEX(Parameters!$X$2:$AI$17,MATCH(Calculations!$A4,Parameters!$A$2:$A$17,0),MATCH(MONTH(Calculations!AF$3),Parameters!$X$2:$AI$2,0)),1/12))</f>
        <v>8.3333333333333329E-2</v>
      </c>
      <c r="AG4" s="60">
        <f>IF($D4="",1/12,IFERROR(INDEX(Parameters!$X$2:$AI$17,MATCH(Calculations!$A4,Parameters!$A$2:$A$17,0),MATCH(MONTH(Calculations!AG$3),Parameters!$X$2:$AI$2,0)),1/12))</f>
        <v>8.3333333333333329E-2</v>
      </c>
      <c r="AH4" s="60">
        <f>IF($D4="",1/12,IFERROR(INDEX(Parameters!$X$2:$AI$17,MATCH(Calculations!$A4,Parameters!$A$2:$A$17,0),MATCH(MONTH(Calculations!AH$3),Parameters!$X$2:$AI$2,0)),1/12))</f>
        <v>8.3333333333333329E-2</v>
      </c>
      <c r="AI4" s="60">
        <f>IF($D4="",1/12,IFERROR(INDEX(Parameters!$X$2:$AI$17,MATCH(Calculations!$A4,Parameters!$A$2:$A$17,0),MATCH(MONTH(Calculations!AI$3),Parameters!$X$2:$AI$2,0)),1/12))</f>
        <v>8.3333333333333329E-2</v>
      </c>
      <c r="AJ4" s="60">
        <f>IF($D4="",1/12,IFERROR(INDEX(Parameters!$X$2:$AI$17,MATCH(Calculations!$A4,Parameters!$A$2:$A$17,0),MATCH(MONTH(Calculations!AJ$3),Parameters!$X$2:$AI$2,0)),1/12))</f>
        <v>8.3333333333333329E-2</v>
      </c>
      <c r="AK4" s="60">
        <f>IF($D4="",1/12,IFERROR(INDEX(Parameters!$X$2:$AI$17,MATCH(Calculations!$A4,Parameters!$A$2:$A$17,0),MATCH(MONTH(Calculations!AK$3),Parameters!$X$2:$AI$2,0)),1/12))</f>
        <v>8.3333333333333329E-2</v>
      </c>
      <c r="AL4" s="60">
        <f>IF($D4="",1/12,IFERROR(INDEX(Parameters!$X$2:$AI$17,MATCH(Calculations!$A4,Parameters!$A$2:$A$17,0),MATCH(MONTH(Calculations!AL$3),Parameters!$X$2:$AI$2,0)),1/12))</f>
        <v>8.3333333333333329E-2</v>
      </c>
      <c r="AM4" s="60">
        <f>IF($D4="",1/12,IFERROR(INDEX(Parameters!$X$2:$AI$17,MATCH(Calculations!$A4,Parameters!$A$2:$A$17,0),MATCH(MONTH(Calculations!AM$3),Parameters!$X$2:$AI$2,0)),1/12))</f>
        <v>8.3333333333333329E-2</v>
      </c>
      <c r="AN4" s="60">
        <f>IF($D4="",1/12,IFERROR(INDEX(Parameters!$X$2:$AI$17,MATCH(Calculations!$A4,Parameters!$A$2:$A$17,0),MATCH(MONTH(Calculations!AN$3),Parameters!$X$2:$AI$2,0)),1/12))</f>
        <v>8.3333333333333329E-2</v>
      </c>
      <c r="AO4" s="60">
        <f>IF($D4="",1/12,IFERROR(INDEX(Parameters!$X$2:$AI$17,MATCH(Calculations!$A4,Parameters!$A$2:$A$17,0),MATCH(MONTH(Calculations!AO$3),Parameters!$X$2:$AI$2,0)),1/12))</f>
        <v>8.3333333333333329E-2</v>
      </c>
      <c r="AP4" s="60">
        <f>IF($D4="",1/12,IFERROR(INDEX(Parameters!$X$2:$AI$17,MATCH(Calculations!$A4,Parameters!$A$2:$A$17,0),MATCH(MONTH(Calculations!AP$3),Parameters!$X$2:$AI$2,0)),1/12))</f>
        <v>8.3333333333333329E-2</v>
      </c>
      <c r="AQ4" s="60">
        <f>IF($D4="",1/12,IFERROR(INDEX(Parameters!$X$2:$AI$17,MATCH(Calculations!$A4,Parameters!$A$2:$A$17,0),MATCH(MONTH(Calculations!AQ$3),Parameters!$X$2:$AI$2,0)),1/12))</f>
        <v>8.3333333333333329E-2</v>
      </c>
      <c r="AR4" s="60">
        <f>IF($D4="",1/12,IFERROR(INDEX(Parameters!$X$2:$AI$17,MATCH(Calculations!$A4,Parameters!$A$2:$A$17,0),MATCH(MONTH(Calculations!AR$3),Parameters!$X$2:$AI$2,0)),1/12))</f>
        <v>8.3333333333333329E-2</v>
      </c>
      <c r="AS4" s="60">
        <f>IF($D4="",1/12,IFERROR(INDEX(Parameters!$X$2:$AI$17,MATCH(Calculations!$A4,Parameters!$A$2:$A$17,0),MATCH(MONTH(Calculations!AS$3),Parameters!$X$2:$AI$2,0)),1/12))</f>
        <v>8.3333333333333329E-2</v>
      </c>
      <c r="AT4" s="60">
        <f>IF($D4="",1/12,IFERROR(INDEX(Parameters!$X$2:$AI$17,MATCH(Calculations!$A4,Parameters!$A$2:$A$17,0),MATCH(MONTH(Calculations!AT$3),Parameters!$X$2:$AI$2,0)),1/12))</f>
        <v>8.3333333333333329E-2</v>
      </c>
    </row>
    <row r="5" spans="1:46" s="21" customFormat="1" x14ac:dyDescent="0.25">
      <c r="A5" s="16">
        <f>Inputs!A8</f>
        <v>0</v>
      </c>
      <c r="B5" s="39" t="str">
        <f>IFERROR(IF(DATE(YEAR(Inputs!$B$76),VLOOKUP(VLOOKUP(A5,Inputs!$A$7:$J$11,MATCH(Inputs!$J$6,Inputs!$A$6:$N$6,0),0),Parameters!$C$76:$D$87,2,0)+1,1)&gt;Inputs!$B$76,DATE(YEAR(Inputs!$B$76),VLOOKUP(VLOOKUP(A5,Inputs!$A$7:$J$11,MATCH(Inputs!$J$6,Inputs!$A$6:$N$6,0),0),Parameters!$C$76:$D$87,2,0),1),DATE(YEAR(Inputs!$B$76)+1,VLOOKUP(VLOOKUP(A5,Inputs!$A$7:$J$11,MATCH(Inputs!$J$6,Inputs!$A$6:$N$6,0),0),Parameters!$C$76:$D$87,2,0)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 t="shared" ref="E5:E8" si="0">IFERROR(IF($S5=0,"",IF($S5=2,DATE(YEAR(B5),MONTH(B5)+6,DAY(B5)),IF($S5=1,B5,""))),"")</f>
        <v/>
      </c>
      <c r="F5" s="39" t="str">
        <f t="shared" ref="F5:F8" si="1">IFERROR(IF($S5=0,"",IF($S5=2,DATE(YEAR(C5),MONTH(C5)+6,DAY(C5)),IF($S5=1,C5,""))),"")</f>
        <v/>
      </c>
      <c r="G5" s="39" t="str">
        <f t="shared" ref="G5:G8" si="2">IFERROR(IF($S5=0,"",IF($S5=2,DATE(YEAR(D5),MONTH(D5)+6,DAY(D5)),IF($S5=1,D5,""))),"")</f>
        <v/>
      </c>
      <c r="H5" s="16">
        <f>Inputs!C8</f>
        <v>0</v>
      </c>
      <c r="I5" s="140" t="str">
        <f>IFERROR(VLOOKUP(Inputs!E8,Parameters!$J$74:$K$78,2,0),"")</f>
        <v/>
      </c>
      <c r="J5" s="27" t="str">
        <f>IFERROR(Inputs!G8/Calculations!H5,"")</f>
        <v/>
      </c>
      <c r="K5" s="27">
        <f>IFERROR(INDEX(Parameters!$A$3:$V$17,MATCH(Calculations!$A5,Parameters!$A$3:$A$17,0),MATCH(Parameters!$I$3,Parameters!$A$3:$V$3,0)),0)</f>
        <v>0</v>
      </c>
      <c r="L5" s="93">
        <f>IFERROR(IF(A5="Other crops",Inputs!D8/Calculations!H5,IF(NOT(ISERROR(MATCH(Inputs!A8,Parameters!$D$52:$I$52,0))),INDEX(Parameters!$B$53:$I$68,MATCH(Calculations!$I$32,Parameters!$B$53:$B$68,0)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$68,MATCH(Calculations!$I$32,Parameters!$B$53:$B$68,0)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>0</v>
      </c>
      <c r="P5" s="22">
        <f>IFERROR(INDEX(Parameters!$A$3:$V$17,MATCH(Calculations!$A5,Parameters!$A$3:$A$17,0),MATCH($P$3,Parameters!$A$3:$V$3,0)),0)</f>
        <v>0</v>
      </c>
      <c r="Q5" s="34">
        <f t="shared" ref="Q5:Q8" si="3">M5*O5*(1-N5)*MAX(S5,1)</f>
        <v>0</v>
      </c>
      <c r="R5" s="22">
        <f>IFERROR(INDEX(Parameters!$A$3:$V$17,MATCH(Calculations!$A5,Parameters!$A$3:$A$17,0),MATCH($R$3,Parameters!$A$3:$V$3,0)),0)</f>
        <v>0</v>
      </c>
      <c r="S5" s="30" t="str">
        <f>IF(ISERROR(MATCH(Inputs!A8,Parameters!$D$52:$I$52,0)),IF(T5="","",IF(T5&lt;6,2,IF(T5="N/A",IF(Inputs!J8&lt;&gt;Parameters!$C$75,0,2),1))),INDEX(Parameters!$B$53:$I$68,MATCH(Calculations!$I$32,Parameters!$B$53:$B$68,0),MATCH(Parameters!$E$53,Parameters!$B$53:$I$53,0)))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$75,MOD(VLOOKUP(Inputs!K8,Parameters!$C$76:$D$87,2,0)-MONTH(Calculations!B5),12),"N/A"),"")),INDEX(Parameters!$B$53:$I$68,MATCH(Calculations!$I$32,Parameters!$B$53:$B$68,0)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IFERROR(J5*H5*Parameters!$B$35+IF(OR(Inputs!F8=Parameters!$E$75,Inputs!F8=Parameters!$E$77),Calculations!H5*Parameters!$B$36,0),0)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IF(Inputs!I8=Parameters!$F$75,H5*INDEX(Parameters!$A$3:$AI$17,MATCH(Calculations!A5,Parameters!$A$3:$A$17,0),MATCH(Parameters!$Q$3,Parameters!$A$3:$AI$3,0)),0)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8.3333333333333329E-2</v>
      </c>
      <c r="AD5" s="22">
        <f>IF($D5="",1/12,IFERROR(INDEX(Parameters!$X$2:$AI$17,MATCH(Calculations!$A5,Parameters!$A$2:$A$17,0),MATCH(MONTH(Calculations!AD$3),Parameters!$X$2:$AI$2,0)),1/12))</f>
        <v>8.3333333333333329E-2</v>
      </c>
      <c r="AE5" s="22">
        <f>IF($D5="",1/12,IFERROR(INDEX(Parameters!$X$2:$AI$17,MATCH(Calculations!$A5,Parameters!$A$2:$A$17,0),MATCH(MONTH(Calculations!AE$3),Parameters!$X$2:$AI$2,0)),1/12))</f>
        <v>8.3333333333333329E-2</v>
      </c>
      <c r="AF5" s="22">
        <f>IF($D5="",1/12,IFERROR(INDEX(Parameters!$X$2:$AI$17,MATCH(Calculations!$A5,Parameters!$A$2:$A$17,0),MATCH(MONTH(Calculations!AF$3),Parameters!$X$2:$AI$2,0)),1/12))</f>
        <v>8.3333333333333329E-2</v>
      </c>
      <c r="AG5" s="22">
        <f>IF($D5="",1/12,IFERROR(INDEX(Parameters!$X$2:$AI$17,MATCH(Calculations!$A5,Parameters!$A$2:$A$17,0),MATCH(MONTH(Calculations!AG$3),Parameters!$X$2:$AI$2,0)),1/12))</f>
        <v>8.3333333333333329E-2</v>
      </c>
      <c r="AH5" s="22">
        <f>IF($D5="",1/12,IFERROR(INDEX(Parameters!$X$2:$AI$17,MATCH(Calculations!$A5,Parameters!$A$2:$A$17,0),MATCH(MONTH(Calculations!AH$3),Parameters!$X$2:$AI$2,0)),1/12))</f>
        <v>8.3333333333333329E-2</v>
      </c>
      <c r="AI5" s="22">
        <f>IF($D5="",1/12,IFERROR(INDEX(Parameters!$X$2:$AI$17,MATCH(Calculations!$A5,Parameters!$A$2:$A$17,0),MATCH(MONTH(Calculations!AI$3),Parameters!$X$2:$AI$2,0)),1/12))</f>
        <v>8.3333333333333329E-2</v>
      </c>
      <c r="AJ5" s="22">
        <f>IF($D5="",1/12,IFERROR(INDEX(Parameters!$X$2:$AI$17,MATCH(Calculations!$A5,Parameters!$A$2:$A$17,0),MATCH(MONTH(Calculations!AJ$3),Parameters!$X$2:$AI$2,0)),1/12))</f>
        <v>8.3333333333333329E-2</v>
      </c>
      <c r="AK5" s="22">
        <f>IF($D5="",1/12,IFERROR(INDEX(Parameters!$X$2:$AI$17,MATCH(Calculations!$A5,Parameters!$A$2:$A$17,0),MATCH(MONTH(Calculations!AK$3),Parameters!$X$2:$AI$2,0)),1/12))</f>
        <v>8.3333333333333329E-2</v>
      </c>
      <c r="AL5" s="22">
        <f>IF($D5="",1/12,IFERROR(INDEX(Parameters!$X$2:$AI$17,MATCH(Calculations!$A5,Parameters!$A$2:$A$17,0),MATCH(MONTH(Calculations!AL$3),Parameters!$X$2:$AI$2,0)),1/12))</f>
        <v>8.3333333333333329E-2</v>
      </c>
      <c r="AM5" s="22">
        <f>IF($D5="",1/12,IFERROR(INDEX(Parameters!$X$2:$AI$17,MATCH(Calculations!$A5,Parameters!$A$2:$A$17,0),MATCH(MONTH(Calculations!AM$3),Parameters!$X$2:$AI$2,0)),1/12))</f>
        <v>8.3333333333333329E-2</v>
      </c>
      <c r="AN5" s="22">
        <f>IF($D5="",1/12,IFERROR(INDEX(Parameters!$X$2:$AI$17,MATCH(Calculations!$A5,Parameters!$A$2:$A$17,0),MATCH(MONTH(Calculations!AN$3),Parameters!$X$2:$AI$2,0)),1/12))</f>
        <v>8.3333333333333329E-2</v>
      </c>
      <c r="AO5" s="22">
        <f>IF($D5="",1/12,IFERROR(INDEX(Parameters!$X$2:$AI$17,MATCH(Calculations!$A5,Parameters!$A$2:$A$17,0),MATCH(MONTH(Calculations!AO$3),Parameters!$X$2:$AI$2,0)),1/12))</f>
        <v>8.3333333333333329E-2</v>
      </c>
      <c r="AP5" s="22">
        <f>IF($D5="",1/12,IFERROR(INDEX(Parameters!$X$2:$AI$17,MATCH(Calculations!$A5,Parameters!$A$2:$A$17,0),MATCH(MONTH(Calculations!AP$3),Parameters!$X$2:$AI$2,0)),1/12))</f>
        <v>8.3333333333333329E-2</v>
      </c>
      <c r="AQ5" s="22">
        <f>IF($D5="",1/12,IFERROR(INDEX(Parameters!$X$2:$AI$17,MATCH(Calculations!$A5,Parameters!$A$2:$A$17,0),MATCH(MONTH(Calculations!AQ$3),Parameters!$X$2:$AI$2,0)),1/12))</f>
        <v>8.3333333333333329E-2</v>
      </c>
      <c r="AR5" s="22">
        <f>IF($D5="",1/12,IFERROR(INDEX(Parameters!$X$2:$AI$17,MATCH(Calculations!$A5,Parameters!$A$2:$A$17,0),MATCH(MONTH(Calculations!AR$3),Parameters!$X$2:$AI$2,0)),1/12))</f>
        <v>8.3333333333333329E-2</v>
      </c>
      <c r="AS5" s="22">
        <f>IF($D5="",1/12,IFERROR(INDEX(Parameters!$X$2:$AI$17,MATCH(Calculations!$A5,Parameters!$A$2:$A$17,0),MATCH(MONTH(Calculations!AS$3),Parameters!$X$2:$AI$2,0)),1/12))</f>
        <v>8.3333333333333329E-2</v>
      </c>
      <c r="AT5" s="22">
        <f>IF($D5="",1/12,IFERROR(INDEX(Parameters!$X$2:$AI$17,MATCH(Calculations!$A5,Parameters!$A$2:$A$17,0),MATCH(MONTH(Calculations!AT$3),Parameters!$X$2:$AI$2,0)),1/12))</f>
        <v>8.3333333333333329E-2</v>
      </c>
    </row>
    <row r="6" spans="1:46" s="21" customFormat="1" x14ac:dyDescent="0.25">
      <c r="A6" s="16">
        <f>Inputs!A9</f>
        <v>0</v>
      </c>
      <c r="B6" s="39" t="str">
        <f>IFERROR(IF(DATE(YEAR(Inputs!$B$76),VLOOKUP(VLOOKUP(A6,Inputs!$A$7:$J$11,MATCH(Inputs!$J$6,Inputs!$A$6:$N$6,0),0),Parameters!$C$76:$D$87,2,0)+1,1)&gt;Inputs!$B$76,DATE(YEAR(Inputs!$B$76),VLOOKUP(VLOOKUP(A6,Inputs!$A$7:$J$11,MATCH(Inputs!$J$6,Inputs!$A$6:$N$6,0),0),Parameters!$C$76:$D$87,2,0),1),DATE(YEAR(Inputs!$B$76)+1,VLOOKUP(VLOOKUP(A6,Inputs!$A$7:$J$11,MATCH(Inputs!$J$6,Inputs!$A$6:$N$6,0),0),Parameters!$C$76:$D$87,2,0)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 t="shared" si="0"/>
        <v/>
      </c>
      <c r="F6" s="39" t="str">
        <f t="shared" si="1"/>
        <v/>
      </c>
      <c r="G6" s="39" t="str">
        <f t="shared" si="2"/>
        <v/>
      </c>
      <c r="H6" s="16">
        <f>Inputs!C9</f>
        <v>0</v>
      </c>
      <c r="I6" s="140" t="str">
        <f>IFERROR(VLOOKUP(Inputs!E9,Parameters!$J$74:$K$78,2,0),"")</f>
        <v/>
      </c>
      <c r="J6" s="27" t="str">
        <f>IFERROR(Inputs!G9/Calculations!H6,"")</f>
        <v/>
      </c>
      <c r="K6" s="27">
        <f>IFERROR(INDEX(Parameters!$A$3:$V$17,MATCH(Calculations!$A6,Parameters!$A$3:$A$17,0),MATCH(Parameters!$I$3,Parameters!$A$3:$V$3,0)),0)</f>
        <v>0</v>
      </c>
      <c r="L6" s="93">
        <f>IFERROR(IF(A6="Other crops",Inputs!D9/Calculations!H6,IF(NOT(ISERROR(MATCH(Inputs!A9,Parameters!$D$52:$I$52,0))),INDEX(Parameters!$B$53:$I$68,MATCH(Calculations!$I$32,Parameters!$B$53:$B$68,0)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$68,MATCH(Calculations!$I$32,Parameters!$B$53:$B$68,0)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>0</v>
      </c>
      <c r="P6" s="22">
        <f>IFERROR(INDEX(Parameters!$A$3:$V$17,MATCH(Calculations!$A6,Parameters!$A$3:$A$17,0),MATCH($P$3,Parameters!$A$3:$V$3,0)),0)</f>
        <v>0</v>
      </c>
      <c r="Q6" s="34">
        <f t="shared" si="3"/>
        <v>0</v>
      </c>
      <c r="R6" s="22">
        <f>IFERROR(INDEX(Parameters!$A$3:$V$17,MATCH(Calculations!$A6,Parameters!$A$3:$A$17,0),MATCH($R$3,Parameters!$A$3:$V$3,0)),0)</f>
        <v>0</v>
      </c>
      <c r="S6" s="30" t="str">
        <f>IF(ISERROR(MATCH(Inputs!A9,Parameters!$D$52:$I$52,0)),IF(T6="","",IF(T6&lt;6,2,IF(T6="N/A",IF(Inputs!J9&lt;&gt;Parameters!$C$75,0,2),1))),INDEX(Parameters!$B$53:$I$68,MATCH(Calculations!$I$32,Parameters!$B$53:$B$68,0),MATCH(Parameters!$E$53,Parameters!$B$53:$I$53,0)))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$75,MOD(VLOOKUP(Inputs!K9,Parameters!$C$76:$D$87,2,0)-MONTH(Calculations!B6),12),"N/A"),"")),INDEX(Parameters!$B$53:$I$68,MATCH(Calculations!$I$32,Parameters!$B$53:$B$68,0)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IFERROR(J6*H6*Parameters!$B$35+IF(OR(Inputs!F9=Parameters!$E$75,Inputs!F9=Parameters!$E$77),Calculations!H6*Parameters!$B$36,0),0)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IF(Inputs!I9=Parameters!$F$75,H6*INDEX(Parameters!$A$3:$AI$17,MATCH(Calculations!A6,Parameters!$A$3:$A$17,0),MATCH(Parameters!$Q$3,Parameters!$A$3:$AI$3,0)),0)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8.3333333333333329E-2</v>
      </c>
      <c r="AD6" s="22">
        <f>IF($D6="",1/12,IFERROR(INDEX(Parameters!$X$2:$AI$17,MATCH(Calculations!$A6,Parameters!$A$2:$A$17,0),MATCH(MONTH(Calculations!AD$3),Parameters!$X$2:$AI$2,0)),1/12))</f>
        <v>8.3333333333333329E-2</v>
      </c>
      <c r="AE6" s="22">
        <f>IF($D6="",1/12,IFERROR(INDEX(Parameters!$X$2:$AI$17,MATCH(Calculations!$A6,Parameters!$A$2:$A$17,0),MATCH(MONTH(Calculations!AE$3),Parameters!$X$2:$AI$2,0)),1/12))</f>
        <v>8.3333333333333329E-2</v>
      </c>
      <c r="AF6" s="22">
        <f>IF($D6="",1/12,IFERROR(INDEX(Parameters!$X$2:$AI$17,MATCH(Calculations!$A6,Parameters!$A$2:$A$17,0),MATCH(MONTH(Calculations!AF$3),Parameters!$X$2:$AI$2,0)),1/12))</f>
        <v>8.3333333333333329E-2</v>
      </c>
      <c r="AG6" s="22">
        <f>IF($D6="",1/12,IFERROR(INDEX(Parameters!$X$2:$AI$17,MATCH(Calculations!$A6,Parameters!$A$2:$A$17,0),MATCH(MONTH(Calculations!AG$3),Parameters!$X$2:$AI$2,0)),1/12))</f>
        <v>8.3333333333333329E-2</v>
      </c>
      <c r="AH6" s="22">
        <f>IF($D6="",1/12,IFERROR(INDEX(Parameters!$X$2:$AI$17,MATCH(Calculations!$A6,Parameters!$A$2:$A$17,0),MATCH(MONTH(Calculations!AH$3),Parameters!$X$2:$AI$2,0)),1/12))</f>
        <v>8.3333333333333329E-2</v>
      </c>
      <c r="AI6" s="22">
        <f>IF($D6="",1/12,IFERROR(INDEX(Parameters!$X$2:$AI$17,MATCH(Calculations!$A6,Parameters!$A$2:$A$17,0),MATCH(MONTH(Calculations!AI$3),Parameters!$X$2:$AI$2,0)),1/12))</f>
        <v>8.3333333333333329E-2</v>
      </c>
      <c r="AJ6" s="22">
        <f>IF($D6="",1/12,IFERROR(INDEX(Parameters!$X$2:$AI$17,MATCH(Calculations!$A6,Parameters!$A$2:$A$17,0),MATCH(MONTH(Calculations!AJ$3),Parameters!$X$2:$AI$2,0)),1/12))</f>
        <v>8.3333333333333329E-2</v>
      </c>
      <c r="AK6" s="22">
        <f>IF($D6="",1/12,IFERROR(INDEX(Parameters!$X$2:$AI$17,MATCH(Calculations!$A6,Parameters!$A$2:$A$17,0),MATCH(MONTH(Calculations!AK$3),Parameters!$X$2:$AI$2,0)),1/12))</f>
        <v>8.3333333333333329E-2</v>
      </c>
      <c r="AL6" s="22">
        <f>IF($D6="",1/12,IFERROR(INDEX(Parameters!$X$2:$AI$17,MATCH(Calculations!$A6,Parameters!$A$2:$A$17,0),MATCH(MONTH(Calculations!AL$3),Parameters!$X$2:$AI$2,0)),1/12))</f>
        <v>8.3333333333333329E-2</v>
      </c>
      <c r="AM6" s="22">
        <f>IF($D6="",1/12,IFERROR(INDEX(Parameters!$X$2:$AI$17,MATCH(Calculations!$A6,Parameters!$A$2:$A$17,0),MATCH(MONTH(Calculations!AM$3),Parameters!$X$2:$AI$2,0)),1/12))</f>
        <v>8.3333333333333329E-2</v>
      </c>
      <c r="AN6" s="22">
        <f>IF($D6="",1/12,IFERROR(INDEX(Parameters!$X$2:$AI$17,MATCH(Calculations!$A6,Parameters!$A$2:$A$17,0),MATCH(MONTH(Calculations!AN$3),Parameters!$X$2:$AI$2,0)),1/12))</f>
        <v>8.3333333333333329E-2</v>
      </c>
      <c r="AO6" s="22">
        <f>IF($D6="",1/12,IFERROR(INDEX(Parameters!$X$2:$AI$17,MATCH(Calculations!$A6,Parameters!$A$2:$A$17,0),MATCH(MONTH(Calculations!AO$3),Parameters!$X$2:$AI$2,0)),1/12))</f>
        <v>8.3333333333333329E-2</v>
      </c>
      <c r="AP6" s="22">
        <f>IF($D6="",1/12,IFERROR(INDEX(Parameters!$X$2:$AI$17,MATCH(Calculations!$A6,Parameters!$A$2:$A$17,0),MATCH(MONTH(Calculations!AP$3),Parameters!$X$2:$AI$2,0)),1/12))</f>
        <v>8.3333333333333329E-2</v>
      </c>
      <c r="AQ6" s="22">
        <f>IF($D6="",1/12,IFERROR(INDEX(Parameters!$X$2:$AI$17,MATCH(Calculations!$A6,Parameters!$A$2:$A$17,0),MATCH(MONTH(Calculations!AQ$3),Parameters!$X$2:$AI$2,0)),1/12))</f>
        <v>8.3333333333333329E-2</v>
      </c>
      <c r="AR6" s="22">
        <f>IF($D6="",1/12,IFERROR(INDEX(Parameters!$X$2:$AI$17,MATCH(Calculations!$A6,Parameters!$A$2:$A$17,0),MATCH(MONTH(Calculations!AR$3),Parameters!$X$2:$AI$2,0)),1/12))</f>
        <v>8.3333333333333329E-2</v>
      </c>
      <c r="AS6" s="22">
        <f>IF($D6="",1/12,IFERROR(INDEX(Parameters!$X$2:$AI$17,MATCH(Calculations!$A6,Parameters!$A$2:$A$17,0),MATCH(MONTH(Calculations!AS$3),Parameters!$X$2:$AI$2,0)),1/12))</f>
        <v>8.3333333333333329E-2</v>
      </c>
      <c r="AT6" s="22">
        <f>IF($D6="",1/12,IFERROR(INDEX(Parameters!$X$2:$AI$17,MATCH(Calculations!$A6,Parameters!$A$2:$A$17,0),MATCH(MONTH(Calculations!AT$3),Parameters!$X$2:$AI$2,0)),1/12))</f>
        <v>8.3333333333333329E-2</v>
      </c>
    </row>
    <row r="7" spans="1:46" s="21" customFormat="1" x14ac:dyDescent="0.25">
      <c r="A7" s="16">
        <f>Inputs!A10</f>
        <v>0</v>
      </c>
      <c r="B7" s="39" t="str">
        <f>IFERROR(IF(DATE(YEAR(Inputs!$B$76),VLOOKUP(VLOOKUP(A7,Inputs!$A$7:$J$11,MATCH(Inputs!$J$6,Inputs!$A$6:$N$6,0),0),Parameters!$C$76:$D$87,2,0)+1,1)&gt;Inputs!$B$76,DATE(YEAR(Inputs!$B$76),VLOOKUP(VLOOKUP(A7,Inputs!$A$7:$J$11,MATCH(Inputs!$J$6,Inputs!$A$6:$N$6,0),0),Parameters!$C$76:$D$87,2,0),1),DATE(YEAR(Inputs!$B$76)+1,VLOOKUP(VLOOKUP(A7,Inputs!$A$7:$J$11,MATCH(Inputs!$J$6,Inputs!$A$6:$N$6,0),0),Parameters!$C$76:$D$87,2,0)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 t="shared" si="0"/>
        <v/>
      </c>
      <c r="F7" s="39" t="str">
        <f t="shared" si="1"/>
        <v/>
      </c>
      <c r="G7" s="39" t="str">
        <f t="shared" si="2"/>
        <v/>
      </c>
      <c r="H7" s="16">
        <f>Inputs!C10</f>
        <v>0</v>
      </c>
      <c r="I7" s="140" t="str">
        <f>IFERROR(VLOOKUP(Inputs!E10,Parameters!$J$74:$K$78,2,0),"")</f>
        <v/>
      </c>
      <c r="J7" s="27" t="str">
        <f>IFERROR(Inputs!G10/Calculations!H7,"")</f>
        <v/>
      </c>
      <c r="K7" s="27">
        <f>IFERROR(INDEX(Parameters!$A$3:$V$17,MATCH(Calculations!$A7,Parameters!$A$3:$A$17,0),MATCH(Parameters!$I$3,Parameters!$A$3:$V$3,0)),0)</f>
        <v>0</v>
      </c>
      <c r="L7" s="93">
        <f>IFERROR(IF(A7="Other crops",Inputs!D10/Calculations!H7,IF(NOT(ISERROR(MATCH(Inputs!A10,Parameters!$D$52:$I$52,0))),INDEX(Parameters!$B$53:$I$68,MATCH(Calculations!$I$32,Parameters!$B$53:$B$68,0)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$68,MATCH(Calculations!$I$32,Parameters!$B$53:$B$68,0)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>0</v>
      </c>
      <c r="P7" s="22">
        <f>IFERROR(INDEX(Parameters!$A$3:$V$17,MATCH(Calculations!$A7,Parameters!$A$3:$A$17,0),MATCH($P$3,Parameters!$A$3:$V$3,0)),0)</f>
        <v>0</v>
      </c>
      <c r="Q7" s="34">
        <f t="shared" si="3"/>
        <v>0</v>
      </c>
      <c r="R7" s="22">
        <f>IFERROR(INDEX(Parameters!$A$3:$V$17,MATCH(Calculations!$A7,Parameters!$A$3:$A$17,0),MATCH($R$3,Parameters!$A$3:$V$3,0)),0)</f>
        <v>0</v>
      </c>
      <c r="S7" s="30" t="str">
        <f>IF(ISERROR(MATCH(Inputs!A10,Parameters!$D$52:$I$52,0)),IF(T7="","",IF(T7&lt;6,2,IF(T7="N/A",IF(Inputs!J10&lt;&gt;Parameters!$C$75,0,2),1))),INDEX(Parameters!$B$53:$I$68,MATCH(Calculations!$I$32,Parameters!$B$53:$B$68,0),MATCH(Parameters!$E$53,Parameters!$B$53:$I$53,0)))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$75,MOD(VLOOKUP(Inputs!K10,Parameters!$C$76:$D$87,2,0)-MONTH(Calculations!B7),12),"N/A"),"")),INDEX(Parameters!$B$53:$I$68,MATCH(Calculations!$I$32,Parameters!$B$53:$B$68,0)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IFERROR(J7*H7*Parameters!$B$35+IF(OR(Inputs!F10=Parameters!$E$75,Inputs!F10=Parameters!$E$77),Calculations!H7*Parameters!$B$36,0),0)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IF(Inputs!I10=Parameters!$F$75,H7*INDEX(Parameters!$A$3:$AI$17,MATCH(Calculations!A7,Parameters!$A$3:$A$17,0),MATCH(Parameters!$Q$3,Parameters!$A$3:$AI$3,0)),0)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8.3333333333333329E-2</v>
      </c>
      <c r="AD7" s="22">
        <f>IF($D7="",1/12,IFERROR(INDEX(Parameters!$X$2:$AI$17,MATCH(Calculations!$A7,Parameters!$A$2:$A$17,0),MATCH(MONTH(Calculations!AD$3),Parameters!$X$2:$AI$2,0)),1/12))</f>
        <v>8.3333333333333329E-2</v>
      </c>
      <c r="AE7" s="22">
        <f>IF($D7="",1/12,IFERROR(INDEX(Parameters!$X$2:$AI$17,MATCH(Calculations!$A7,Parameters!$A$2:$A$17,0),MATCH(MONTH(Calculations!AE$3),Parameters!$X$2:$AI$2,0)),1/12))</f>
        <v>8.3333333333333329E-2</v>
      </c>
      <c r="AF7" s="22">
        <f>IF($D7="",1/12,IFERROR(INDEX(Parameters!$X$2:$AI$17,MATCH(Calculations!$A7,Parameters!$A$2:$A$17,0),MATCH(MONTH(Calculations!AF$3),Parameters!$X$2:$AI$2,0)),1/12))</f>
        <v>8.3333333333333329E-2</v>
      </c>
      <c r="AG7" s="22">
        <f>IF($D7="",1/12,IFERROR(INDEX(Parameters!$X$2:$AI$17,MATCH(Calculations!$A7,Parameters!$A$2:$A$17,0),MATCH(MONTH(Calculations!AG$3),Parameters!$X$2:$AI$2,0)),1/12))</f>
        <v>8.3333333333333329E-2</v>
      </c>
      <c r="AH7" s="22">
        <f>IF($D7="",1/12,IFERROR(INDEX(Parameters!$X$2:$AI$17,MATCH(Calculations!$A7,Parameters!$A$2:$A$17,0),MATCH(MONTH(Calculations!AH$3),Parameters!$X$2:$AI$2,0)),1/12))</f>
        <v>8.3333333333333329E-2</v>
      </c>
      <c r="AI7" s="22">
        <f>IF($D7="",1/12,IFERROR(INDEX(Parameters!$X$2:$AI$17,MATCH(Calculations!$A7,Parameters!$A$2:$A$17,0),MATCH(MONTH(Calculations!AI$3),Parameters!$X$2:$AI$2,0)),1/12))</f>
        <v>8.3333333333333329E-2</v>
      </c>
      <c r="AJ7" s="22">
        <f>IF($D7="",1/12,IFERROR(INDEX(Parameters!$X$2:$AI$17,MATCH(Calculations!$A7,Parameters!$A$2:$A$17,0),MATCH(MONTH(Calculations!AJ$3),Parameters!$X$2:$AI$2,0)),1/12))</f>
        <v>8.3333333333333329E-2</v>
      </c>
      <c r="AK7" s="22">
        <f>IF($D7="",1/12,IFERROR(INDEX(Parameters!$X$2:$AI$17,MATCH(Calculations!$A7,Parameters!$A$2:$A$17,0),MATCH(MONTH(Calculations!AK$3),Parameters!$X$2:$AI$2,0)),1/12))</f>
        <v>8.3333333333333329E-2</v>
      </c>
      <c r="AL7" s="22">
        <f>IF($D7="",1/12,IFERROR(INDEX(Parameters!$X$2:$AI$17,MATCH(Calculations!$A7,Parameters!$A$2:$A$17,0),MATCH(MONTH(Calculations!AL$3),Parameters!$X$2:$AI$2,0)),1/12))</f>
        <v>8.3333333333333329E-2</v>
      </c>
      <c r="AM7" s="22">
        <f>IF($D7="",1/12,IFERROR(INDEX(Parameters!$X$2:$AI$17,MATCH(Calculations!$A7,Parameters!$A$2:$A$17,0),MATCH(MONTH(Calculations!AM$3),Parameters!$X$2:$AI$2,0)),1/12))</f>
        <v>8.3333333333333329E-2</v>
      </c>
      <c r="AN7" s="22">
        <f>IF($D7="",1/12,IFERROR(INDEX(Parameters!$X$2:$AI$17,MATCH(Calculations!$A7,Parameters!$A$2:$A$17,0),MATCH(MONTH(Calculations!AN$3),Parameters!$X$2:$AI$2,0)),1/12))</f>
        <v>8.3333333333333329E-2</v>
      </c>
      <c r="AO7" s="22">
        <f>IF($D7="",1/12,IFERROR(INDEX(Parameters!$X$2:$AI$17,MATCH(Calculations!$A7,Parameters!$A$2:$A$17,0),MATCH(MONTH(Calculations!AO$3),Parameters!$X$2:$AI$2,0)),1/12))</f>
        <v>8.3333333333333329E-2</v>
      </c>
      <c r="AP7" s="22">
        <f>IF($D7="",1/12,IFERROR(INDEX(Parameters!$X$2:$AI$17,MATCH(Calculations!$A7,Parameters!$A$2:$A$17,0),MATCH(MONTH(Calculations!AP$3),Parameters!$X$2:$AI$2,0)),1/12))</f>
        <v>8.3333333333333329E-2</v>
      </c>
      <c r="AQ7" s="22">
        <f>IF($D7="",1/12,IFERROR(INDEX(Parameters!$X$2:$AI$17,MATCH(Calculations!$A7,Parameters!$A$2:$A$17,0),MATCH(MONTH(Calculations!AQ$3),Parameters!$X$2:$AI$2,0)),1/12))</f>
        <v>8.3333333333333329E-2</v>
      </c>
      <c r="AR7" s="22">
        <f>IF($D7="",1/12,IFERROR(INDEX(Parameters!$X$2:$AI$17,MATCH(Calculations!$A7,Parameters!$A$2:$A$17,0),MATCH(MONTH(Calculations!AR$3),Parameters!$X$2:$AI$2,0)),1/12))</f>
        <v>8.3333333333333329E-2</v>
      </c>
      <c r="AS7" s="22">
        <f>IF($D7="",1/12,IFERROR(INDEX(Parameters!$X$2:$AI$17,MATCH(Calculations!$A7,Parameters!$A$2:$A$17,0),MATCH(MONTH(Calculations!AS$3),Parameters!$X$2:$AI$2,0)),1/12))</f>
        <v>8.3333333333333329E-2</v>
      </c>
      <c r="AT7" s="22">
        <f>IF($D7="",1/12,IFERROR(INDEX(Parameters!$X$2:$AI$17,MATCH(Calculations!$A7,Parameters!$A$2:$A$17,0),MATCH(MONTH(Calculations!AT$3),Parameters!$X$2:$AI$2,0)),1/12))</f>
        <v>8.3333333333333329E-2</v>
      </c>
    </row>
    <row r="8" spans="1:46" s="21" customFormat="1" x14ac:dyDescent="0.25">
      <c r="A8" s="23">
        <f>Inputs!A11</f>
        <v>0</v>
      </c>
      <c r="B8" s="40" t="str">
        <f>IFERROR(IF(DATE(YEAR(Inputs!$B$76),VLOOKUP(VLOOKUP(A8,Inputs!$A$7:$J$11,MATCH(Inputs!$J$6,Inputs!$A$6:$N$6,0),0),Parameters!$C$76:$D$87,2,0)+1,1)&gt;Inputs!$B$76,DATE(YEAR(Inputs!$B$76),VLOOKUP(VLOOKUP(A8,Inputs!$A$7:$J$11,MATCH(Inputs!$J$6,Inputs!$A$6:$N$6,0),0),Parameters!$C$76:$D$87,2,0),1),DATE(YEAR(Inputs!$B$76)+1,VLOOKUP(VLOOKUP(A8,Inputs!$A$7:$J$11,MATCH(Inputs!$J$6,Inputs!$A$6:$N$6,0),0),Parameters!$C$76:$D$87,2,0)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 t="shared" si="0"/>
        <v/>
      </c>
      <c r="F8" s="40" t="str">
        <f t="shared" si="1"/>
        <v/>
      </c>
      <c r="G8" s="40" t="str">
        <f t="shared" si="2"/>
        <v/>
      </c>
      <c r="H8" s="23">
        <f>Inputs!C11</f>
        <v>0</v>
      </c>
      <c r="I8" s="121" t="str">
        <f>IFERROR(VLOOKUP(Inputs!E11,Parameters!$J$74:$K$78,2,0),"")</f>
        <v/>
      </c>
      <c r="J8" s="28" t="str">
        <f>IFERROR(Inputs!G11/Calculations!H8,"")</f>
        <v/>
      </c>
      <c r="K8" s="28">
        <f>IFERROR(INDEX(Parameters!$A$3:$V$17,MATCH(Calculations!$A8,Parameters!$A$3:$A$17,0),MATCH(Parameters!$I$3,Parameters!$A$3:$V$3,0)),0)</f>
        <v>0</v>
      </c>
      <c r="L8" s="94">
        <f>IFERROR(IF(A8="Other crops",Inputs!D11/Calculations!H8,IF(NOT(ISERROR(MATCH(Inputs!A11,Parameters!$D$52:$I$52,0))),INDEX(Parameters!$B$53:$I$68,MATCH(Calculations!$I$32,Parameters!$B$53:$B$68,0)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$68,MATCH(Calculations!$I$32,Parameters!$B$53:$B$68,0)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>0</v>
      </c>
      <c r="P8" s="24">
        <f>IFERROR(INDEX(Parameters!$A$3:$V$17,MATCH(Calculations!$A8,Parameters!$A$3:$A$17,0),MATCH($P$3,Parameters!$A$3:$V$3,0)),0)</f>
        <v>0</v>
      </c>
      <c r="Q8" s="35">
        <f t="shared" si="3"/>
        <v>0</v>
      </c>
      <c r="R8" s="24">
        <f>IFERROR(INDEX(Parameters!$A$3:$V$17,MATCH(Calculations!$A8,Parameters!$A$3:$A$17,0),MATCH($R$3,Parameters!$A$3:$V$3,0)),0)</f>
        <v>0</v>
      </c>
      <c r="S8" s="31" t="str">
        <f>IF(ISERROR(MATCH(Inputs!A11,Parameters!$D$52:$I$52,0)),IF(T8="","",IF(T8&lt;6,2,IF(T8="N/A",IF(Inputs!J11&lt;&gt;Parameters!$C$75,0,2),1))),INDEX(Parameters!$B$53:$I$68,MATCH(Calculations!$I$32,Parameters!$B$53:$B$68,0),MATCH(Parameters!$E$53,Parameters!$B$53:$I$53,0)))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$75,MOD(VLOOKUP(Inputs!K11,Parameters!$C$76:$D$87,2,0)-MONTH(Calculations!B8),12),"N/A"),"")),INDEX(Parameters!$B$53:$I$68,MATCH(Calculations!$I$32,Parameters!$B$53:$B$68,0)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IFERROR(J8*H8*Parameters!$B$35+IF(OR(Inputs!F11=Parameters!$E$75,Inputs!F11=Parameters!$E$77),Calculations!H8*Parameters!$B$36,0),0)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IF(Inputs!I11=Parameters!$F$75,H8*INDEX(Parameters!$A$3:$AI$17,MATCH(Calculations!A8,Parameters!$A$3:$A$17,0),MATCH(Parameters!$Q$3,Parameters!$A$3:$AI$3,0)),0)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8.3333333333333329E-2</v>
      </c>
      <c r="AD8" s="24">
        <f>IF($D8="",1/12,IFERROR(INDEX(Parameters!$X$2:$AI$17,MATCH(Calculations!$A8,Parameters!$A$2:$A$17,0),MATCH(MONTH(Calculations!AD$3),Parameters!$X$2:$AI$2,0)),1/12))</f>
        <v>8.3333333333333329E-2</v>
      </c>
      <c r="AE8" s="24">
        <f>IF($D8="",1/12,IFERROR(INDEX(Parameters!$X$2:$AI$17,MATCH(Calculations!$A8,Parameters!$A$2:$A$17,0),MATCH(MONTH(Calculations!AE$3),Parameters!$X$2:$AI$2,0)),1/12))</f>
        <v>8.3333333333333329E-2</v>
      </c>
      <c r="AF8" s="24">
        <f>IF($D8="",1/12,IFERROR(INDEX(Parameters!$X$2:$AI$17,MATCH(Calculations!$A8,Parameters!$A$2:$A$17,0),MATCH(MONTH(Calculations!AF$3),Parameters!$X$2:$AI$2,0)),1/12))</f>
        <v>8.3333333333333329E-2</v>
      </c>
      <c r="AG8" s="24">
        <f>IF($D8="",1/12,IFERROR(INDEX(Parameters!$X$2:$AI$17,MATCH(Calculations!$A8,Parameters!$A$2:$A$17,0),MATCH(MONTH(Calculations!AG$3),Parameters!$X$2:$AI$2,0)),1/12))</f>
        <v>8.3333333333333329E-2</v>
      </c>
      <c r="AH8" s="24">
        <f>IF($D8="",1/12,IFERROR(INDEX(Parameters!$X$2:$AI$17,MATCH(Calculations!$A8,Parameters!$A$2:$A$17,0),MATCH(MONTH(Calculations!AH$3),Parameters!$X$2:$AI$2,0)),1/12))</f>
        <v>8.3333333333333329E-2</v>
      </c>
      <c r="AI8" s="24">
        <f>IF($D8="",1/12,IFERROR(INDEX(Parameters!$X$2:$AI$17,MATCH(Calculations!$A8,Parameters!$A$2:$A$17,0),MATCH(MONTH(Calculations!AI$3),Parameters!$X$2:$AI$2,0)),1/12))</f>
        <v>8.3333333333333329E-2</v>
      </c>
      <c r="AJ8" s="24">
        <f>IF($D8="",1/12,IFERROR(INDEX(Parameters!$X$2:$AI$17,MATCH(Calculations!$A8,Parameters!$A$2:$A$17,0),MATCH(MONTH(Calculations!AJ$3),Parameters!$X$2:$AI$2,0)),1/12))</f>
        <v>8.3333333333333329E-2</v>
      </c>
      <c r="AK8" s="24">
        <f>IF($D8="",1/12,IFERROR(INDEX(Parameters!$X$2:$AI$17,MATCH(Calculations!$A8,Parameters!$A$2:$A$17,0),MATCH(MONTH(Calculations!AK$3),Parameters!$X$2:$AI$2,0)),1/12))</f>
        <v>8.3333333333333329E-2</v>
      </c>
      <c r="AL8" s="24">
        <f>IF($D8="",1/12,IFERROR(INDEX(Parameters!$X$2:$AI$17,MATCH(Calculations!$A8,Parameters!$A$2:$A$17,0),MATCH(MONTH(Calculations!AL$3),Parameters!$X$2:$AI$2,0)),1/12))</f>
        <v>8.3333333333333329E-2</v>
      </c>
      <c r="AM8" s="24">
        <f>IF($D8="",1/12,IFERROR(INDEX(Parameters!$X$2:$AI$17,MATCH(Calculations!$A8,Parameters!$A$2:$A$17,0),MATCH(MONTH(Calculations!AM$3),Parameters!$X$2:$AI$2,0)),1/12))</f>
        <v>8.3333333333333329E-2</v>
      </c>
      <c r="AN8" s="24">
        <f>IF($D8="",1/12,IFERROR(INDEX(Parameters!$X$2:$AI$17,MATCH(Calculations!$A8,Parameters!$A$2:$A$17,0),MATCH(MONTH(Calculations!AN$3),Parameters!$X$2:$AI$2,0)),1/12))</f>
        <v>8.3333333333333329E-2</v>
      </c>
      <c r="AO8" s="24">
        <f>IF($D8="",1/12,IFERROR(INDEX(Parameters!$X$2:$AI$17,MATCH(Calculations!$A8,Parameters!$A$2:$A$17,0),MATCH(MONTH(Calculations!AO$3),Parameters!$X$2:$AI$2,0)),1/12))</f>
        <v>8.3333333333333329E-2</v>
      </c>
      <c r="AP8" s="24">
        <f>IF($D8="",1/12,IFERROR(INDEX(Parameters!$X$2:$AI$17,MATCH(Calculations!$A8,Parameters!$A$2:$A$17,0),MATCH(MONTH(Calculations!AP$3),Parameters!$X$2:$AI$2,0)),1/12))</f>
        <v>8.3333333333333329E-2</v>
      </c>
      <c r="AQ8" s="24">
        <f>IF($D8="",1/12,IFERROR(INDEX(Parameters!$X$2:$AI$17,MATCH(Calculations!$A8,Parameters!$A$2:$A$17,0),MATCH(MONTH(Calculations!AQ$3),Parameters!$X$2:$AI$2,0)),1/12))</f>
        <v>8.3333333333333329E-2</v>
      </c>
      <c r="AR8" s="24">
        <f>IF($D8="",1/12,IFERROR(INDEX(Parameters!$X$2:$AI$17,MATCH(Calculations!$A8,Parameters!$A$2:$A$17,0),MATCH(MONTH(Calculations!AR$3),Parameters!$X$2:$AI$2,0)),1/12))</f>
        <v>8.3333333333333329E-2</v>
      </c>
      <c r="AS8" s="24">
        <f>IF($D8="",1/12,IFERROR(INDEX(Parameters!$X$2:$AI$17,MATCH(Calculations!$A8,Parameters!$A$2:$A$17,0),MATCH(MONTH(Calculations!AS$3),Parameters!$X$2:$AI$2,0)),1/12))</f>
        <v>8.3333333333333329E-2</v>
      </c>
      <c r="AT8" s="24">
        <f>IF($D8="",1/12,IFERROR(INDEX(Parameters!$X$2:$AI$17,MATCH(Calculations!$A8,Parameters!$A$2:$A$17,0),MATCH(MONTH(Calculations!AT$3),Parameters!$X$2:$AI$2,0)),1/12))</f>
        <v>8.3333333333333329E-2</v>
      </c>
    </row>
    <row r="9" spans="1:46" x14ac:dyDescent="0.25">
      <c r="B9"/>
      <c r="C9"/>
      <c r="M9" s="30"/>
    </row>
    <row r="10" spans="1:46" x14ac:dyDescent="0.25">
      <c r="B10"/>
      <c r="C10"/>
      <c r="M10" s="30"/>
    </row>
    <row r="11" spans="1:46" x14ac:dyDescent="0.25">
      <c r="A11" s="3" t="s">
        <v>108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 x14ac:dyDescent="0.25">
      <c r="B12"/>
      <c r="C12"/>
    </row>
    <row r="13" spans="1:46" ht="60" x14ac:dyDescent="0.25">
      <c r="A13" s="15" t="s">
        <v>109</v>
      </c>
      <c r="B13" s="15" t="s">
        <v>32</v>
      </c>
      <c r="C13" s="15" t="s">
        <v>135</v>
      </c>
      <c r="D13" s="15" t="s">
        <v>260</v>
      </c>
      <c r="E13" s="15" t="s">
        <v>261</v>
      </c>
      <c r="F13" s="15" t="s">
        <v>205</v>
      </c>
      <c r="G13" s="15" t="s">
        <v>259</v>
      </c>
      <c r="H13" s="15" t="s">
        <v>115</v>
      </c>
      <c r="I13" s="15" t="s">
        <v>258</v>
      </c>
      <c r="J13" s="15" t="s">
        <v>132</v>
      </c>
      <c r="K13" s="15" t="s">
        <v>134</v>
      </c>
      <c r="L13" s="15" t="s">
        <v>331</v>
      </c>
      <c r="M13" s="180" t="s">
        <v>311</v>
      </c>
      <c r="N13" s="180" t="s">
        <v>312</v>
      </c>
      <c r="O13" s="62" t="s">
        <v>150</v>
      </c>
      <c r="P13" s="62" t="s">
        <v>31</v>
      </c>
      <c r="Q13" s="62" t="s">
        <v>139</v>
      </c>
      <c r="R13" s="62" t="s">
        <v>138</v>
      </c>
      <c r="S13" s="62" t="s">
        <v>140</v>
      </c>
    </row>
    <row r="14" spans="1:46" x14ac:dyDescent="0.25">
      <c r="A14" s="20">
        <f>Inputs!A19</f>
        <v>0</v>
      </c>
      <c r="B14" s="20" t="str">
        <f>IFERROR(VLOOKUP(A14,Parameters!$A$23:$B$30,2,0),"")</f>
        <v/>
      </c>
      <c r="C14" s="20" t="str">
        <f>IF(Inputs!A19=Parameters!$A$30,Inputs!B19,A14&amp;": "&amp;B14)</f>
        <v xml:space="preserve">0: </v>
      </c>
      <c r="D14" s="16">
        <f>Inputs!C19</f>
        <v>0</v>
      </c>
      <c r="E14" s="16">
        <f>Inputs!D19</f>
        <v>0</v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3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7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/>
      </c>
      <c r="L14" s="172"/>
      <c r="M14" s="60">
        <f>Inputs!J19/100</f>
        <v>0</v>
      </c>
      <c r="N14" s="181">
        <f>Inputs!K19/100</f>
        <v>0</v>
      </c>
      <c r="O14" s="63">
        <f>IFERROR(INDEX(Parameters!$A$41:$C$48,MATCH(Calculations!A14,Parameters!$A$41:$A$48,0),MATCH(Inputs!F19,Parameters!$A$41:$C$41,0)),0)</f>
        <v>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 t="str">
        <f>IFERROR(D14*INDEX(Parameters!$A$22:$P$29,MATCH(Calculations!$A14,Parameters!$A$22:$A$29,0),MATCH(Parameters!$L$22,Parameters!$A$22:$P$22,0))*IF(Inputs!I19="Always",1,IF(Inputs!I19="Sometimes",0.5,0))*365,"")</f>
        <v/>
      </c>
      <c r="R14" s="63" t="str">
        <f>IFERROR(D14*INDEX(Parameters!$A$22:$P$29,MATCH(Calculations!$A14,Parameters!$A$22:$A$29,0),MATCH(Parameters!$M$22,Parameters!$A$22:$P$22,0)),"")</f>
        <v/>
      </c>
      <c r="S14" s="63" t="str">
        <f>IFERROR(D14*INDEX(Parameters!$A$22:$P$29,MATCH(Calculations!$A14,Parameters!$A$22:$A$29,0),MATCH(Parameters!$N$22,Parameters!$A$22:$P$22,0)),"")</f>
        <v/>
      </c>
    </row>
    <row r="15" spans="1:46" x14ac:dyDescent="0.25">
      <c r="A15" s="16">
        <f>Inputs!A20</f>
        <v>0</v>
      </c>
      <c r="B15" s="16" t="str">
        <f>IFERROR(VLOOKUP(A15,Parameters!$A$23:$B$30,2,0),"")</f>
        <v/>
      </c>
      <c r="C15" s="16" t="str">
        <f>IF(Inputs!A20=Parameters!$A$30,Inputs!B20,A15&amp;": "&amp;B15)</f>
        <v xml:space="preserve">0: </v>
      </c>
      <c r="D15" s="16">
        <f>Inputs!C20</f>
        <v>0</v>
      </c>
      <c r="E15" s="16">
        <f>Inputs!D20</f>
        <v>0</v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3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6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/>
      </c>
      <c r="L15" s="173"/>
      <c r="M15" s="22">
        <f>Inputs!J20/100</f>
        <v>0</v>
      </c>
      <c r="N15" s="132">
        <f>Inputs!K20/100</f>
        <v>0</v>
      </c>
      <c r="O15" s="64">
        <f>IFERROR(INDEX(Parameters!$A$41:$C$48,MATCH(Calculations!A15,Parameters!$A$41:$A$48,0),MATCH(Inputs!F20,Parameters!$A$41:$C$41,0)),0)</f>
        <v>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 t="str">
        <f>IFERROR(D15*INDEX(Parameters!$A$22:$P$29,MATCH(Calculations!$A15,Parameters!$A$22:$A$29,0),MATCH(Parameters!$L$22,Parameters!$A$22:$P$22,0))*IF(Inputs!I20="Always",1,IF(Inputs!I20="Sometimes",0.5,0))*365,"")</f>
        <v/>
      </c>
      <c r="R15" s="64" t="str">
        <f>IFERROR(D15*INDEX(Parameters!$A$22:$P$29,MATCH(Calculations!$A15,Parameters!$A$22:$A$29,0),MATCH(Parameters!$M$22,Parameters!$A$22:$P$22,0)),"")</f>
        <v/>
      </c>
      <c r="S15" s="64" t="str">
        <f>IFERROR(D15*INDEX(Parameters!$A$22:$P$29,MATCH(Calculations!$A15,Parameters!$A$22:$A$29,0),MATCH(Parameters!$N$22,Parameters!$A$22:$P$22,0)),"")</f>
        <v/>
      </c>
    </row>
    <row r="16" spans="1:46" x14ac:dyDescent="0.25">
      <c r="A16" s="16">
        <f>Inputs!A21</f>
        <v>0</v>
      </c>
      <c r="B16" s="16" t="str">
        <f>IFERROR(VLOOKUP(A16,Parameters!$A$23:$B$30,2,0),"")</f>
        <v/>
      </c>
      <c r="C16" s="16" t="str">
        <f>IF(Inputs!A21=Parameters!$A$30,Inputs!B21,A16&amp;": "&amp;B16)</f>
        <v xml:space="preserve">0: </v>
      </c>
      <c r="D16" s="16">
        <f>Inputs!C21</f>
        <v>0</v>
      </c>
      <c r="E16" s="16">
        <f>Inputs!D21</f>
        <v>0</v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4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6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/>
      </c>
      <c r="L16" s="173"/>
      <c r="M16" s="22">
        <f>Inputs!J21/100</f>
        <v>0</v>
      </c>
      <c r="N16" s="132">
        <f>Inputs!K21/100</f>
        <v>0</v>
      </c>
      <c r="O16" s="64">
        <f>IFERROR(INDEX(Parameters!$A$41:$C$48,MATCH(Calculations!A16,Parameters!$A$41:$A$48,0),MATCH(Inputs!F21,Parameters!$A$41:$C$41,0)),0)</f>
        <v>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 t="str">
        <f>IFERROR(D16*INDEX(Parameters!$A$22:$P$29,MATCH(Calculations!$A16,Parameters!$A$22:$A$29,0),MATCH(Parameters!$L$22,Parameters!$A$22:$P$22,0))*IF(Inputs!I21="Always",1,IF(Inputs!I21="Sometimes",0.5,0))*365,"")</f>
        <v/>
      </c>
      <c r="R16" s="64" t="str">
        <f>IFERROR(D16*INDEX(Parameters!$A$22:$P$29,MATCH(Calculations!$A16,Parameters!$A$22:$A$29,0),MATCH(Parameters!$M$22,Parameters!$A$22:$P$22,0)),"")</f>
        <v/>
      </c>
      <c r="S16" s="64" t="str">
        <f>IFERROR(D16*INDEX(Parameters!$A$22:$P$29,MATCH(Calculations!$A16,Parameters!$A$22:$A$29,0),MATCH(Parameters!$N$22,Parameters!$A$22:$P$22,0)),"")</f>
        <v/>
      </c>
    </row>
    <row r="17" spans="1:43" x14ac:dyDescent="0.25">
      <c r="A17" s="23" t="str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 t="str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2" t="str">
        <f>IF(A17="","",INDEX(G14:G16,MATCH(Parameters!B23,B14:B16,0)))</f>
        <v/>
      </c>
      <c r="H17" s="125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8"/>
      <c r="K17" s="61"/>
      <c r="L17" s="174" t="str">
        <f>IF(A17="","",DATE(YEAR(Inputs!$B$76),MONTH(Inputs!$B$76)+Parameters!O23-INDEX(Inputs!$L$19:$L$21,MATCH(Parameters!$A$23,Inputs!$A$19:$A$21,0)),1))</f>
        <v/>
      </c>
      <c r="M17" s="24"/>
      <c r="N17" s="182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3" x14ac:dyDescent="0.25">
      <c r="B18"/>
      <c r="C18"/>
    </row>
    <row r="19" spans="1:43" x14ac:dyDescent="0.25">
      <c r="B19"/>
      <c r="C19"/>
    </row>
    <row r="20" spans="1:43" x14ac:dyDescent="0.25">
      <c r="A20" s="3" t="s">
        <v>224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3" x14ac:dyDescent="0.25">
      <c r="B21"/>
      <c r="C21"/>
    </row>
    <row r="22" spans="1:43" ht="30" x14ac:dyDescent="0.25">
      <c r="A22" s="75" t="s">
        <v>155</v>
      </c>
      <c r="B22" s="75" t="s">
        <v>215</v>
      </c>
      <c r="C22" s="75" t="s">
        <v>262</v>
      </c>
      <c r="D22" s="75" t="s">
        <v>263</v>
      </c>
      <c r="E22" s="75" t="s">
        <v>217</v>
      </c>
    </row>
    <row r="23" spans="1:43" x14ac:dyDescent="0.25">
      <c r="A23" s="76">
        <f>Inputs!A56</f>
        <v>0</v>
      </c>
      <c r="B23" s="76">
        <f>SUM(C23:D23)</f>
        <v>0</v>
      </c>
      <c r="C23" s="76">
        <f>IF(Inputs!B56&gt;0,(Inputs!A56-Inputs!B56)/(Inputs!$B$76-Inputs!C56)*30,0)</f>
        <v>0</v>
      </c>
      <c r="D23" s="76">
        <f>IF(Inputs!B56&gt;0,Inputs!A56*0.22/12,0)</f>
        <v>0</v>
      </c>
      <c r="E23" s="76">
        <f>IFERROR(ROUNDUP(Inputs!B56/C23,0),0)</f>
        <v>0</v>
      </c>
    </row>
    <row r="24" spans="1:43" x14ac:dyDescent="0.25">
      <c r="A24" s="46">
        <f>Inputs!A57</f>
        <v>0</v>
      </c>
      <c r="B24" s="46">
        <f t="shared" ref="B24:B27" si="4">SUM(C24:D24)</f>
        <v>0</v>
      </c>
      <c r="C24" s="46">
        <f>IF(Inputs!B57&gt;0,(Inputs!A57-Inputs!B57)/(Inputs!$B$76-Inputs!C57)*30,0)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3" x14ac:dyDescent="0.25">
      <c r="A25" s="46">
        <f>Inputs!A58</f>
        <v>0</v>
      </c>
      <c r="B25" s="46">
        <f t="shared" si="4"/>
        <v>0</v>
      </c>
      <c r="C25" s="46">
        <f>IF(Inputs!B58&gt;0,(Inputs!A58-Inputs!B58)/(Inputs!$B$76-Inputs!C58)*30,0)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3" x14ac:dyDescent="0.25">
      <c r="A26" s="46">
        <f>Inputs!A59</f>
        <v>0</v>
      </c>
      <c r="B26" s="46">
        <f t="shared" si="4"/>
        <v>0</v>
      </c>
      <c r="C26" s="46">
        <f>IF(Inputs!B59&gt;0,(Inputs!A59-Inputs!B59)/(Inputs!$B$76-Inputs!C59)*30,0)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3" x14ac:dyDescent="0.25">
      <c r="A27" s="61">
        <f>Inputs!A60</f>
        <v>0</v>
      </c>
      <c r="B27" s="61">
        <f t="shared" si="4"/>
        <v>0</v>
      </c>
      <c r="C27" s="61">
        <f>IF(Inputs!B60&gt;0,(Inputs!A60-Inputs!B60)/(Inputs!$B$76-Inputs!C60)*30,0)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3" x14ac:dyDescent="0.25">
      <c r="B28"/>
      <c r="C28"/>
    </row>
    <row r="29" spans="1:43" x14ac:dyDescent="0.25">
      <c r="B29"/>
      <c r="C29"/>
    </row>
    <row r="30" spans="1:43" x14ac:dyDescent="0.25">
      <c r="A30" s="3" t="s">
        <v>264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3" x14ac:dyDescent="0.25">
      <c r="B31"/>
      <c r="C31"/>
    </row>
    <row r="32" spans="1:43" x14ac:dyDescent="0.25">
      <c r="A32" s="131" t="s">
        <v>212</v>
      </c>
      <c r="B32" s="131" t="s">
        <v>214</v>
      </c>
      <c r="C32" s="131" t="s">
        <v>213</v>
      </c>
      <c r="E32" s="134" t="s">
        <v>271</v>
      </c>
      <c r="F32" s="134" t="s">
        <v>272</v>
      </c>
      <c r="H32" s="176" t="s">
        <v>337</v>
      </c>
      <c r="I32" s="177" t="e">
        <f>VLOOKUP(VALUE(Inputs!B75),Parameters!A54:B68,2,0)</f>
        <v>#N/A</v>
      </c>
    </row>
    <row r="33" spans="1:9" x14ac:dyDescent="0.25">
      <c r="A33">
        <v>1</v>
      </c>
      <c r="B33" s="130">
        <f>F34</f>
        <v>0</v>
      </c>
      <c r="C33" s="27" t="e">
        <f>IF(B33&lt;&gt;"",IF(COUNT($A$33:A33)&lt;=$F$39,0,$F$41)+IF(COUNT($A$33:A33)&lt;=$F$40,0,$F$42),"")</f>
        <v>#DIV/0!</v>
      </c>
      <c r="E33" t="s">
        <v>223</v>
      </c>
      <c r="F33" s="130">
        <f>Inputs!B79</f>
        <v>0</v>
      </c>
      <c r="I33" s="43"/>
    </row>
    <row r="34" spans="1:9" x14ac:dyDescent="0.25">
      <c r="A34">
        <f t="shared" ref="A34:A65" si="5">A33+1</f>
        <v>2</v>
      </c>
      <c r="B34" s="130" t="e">
        <f>IF(COUNT($A$33:A34)&lt;=$F$38,IF($F$37="Monthly",DATE(YEAR(B33),MONTH(B33)+1,MIN(DAY(B33),28)),B33+14),"")</f>
        <v>#DIV/0!</v>
      </c>
      <c r="C34" s="27" t="e">
        <f>IF(B34&lt;&gt;"",IF(COUNT($A$33:A34)&lt;=$F$39,0,$F$41)+IF(COUNT($A$33:A34)&lt;=$F$40,0,$F$42),"")</f>
        <v>#DIV/0!</v>
      </c>
      <c r="E34" t="s">
        <v>265</v>
      </c>
      <c r="F34" s="130">
        <f>Inputs!B80</f>
        <v>0</v>
      </c>
    </row>
    <row r="35" spans="1:9" x14ac:dyDescent="0.25">
      <c r="A35">
        <f t="shared" si="5"/>
        <v>3</v>
      </c>
      <c r="B35" s="130" t="e">
        <f>IF(COUNT($A$33:A35)&lt;=$F$38,IF($F$37="Monthly",DATE(YEAR(B34),MONTH(B34)+1,MIN(DAY(B34),28)),B34+14),"")</f>
        <v>#DIV/0!</v>
      </c>
      <c r="C35" s="27" t="e">
        <f>IF(B35&lt;&gt;"",IF(COUNT($A$33:A35)&lt;=$F$39,0,$F$41)+IF(COUNT($A$33:A35)&lt;=$F$40,0,$F$42),"")</f>
        <v>#DIV/0!</v>
      </c>
      <c r="E35" t="s">
        <v>231</v>
      </c>
      <c r="F35" s="27">
        <f>Inputs!B81</f>
        <v>0</v>
      </c>
    </row>
    <row r="36" spans="1:9" x14ac:dyDescent="0.25">
      <c r="A36">
        <f t="shared" si="5"/>
        <v>4</v>
      </c>
      <c r="B36" s="130" t="e">
        <f>IF(COUNT($A$33:A36)&lt;=$F$38,IF($F$37="Monthly",DATE(YEAR(B35),MONTH(B35)+1,MIN(DAY(B35),28)),B35+14),"")</f>
        <v>#DIV/0!</v>
      </c>
      <c r="C36" s="27" t="e">
        <f>IF(B36&lt;&gt;"",IF(COUNT($A$33:A36)&lt;=$F$39,0,$F$41)+IF(COUNT($A$33:A36)&lt;=$F$40,0,$F$42),"")</f>
        <v>#DIV/0!</v>
      </c>
      <c r="E36" t="s">
        <v>266</v>
      </c>
      <c r="F36" s="132">
        <f>Inputs!B82/100</f>
        <v>0</v>
      </c>
    </row>
    <row r="37" spans="1:9" x14ac:dyDescent="0.25">
      <c r="A37">
        <f t="shared" si="5"/>
        <v>5</v>
      </c>
      <c r="B37" s="130" t="e">
        <f>IF(COUNT($A$33:A37)&lt;=$F$38,IF($F$37="Monthly",DATE(YEAR(B36),MONTH(B36)+1,MIN(DAY(B36),28)),B36+14),"")</f>
        <v>#DIV/0!</v>
      </c>
      <c r="C37" s="27" t="e">
        <f>IF(B37&lt;&gt;"",IF(COUNT($A$33:A37)&lt;=$F$39,0,$F$41)+IF(COUNT($A$33:A37)&lt;=$F$40,0,$F$42),"")</f>
        <v>#DIV/0!</v>
      </c>
      <c r="E37" t="s">
        <v>267</v>
      </c>
      <c r="F37" s="133" t="str">
        <f>IF(Inputs!B83="Months","Monthly",IF(Inputs!B83="Weeks",IF(Inputs!B84=1,"Weekly",IF(Inputs!B84=2,"Fortnightly",IF(Inputs!B84=4,"Four weeks","ERROR"))),""))</f>
        <v/>
      </c>
    </row>
    <row r="38" spans="1:9" x14ac:dyDescent="0.25">
      <c r="A38">
        <f t="shared" si="5"/>
        <v>6</v>
      </c>
      <c r="B38" s="130" t="e">
        <f>IF(COUNT($A$33:A38)&lt;=$F$38,IF($F$37="Monthly",DATE(YEAR(B37),MONTH(B37)+1,MIN(DAY(B37),28)),B37+14),"")</f>
        <v>#DIV/0!</v>
      </c>
      <c r="C38" s="27" t="e">
        <f>IF(B38&lt;&gt;"",IF(COUNT($A$33:A38)&lt;=$F$39,0,$F$41)+IF(COUNT($A$33:A38)&lt;=$F$40,0,$F$42),"")</f>
        <v>#DIV/0!</v>
      </c>
      <c r="E38" t="s">
        <v>270</v>
      </c>
      <c r="F38" s="27" t="e">
        <f>Inputs!B85/Inputs!B84</f>
        <v>#DIV/0!</v>
      </c>
    </row>
    <row r="39" spans="1:9" x14ac:dyDescent="0.25">
      <c r="A39">
        <f t="shared" si="5"/>
        <v>7</v>
      </c>
      <c r="B39" s="130" t="e">
        <f>IF(COUNT($A$33:A39)&lt;=$F$38,IF($F$37="Monthly",DATE(YEAR(B38),MONTH(B38)+1,MIN(DAY(B38),28)),B38+14),"")</f>
        <v>#DIV/0!</v>
      </c>
      <c r="C39" s="27" t="e">
        <f>IF(B39&lt;&gt;"",IF(COUNT($A$33:A39)&lt;=$F$39,0,$F$41)+IF(COUNT($A$33:A39)&lt;=$F$40,0,$F$42),"")</f>
        <v>#DIV/0!</v>
      </c>
      <c r="E39" t="s">
        <v>268</v>
      </c>
      <c r="F39" s="27">
        <f>Inputs!B86</f>
        <v>0</v>
      </c>
    </row>
    <row r="40" spans="1:9" x14ac:dyDescent="0.25">
      <c r="A40">
        <f t="shared" si="5"/>
        <v>8</v>
      </c>
      <c r="B40" s="130" t="e">
        <f>IF(COUNT($A$33:A40)&lt;=$F$38,IF($F$37="Monthly",DATE(YEAR(B39),MONTH(B39)+1,MIN(DAY(B39),28)),B39+14),"")</f>
        <v>#DIV/0!</v>
      </c>
      <c r="C40" s="27" t="e">
        <f>IF(B40&lt;&gt;"",IF(COUNT($A$33:A40)&lt;=$F$39,0,$F$41)+IF(COUNT($A$33:A40)&lt;=$F$40,0,$F$42),"")</f>
        <v>#DIV/0!</v>
      </c>
      <c r="E40" t="s">
        <v>269</v>
      </c>
      <c r="F40" s="27">
        <f>Inputs!B87</f>
        <v>0</v>
      </c>
    </row>
    <row r="41" spans="1:9" x14ac:dyDescent="0.25">
      <c r="A41">
        <f t="shared" si="5"/>
        <v>9</v>
      </c>
      <c r="B41" s="130" t="e">
        <f>IF(COUNT($A$33:A41)&lt;=$F$38,IF($F$37="Monthly",DATE(YEAR(B40),MONTH(B40)+1,MIN(DAY(B40),28)),B40+14),"")</f>
        <v>#DIV/0!</v>
      </c>
      <c r="C41" s="27" t="e">
        <f>IF(B41&lt;&gt;"",IF(COUNT($A$33:A41)&lt;=$F$39,0,$F$41)+IF(COUNT($A$33:A41)&lt;=$F$40,0,$F$42),"")</f>
        <v>#DIV/0!</v>
      </c>
      <c r="E41" t="s">
        <v>273</v>
      </c>
      <c r="F41" s="74" t="e">
        <f>F35/(F38-F39)</f>
        <v>#DIV/0!</v>
      </c>
      <c r="G41" s="74"/>
    </row>
    <row r="42" spans="1:9" x14ac:dyDescent="0.25">
      <c r="A42">
        <f t="shared" si="5"/>
        <v>10</v>
      </c>
      <c r="B42" s="130" t="e">
        <f>IF(COUNT($A$33:A42)&lt;=$F$38,IF($F$37="Monthly",DATE(YEAR(B41),MONTH(B41)+1,MIN(DAY(B41),28)),B41+14),"")</f>
        <v>#DIV/0!</v>
      </c>
      <c r="C42" s="27" t="e">
        <f>IF(B42&lt;&gt;"",IF(COUNT($A$33:A42)&lt;=$F$39,0,$F$41)+IF(COUNT($A$33:A42)&lt;=$F$40,0,$F$42),"")</f>
        <v>#DIV/0!</v>
      </c>
      <c r="E42" t="s">
        <v>274</v>
      </c>
      <c r="F42" s="74" t="e">
        <f>F35*F36*IF(F37="Monthly",F38/12,IF(F37="Fortnightly",F38/(365/14),F38/(365/28)))/(F38-F40)</f>
        <v>#DIV/0!</v>
      </c>
    </row>
    <row r="43" spans="1:9" x14ac:dyDescent="0.25">
      <c r="A43">
        <f t="shared" si="5"/>
        <v>11</v>
      </c>
      <c r="B43" s="130" t="e">
        <f>IF(COUNT($A$33:A43)&lt;=$F$38,IF($F$37="Monthly",DATE(YEAR(B42),MONTH(B42)+1,MIN(DAY(B42),28)),B42+14),"")</f>
        <v>#DIV/0!</v>
      </c>
      <c r="C43" s="27" t="e">
        <f>IF(B43&lt;&gt;"",IF(COUNT($A$33:A43)&lt;=$F$39,0,$F$41)+IF(COUNT($A$33:A43)&lt;=$F$40,0,$F$42),"")</f>
        <v>#DIV/0!</v>
      </c>
    </row>
    <row r="44" spans="1:9" x14ac:dyDescent="0.25">
      <c r="A44">
        <f t="shared" si="5"/>
        <v>12</v>
      </c>
      <c r="B44" s="130" t="e">
        <f>IF(COUNT($A$33:A44)&lt;=$F$38,IF($F$37="Monthly",DATE(YEAR(B43),MONTH(B43)+1,MIN(DAY(B43),28)),B43+14),"")</f>
        <v>#DIV/0!</v>
      </c>
      <c r="C44" s="27" t="e">
        <f>IF(B44&lt;&gt;"",IF(COUNT($A$33:A44)&lt;=$F$39,0,$F$41)+IF(COUNT($A$33:A44)&lt;=$F$40,0,$F$42),"")</f>
        <v>#DIV/0!</v>
      </c>
    </row>
    <row r="45" spans="1:9" x14ac:dyDescent="0.25">
      <c r="A45">
        <f t="shared" si="5"/>
        <v>13</v>
      </c>
      <c r="B45" s="130" t="e">
        <f>IF(COUNT($A$33:A45)&lt;=$F$38,IF($F$37="Monthly",DATE(YEAR(B44),MONTH(B44)+1,MIN(DAY(B44),28)),B44+14),"")</f>
        <v>#DIV/0!</v>
      </c>
      <c r="C45" s="27" t="e">
        <f>IF(B45&lt;&gt;"",IF(COUNT($A$33:A45)&lt;=$F$39,0,$F$41)+IF(COUNT($A$33:A45)&lt;=$F$40,0,$F$42),"")</f>
        <v>#DIV/0!</v>
      </c>
    </row>
    <row r="46" spans="1:9" x14ac:dyDescent="0.25">
      <c r="A46">
        <f t="shared" si="5"/>
        <v>14</v>
      </c>
      <c r="B46" s="130" t="e">
        <f>IF(COUNT($A$33:A46)&lt;=$F$38,IF($F$37="Monthly",DATE(YEAR(B45),MONTH(B45)+1,MIN(DAY(B45),28)),B45+14),"")</f>
        <v>#DIV/0!</v>
      </c>
      <c r="C46" s="27" t="e">
        <f>IF(B46&lt;&gt;"",IF(COUNT($A$33:A46)&lt;=$F$39,0,$F$41)+IF(COUNT($A$33:A46)&lt;=$F$40,0,$F$42),"")</f>
        <v>#DIV/0!</v>
      </c>
    </row>
    <row r="47" spans="1:9" x14ac:dyDescent="0.25">
      <c r="A47">
        <f t="shared" si="5"/>
        <v>15</v>
      </c>
      <c r="B47" s="130" t="e">
        <f>IF(COUNT($A$33:A47)&lt;=$F$38,IF($F$37="Monthly",DATE(YEAR(B46),MONTH(B46)+1,MIN(DAY(B46),28)),B46+14),"")</f>
        <v>#DIV/0!</v>
      </c>
      <c r="C47" s="27" t="e">
        <f>IF(B47&lt;&gt;"",IF(COUNT($A$33:A47)&lt;=$F$39,0,$F$41)+IF(COUNT($A$33:A47)&lt;=$F$40,0,$F$42),"")</f>
        <v>#DIV/0!</v>
      </c>
    </row>
    <row r="48" spans="1:9" x14ac:dyDescent="0.25">
      <c r="A48">
        <f t="shared" si="5"/>
        <v>16</v>
      </c>
      <c r="B48" s="130" t="e">
        <f>IF(COUNT($A$33:A48)&lt;=$F$38,IF($F$37="Monthly",DATE(YEAR(B47),MONTH(B47)+1,MIN(DAY(B47),28)),B47+14),"")</f>
        <v>#DIV/0!</v>
      </c>
      <c r="C48" s="27" t="e">
        <f>IF(B48&lt;&gt;"",IF(COUNT($A$33:A48)&lt;=$F$39,0,$F$41)+IF(COUNT($A$33:A48)&lt;=$F$40,0,$F$42),"")</f>
        <v>#DIV/0!</v>
      </c>
    </row>
    <row r="49" spans="1:3" x14ac:dyDescent="0.25">
      <c r="A49">
        <f t="shared" si="5"/>
        <v>17</v>
      </c>
      <c r="B49" s="130" t="e">
        <f>IF(COUNT($A$33:A49)&lt;=$F$38,IF($F$37="Monthly",DATE(YEAR(B48),MONTH(B48)+1,MIN(DAY(B48),28)),B48+14),"")</f>
        <v>#DIV/0!</v>
      </c>
      <c r="C49" s="27" t="e">
        <f>IF(B49&lt;&gt;"",IF(COUNT($A$33:A49)&lt;=$F$39,0,$F$41)+IF(COUNT($A$33:A49)&lt;=$F$40,0,$F$42),"")</f>
        <v>#DIV/0!</v>
      </c>
    </row>
    <row r="50" spans="1:3" x14ac:dyDescent="0.25">
      <c r="A50">
        <f t="shared" si="5"/>
        <v>18</v>
      </c>
      <c r="B50" s="130" t="e">
        <f>IF(COUNT($A$33:A50)&lt;=$F$38,IF($F$37="Monthly",DATE(YEAR(B49),MONTH(B49)+1,MIN(DAY(B49),28)),B49+14),"")</f>
        <v>#DIV/0!</v>
      </c>
      <c r="C50" s="27" t="e">
        <f>IF(B50&lt;&gt;"",IF(COUNT($A$33:A50)&lt;=$F$39,0,$F$41)+IF(COUNT($A$33:A50)&lt;=$F$40,0,$F$42),"")</f>
        <v>#DIV/0!</v>
      </c>
    </row>
    <row r="51" spans="1:3" x14ac:dyDescent="0.25">
      <c r="A51">
        <f t="shared" si="5"/>
        <v>19</v>
      </c>
      <c r="B51" s="130" t="e">
        <f>IF(COUNT($A$33:A51)&lt;=$F$38,IF($F$37="Monthly",DATE(YEAR(B50),MONTH(B50)+1,MIN(DAY(B50),28)),B50+14),"")</f>
        <v>#DIV/0!</v>
      </c>
      <c r="C51" s="27" t="e">
        <f>IF(B51&lt;&gt;"",IF(COUNT($A$33:A51)&lt;=$F$39,0,$F$41)+IF(COUNT($A$33:A51)&lt;=$F$40,0,$F$42),"")</f>
        <v>#DIV/0!</v>
      </c>
    </row>
    <row r="52" spans="1:3" x14ac:dyDescent="0.25">
      <c r="A52">
        <f t="shared" si="5"/>
        <v>20</v>
      </c>
      <c r="B52" s="130" t="e">
        <f>IF(COUNT($A$33:A52)&lt;=$F$38,IF($F$37="Monthly",DATE(YEAR(B51),MONTH(B51)+1,MIN(DAY(B51),28)),B51+14),"")</f>
        <v>#DIV/0!</v>
      </c>
      <c r="C52" s="27" t="e">
        <f>IF(B52&lt;&gt;"",IF(COUNT($A$33:A52)&lt;=$F$39,0,$F$41)+IF(COUNT($A$33:A52)&lt;=$F$40,0,$F$42),"")</f>
        <v>#DIV/0!</v>
      </c>
    </row>
    <row r="53" spans="1:3" x14ac:dyDescent="0.25">
      <c r="A53">
        <f t="shared" si="5"/>
        <v>21</v>
      </c>
      <c r="B53" s="130" t="e">
        <f>IF(COUNT($A$33:A53)&lt;=$F$38,IF($F$37="Monthly",DATE(YEAR(B52),MONTH(B52)+1,MIN(DAY(B52),28)),B52+14),"")</f>
        <v>#DIV/0!</v>
      </c>
      <c r="C53" s="27" t="e">
        <f>IF(B53&lt;&gt;"",IF(COUNT($A$33:A53)&lt;=$F$39,0,$F$41)+IF(COUNT($A$33:A53)&lt;=$F$40,0,$F$42),"")</f>
        <v>#DIV/0!</v>
      </c>
    </row>
    <row r="54" spans="1:3" x14ac:dyDescent="0.25">
      <c r="A54">
        <f t="shared" si="5"/>
        <v>22</v>
      </c>
      <c r="B54" s="130" t="e">
        <f>IF(COUNT($A$33:A54)&lt;=$F$38,IF($F$37="Monthly",DATE(YEAR(B53),MONTH(B53)+1,MIN(DAY(B53),28)),B53+14),"")</f>
        <v>#DIV/0!</v>
      </c>
      <c r="C54" s="27" t="e">
        <f>IF(B54&lt;&gt;"",IF(COUNT($A$33:A54)&lt;=$F$39,0,$F$41)+IF(COUNT($A$33:A54)&lt;=$F$40,0,$F$42),"")</f>
        <v>#DIV/0!</v>
      </c>
    </row>
    <row r="55" spans="1:3" x14ac:dyDescent="0.25">
      <c r="A55">
        <f t="shared" si="5"/>
        <v>23</v>
      </c>
      <c r="B55" s="130" t="e">
        <f>IF(COUNT($A$33:A55)&lt;=$F$38,IF($F$37="Monthly",DATE(YEAR(B54),MONTH(B54)+1,MIN(DAY(B54),28)),B54+14),"")</f>
        <v>#DIV/0!</v>
      </c>
      <c r="C55" s="27" t="e">
        <f>IF(B55&lt;&gt;"",IF(COUNT($A$33:A55)&lt;=$F$39,0,$F$41)+IF(COUNT($A$33:A55)&lt;=$F$40,0,$F$42),"")</f>
        <v>#DIV/0!</v>
      </c>
    </row>
    <row r="56" spans="1:3" x14ac:dyDescent="0.25">
      <c r="A56">
        <f t="shared" si="5"/>
        <v>24</v>
      </c>
      <c r="B56" s="130" t="e">
        <f>IF(COUNT($A$33:A56)&lt;=$F$38,IF($F$37="Monthly",DATE(YEAR(B55),MONTH(B55)+1,MIN(DAY(B55),28)),B55+14),"")</f>
        <v>#DIV/0!</v>
      </c>
      <c r="C56" s="27" t="e">
        <f>IF(B56&lt;&gt;"",IF(COUNT($A$33:A56)&lt;=$F$39,0,$F$41)+IF(COUNT($A$33:A56)&lt;=$F$40,0,$F$42),"")</f>
        <v>#DIV/0!</v>
      </c>
    </row>
    <row r="57" spans="1:3" x14ac:dyDescent="0.25">
      <c r="A57">
        <f t="shared" si="5"/>
        <v>25</v>
      </c>
      <c r="B57" s="130" t="e">
        <f>IF(COUNT($A$33:A57)&lt;=$F$38,IF($F$37="Monthly",DATE(YEAR(B56),MONTH(B56)+1,MIN(DAY(B56),28)),B56+14),"")</f>
        <v>#DIV/0!</v>
      </c>
      <c r="C57" s="27" t="e">
        <f>IF(B57&lt;&gt;"",IF(COUNT($A$33:A57)&lt;=$F$39,0,$F$41)+IF(COUNT($A$33:A57)&lt;=$F$40,0,$F$42),"")</f>
        <v>#DIV/0!</v>
      </c>
    </row>
    <row r="58" spans="1:3" x14ac:dyDescent="0.25">
      <c r="A58">
        <f t="shared" si="5"/>
        <v>26</v>
      </c>
      <c r="B58" s="130" t="e">
        <f>IF(COUNT($A$33:A58)&lt;=$F$38,IF($F$37="Monthly",DATE(YEAR(B57),MONTH(B57)+1,MIN(DAY(B57),28)),B57+14),"")</f>
        <v>#DIV/0!</v>
      </c>
      <c r="C58" s="27" t="e">
        <f>IF(B58&lt;&gt;"",IF(COUNT($A$33:A58)&lt;=$F$39,0,$F$41)+IF(COUNT($A$33:A58)&lt;=$F$40,0,$F$42),"")</f>
        <v>#DIV/0!</v>
      </c>
    </row>
    <row r="59" spans="1:3" x14ac:dyDescent="0.25">
      <c r="A59">
        <f t="shared" si="5"/>
        <v>27</v>
      </c>
      <c r="B59" s="130" t="e">
        <f>IF(COUNT($A$33:A59)&lt;=$F$38,IF($F$37="Monthly",DATE(YEAR(B58),MONTH(B58)+1,MIN(DAY(B58),28)),B58+14),"")</f>
        <v>#DIV/0!</v>
      </c>
      <c r="C59" s="27" t="e">
        <f>IF(B59&lt;&gt;"",IF(COUNT($A$33:A59)&lt;=$F$39,0,$F$41)+IF(COUNT($A$33:A59)&lt;=$F$40,0,$F$42),"")</f>
        <v>#DIV/0!</v>
      </c>
    </row>
    <row r="60" spans="1:3" x14ac:dyDescent="0.25">
      <c r="A60">
        <f t="shared" si="5"/>
        <v>28</v>
      </c>
      <c r="B60" s="130" t="e">
        <f>IF(COUNT($A$33:A60)&lt;=$F$38,IF($F$37="Monthly",DATE(YEAR(B59),MONTH(B59)+1,MIN(DAY(B59),28)),B59+14),"")</f>
        <v>#DIV/0!</v>
      </c>
      <c r="C60" s="27" t="e">
        <f>IF(B60&lt;&gt;"",IF(COUNT($A$33:A60)&lt;=$F$39,0,$F$41)+IF(COUNT($A$33:A60)&lt;=$F$40,0,$F$42),"")</f>
        <v>#DIV/0!</v>
      </c>
    </row>
    <row r="61" spans="1:3" x14ac:dyDescent="0.25">
      <c r="A61">
        <f t="shared" si="5"/>
        <v>29</v>
      </c>
      <c r="B61" s="130" t="e">
        <f>IF(COUNT($A$33:A61)&lt;=$F$38,IF($F$37="Monthly",DATE(YEAR(B60),MONTH(B60)+1,MIN(DAY(B60),28)),B60+14),"")</f>
        <v>#DIV/0!</v>
      </c>
      <c r="C61" s="27" t="e">
        <f>IF(B61&lt;&gt;"",IF(COUNT($A$33:A61)&lt;=$F$39,0,$F$41)+IF(COUNT($A$33:A61)&lt;=$F$40,0,$F$42),"")</f>
        <v>#DIV/0!</v>
      </c>
    </row>
    <row r="62" spans="1:3" x14ac:dyDescent="0.25">
      <c r="A62">
        <f t="shared" si="5"/>
        <v>30</v>
      </c>
      <c r="B62" s="130" t="e">
        <f>IF(COUNT($A$33:A62)&lt;=$F$38,IF($F$37="Monthly",DATE(YEAR(B61),MONTH(B61)+1,MIN(DAY(B61),28)),B61+14),"")</f>
        <v>#DIV/0!</v>
      </c>
      <c r="C62" s="27" t="e">
        <f>IF(B62&lt;&gt;"",IF(COUNT($A$33:A62)&lt;=$F$39,0,$F$41)+IF(COUNT($A$33:A62)&lt;=$F$40,0,$F$42),"")</f>
        <v>#DIV/0!</v>
      </c>
    </row>
    <row r="63" spans="1:3" x14ac:dyDescent="0.25">
      <c r="A63">
        <f t="shared" si="5"/>
        <v>31</v>
      </c>
      <c r="B63" s="130" t="e">
        <f>IF(COUNT($A$33:A63)&lt;=$F$38,IF($F$37="Monthly",DATE(YEAR(B62),MONTH(B62)+1,MIN(DAY(B62),28)),B62+14),"")</f>
        <v>#DIV/0!</v>
      </c>
      <c r="C63" s="27" t="e">
        <f>IF(B63&lt;&gt;"",IF(COUNT($A$33:A63)&lt;=$F$39,0,$F$41)+IF(COUNT($A$33:A63)&lt;=$F$40,0,$F$42),"")</f>
        <v>#DIV/0!</v>
      </c>
    </row>
    <row r="64" spans="1:3" x14ac:dyDescent="0.25">
      <c r="A64">
        <f t="shared" si="5"/>
        <v>32</v>
      </c>
      <c r="B64" s="130" t="e">
        <f>IF(COUNT($A$33:A64)&lt;=$F$38,IF($F$37="Monthly",DATE(YEAR(B63),MONTH(B63)+1,MIN(DAY(B63),28)),B63+14),"")</f>
        <v>#DIV/0!</v>
      </c>
      <c r="C64" s="27" t="e">
        <f>IF(B64&lt;&gt;"",IF(COUNT($A$33:A64)&lt;=$F$39,0,$F$41)+IF(COUNT($A$33:A64)&lt;=$F$40,0,$F$42),"")</f>
        <v>#DIV/0!</v>
      </c>
    </row>
    <row r="65" spans="1:3" x14ac:dyDescent="0.25">
      <c r="A65">
        <f t="shared" si="5"/>
        <v>33</v>
      </c>
      <c r="B65" s="130" t="e">
        <f>IF(COUNT($A$33:A65)&lt;=$F$38,IF($F$37="Monthly",DATE(YEAR(B64),MONTH(B64)+1,MIN(DAY(B64),28)),B64+14),"")</f>
        <v>#DIV/0!</v>
      </c>
      <c r="C65" s="27" t="e">
        <f>IF(B65&lt;&gt;"",IF(COUNT($A$33:A65)&lt;=$F$39,0,$F$41)+IF(COUNT($A$33:A65)&lt;=$F$40,0,$F$42),"")</f>
        <v>#DIV/0!</v>
      </c>
    </row>
    <row r="66" spans="1:3" x14ac:dyDescent="0.25">
      <c r="A66">
        <f t="shared" ref="A66:A84" si="6">A65+1</f>
        <v>34</v>
      </c>
      <c r="B66" s="130" t="e">
        <f>IF(COUNT($A$33:A66)&lt;=$F$38,IF($F$37="Monthly",DATE(YEAR(B65),MONTH(B65)+1,MIN(DAY(B65),28)),B65+14),"")</f>
        <v>#DIV/0!</v>
      </c>
      <c r="C66" s="27" t="e">
        <f>IF(B66&lt;&gt;"",IF(COUNT($A$33:A66)&lt;=$F$39,0,$F$41)+IF(COUNT($A$33:A66)&lt;=$F$40,0,$F$42),"")</f>
        <v>#DIV/0!</v>
      </c>
    </row>
    <row r="67" spans="1:3" x14ac:dyDescent="0.25">
      <c r="A67">
        <f t="shared" si="6"/>
        <v>35</v>
      </c>
      <c r="B67" s="130" t="e">
        <f>IF(COUNT($A$33:A67)&lt;=$F$38,IF($F$37="Monthly",DATE(YEAR(B66),MONTH(B66)+1,MIN(DAY(B66),28)),B66+14),"")</f>
        <v>#DIV/0!</v>
      </c>
      <c r="C67" s="27" t="e">
        <f>IF(B67&lt;&gt;"",IF(COUNT($A$33:A67)&lt;=$F$39,0,$F$41)+IF(COUNT($A$33:A67)&lt;=$F$40,0,$F$42),"")</f>
        <v>#DIV/0!</v>
      </c>
    </row>
    <row r="68" spans="1:3" x14ac:dyDescent="0.25">
      <c r="A68">
        <f t="shared" si="6"/>
        <v>36</v>
      </c>
      <c r="B68" s="130" t="e">
        <f>IF(COUNT($A$33:A68)&lt;=$F$38,IF($F$37="Monthly",DATE(YEAR(B67),MONTH(B67)+1,MIN(DAY(B67),28)),B67+14),"")</f>
        <v>#DIV/0!</v>
      </c>
      <c r="C68" s="27" t="e">
        <f>IF(B68&lt;&gt;"",IF(COUNT($A$33:A68)&lt;=$F$39,0,$F$41)+IF(COUNT($A$33:A68)&lt;=$F$40,0,$F$42),"")</f>
        <v>#DIV/0!</v>
      </c>
    </row>
    <row r="69" spans="1:3" x14ac:dyDescent="0.25">
      <c r="A69">
        <f t="shared" si="6"/>
        <v>37</v>
      </c>
      <c r="B69" s="130" t="e">
        <f>IF(COUNT($A$33:A69)&lt;=$F$38,IF($F$37="Monthly",DATE(YEAR(B68),MONTH(B68)+1,MIN(DAY(B68),28)),B68+14),"")</f>
        <v>#DIV/0!</v>
      </c>
      <c r="C69" s="27" t="e">
        <f>IF(B69&lt;&gt;"",IF(COUNT($A$33:A69)&lt;=$F$39,0,$F$41)+IF(COUNT($A$33:A69)&lt;=$F$40,0,$F$42),"")</f>
        <v>#DIV/0!</v>
      </c>
    </row>
    <row r="70" spans="1:3" x14ac:dyDescent="0.25">
      <c r="A70">
        <f t="shared" si="6"/>
        <v>38</v>
      </c>
      <c r="B70" s="130" t="e">
        <f>IF(COUNT($A$33:A70)&lt;=$F$38,IF($F$37="Monthly",DATE(YEAR(B69),MONTH(B69)+1,MIN(DAY(B69),28)),B69+14),"")</f>
        <v>#DIV/0!</v>
      </c>
      <c r="C70" s="27" t="e">
        <f>IF(B70&lt;&gt;"",IF(COUNT($A$33:A70)&lt;=$F$39,0,$F$41)+IF(COUNT($A$33:A70)&lt;=$F$40,0,$F$42),"")</f>
        <v>#DIV/0!</v>
      </c>
    </row>
    <row r="71" spans="1:3" x14ac:dyDescent="0.25">
      <c r="A71">
        <f t="shared" si="6"/>
        <v>39</v>
      </c>
      <c r="B71" s="130" t="e">
        <f>IF(COUNT($A$33:A71)&lt;=$F$38,IF($F$37="Monthly",DATE(YEAR(B70),MONTH(B70)+1,MIN(DAY(B70),28)),B70+14),"")</f>
        <v>#DIV/0!</v>
      </c>
      <c r="C71" s="27" t="e">
        <f>IF(B71&lt;&gt;"",IF(COUNT($A$33:A71)&lt;=$F$39,0,$F$41)+IF(COUNT($A$33:A71)&lt;=$F$40,0,$F$42),"")</f>
        <v>#DIV/0!</v>
      </c>
    </row>
    <row r="72" spans="1:3" x14ac:dyDescent="0.25">
      <c r="A72">
        <f t="shared" si="6"/>
        <v>40</v>
      </c>
      <c r="B72" s="130" t="e">
        <f>IF(COUNT($A$33:A72)&lt;=$F$38,IF($F$37="Monthly",DATE(YEAR(B71),MONTH(B71)+1,MIN(DAY(B71),28)),B71+14),"")</f>
        <v>#DIV/0!</v>
      </c>
      <c r="C72" s="27" t="e">
        <f>IF(B72&lt;&gt;"",IF(COUNT($A$33:A72)&lt;=$F$39,0,$F$41)+IF(COUNT($A$33:A72)&lt;=$F$40,0,$F$42),"")</f>
        <v>#DIV/0!</v>
      </c>
    </row>
    <row r="73" spans="1:3" x14ac:dyDescent="0.25">
      <c r="A73">
        <f t="shared" si="6"/>
        <v>41</v>
      </c>
      <c r="B73" s="130" t="e">
        <f>IF(COUNT($A$33:A73)&lt;=$F$38,IF($F$37="Monthly",DATE(YEAR(B72),MONTH(B72)+1,MIN(DAY(B72),28)),B72+14),"")</f>
        <v>#DIV/0!</v>
      </c>
      <c r="C73" s="27" t="e">
        <f>IF(B73&lt;&gt;"",IF(COUNT($A$33:A73)&lt;=$F$39,0,$F$41)+IF(COUNT($A$33:A73)&lt;=$F$40,0,$F$42),"")</f>
        <v>#DIV/0!</v>
      </c>
    </row>
    <row r="74" spans="1:3" x14ac:dyDescent="0.25">
      <c r="A74">
        <f t="shared" si="6"/>
        <v>42</v>
      </c>
      <c r="B74" s="130" t="e">
        <f>IF(COUNT($A$33:A74)&lt;=$F$38,IF($F$37="Monthly",DATE(YEAR(B73),MONTH(B73)+1,MIN(DAY(B73),28)),B73+14),"")</f>
        <v>#DIV/0!</v>
      </c>
      <c r="C74" s="27" t="e">
        <f>IF(B74&lt;&gt;"",IF(COUNT($A$33:A74)&lt;=$F$39,0,$F$41)+IF(COUNT($A$33:A74)&lt;=$F$40,0,$F$42),"")</f>
        <v>#DIV/0!</v>
      </c>
    </row>
    <row r="75" spans="1:3" x14ac:dyDescent="0.25">
      <c r="A75">
        <f t="shared" si="6"/>
        <v>43</v>
      </c>
      <c r="B75" s="130" t="e">
        <f>IF(COUNT($A$33:A75)&lt;=$F$38,IF($F$37="Monthly",DATE(YEAR(B74),MONTH(B74)+1,MIN(DAY(B74),28)),B74+14),"")</f>
        <v>#DIV/0!</v>
      </c>
      <c r="C75" s="27" t="e">
        <f>IF(B75&lt;&gt;"",IF(COUNT($A$33:A75)&lt;=$F$39,0,$F$41)+IF(COUNT($A$33:A75)&lt;=$F$40,0,$F$42),"")</f>
        <v>#DIV/0!</v>
      </c>
    </row>
    <row r="76" spans="1:3" x14ac:dyDescent="0.25">
      <c r="A76">
        <f t="shared" si="6"/>
        <v>44</v>
      </c>
      <c r="B76" s="130" t="e">
        <f>IF(COUNT($A$33:A76)&lt;=$F$38,IF($F$37="Monthly",DATE(YEAR(B75),MONTH(B75)+1,MIN(DAY(B75),28)),B75+14),"")</f>
        <v>#DIV/0!</v>
      </c>
      <c r="C76" s="27" t="e">
        <f>IF(B76&lt;&gt;"",IF(COUNT($A$33:A76)&lt;=$F$39,0,$F$41)+IF(COUNT($A$33:A76)&lt;=$F$40,0,$F$42),"")</f>
        <v>#DIV/0!</v>
      </c>
    </row>
    <row r="77" spans="1:3" x14ac:dyDescent="0.25">
      <c r="A77">
        <f t="shared" si="6"/>
        <v>45</v>
      </c>
      <c r="B77" s="130" t="e">
        <f>IF(COUNT($A$33:A77)&lt;=$F$38,IF($F$37="Monthly",DATE(YEAR(B76),MONTH(B76)+1,MIN(DAY(B76),28)),B76+14),"")</f>
        <v>#DIV/0!</v>
      </c>
      <c r="C77" s="27" t="e">
        <f>IF(B77&lt;&gt;"",IF(COUNT($A$33:A77)&lt;=$F$39,0,$F$41)+IF(COUNT($A$33:A77)&lt;=$F$40,0,$F$42),"")</f>
        <v>#DIV/0!</v>
      </c>
    </row>
    <row r="78" spans="1:3" x14ac:dyDescent="0.25">
      <c r="A78">
        <f t="shared" si="6"/>
        <v>46</v>
      </c>
      <c r="B78" s="130" t="e">
        <f>IF(COUNT($A$33:A78)&lt;=$F$38,IF($F$37="Monthly",DATE(YEAR(B77),MONTH(B77)+1,MIN(DAY(B77),28)),B77+14),"")</f>
        <v>#DIV/0!</v>
      </c>
      <c r="C78" s="27" t="e">
        <f>IF(B78&lt;&gt;"",IF(COUNT($A$33:A78)&lt;=$F$39,0,$F$41)+IF(COUNT($A$33:A78)&lt;=$F$40,0,$F$42),"")</f>
        <v>#DIV/0!</v>
      </c>
    </row>
    <row r="79" spans="1:3" x14ac:dyDescent="0.25">
      <c r="A79">
        <f t="shared" si="6"/>
        <v>47</v>
      </c>
      <c r="B79" s="130" t="e">
        <f>IF(COUNT($A$33:A79)&lt;=$F$38,IF($F$37="Monthly",DATE(YEAR(B78),MONTH(B78)+1,MIN(DAY(B78),28)),B78+14),"")</f>
        <v>#DIV/0!</v>
      </c>
      <c r="C79" s="27" t="e">
        <f>IF(B79&lt;&gt;"",IF(COUNT($A$33:A79)&lt;=$F$39,0,$F$41)+IF(COUNT($A$33:A79)&lt;=$F$40,0,$F$42),"")</f>
        <v>#DIV/0!</v>
      </c>
    </row>
    <row r="80" spans="1:3" x14ac:dyDescent="0.25">
      <c r="A80">
        <f t="shared" si="6"/>
        <v>48</v>
      </c>
      <c r="B80" s="130" t="e">
        <f>IF(COUNT($A$33:A80)&lt;=$F$38,IF($F$37="Monthly",DATE(YEAR(B79),MONTH(B79)+1,MIN(DAY(B79),28)),B79+14),"")</f>
        <v>#DIV/0!</v>
      </c>
      <c r="C80" s="27" t="e">
        <f>IF(B80&lt;&gt;"",IF(COUNT($A$33:A80)&lt;=$F$39,0,$F$41)+IF(COUNT($A$33:A80)&lt;=$F$40,0,$F$42),"")</f>
        <v>#DIV/0!</v>
      </c>
    </row>
    <row r="81" spans="1:3" x14ac:dyDescent="0.25">
      <c r="A81">
        <f t="shared" si="6"/>
        <v>49</v>
      </c>
      <c r="B81" s="130" t="e">
        <f>IF(COUNT($A$33:A81)&lt;=$F$38,IF($F$37="Monthly",DATE(YEAR(B80),MONTH(B80)+1,MIN(DAY(B80),28)),B80+14),"")</f>
        <v>#DIV/0!</v>
      </c>
      <c r="C81" s="27" t="e">
        <f>IF(B81&lt;&gt;"",IF(COUNT($A$33:A81)&lt;=$F$39,0,$F$41)+IF(COUNT($A$33:A81)&lt;=$F$40,0,$F$42),"")</f>
        <v>#DIV/0!</v>
      </c>
    </row>
    <row r="82" spans="1:3" x14ac:dyDescent="0.25">
      <c r="A82">
        <f t="shared" si="6"/>
        <v>50</v>
      </c>
      <c r="B82" s="130" t="e">
        <f>IF(COUNT($A$33:A82)&lt;=$F$38,IF($F$37="Monthly",DATE(YEAR(B81),MONTH(B81)+1,MIN(DAY(B81),28)),B81+14),"")</f>
        <v>#DIV/0!</v>
      </c>
      <c r="C82" s="27" t="e">
        <f>IF(B82&lt;&gt;"",IF(COUNT($A$33:A82)&lt;=$F$39,0,$F$41)+IF(COUNT($A$33:A82)&lt;=$F$40,0,$F$42),"")</f>
        <v>#DIV/0!</v>
      </c>
    </row>
    <row r="83" spans="1:3" x14ac:dyDescent="0.25">
      <c r="A83">
        <f t="shared" si="6"/>
        <v>51</v>
      </c>
      <c r="B83" s="130" t="e">
        <f>IF(COUNT($A$33:A83)&lt;=$F$38,IF($F$37="Monthly",DATE(YEAR(B82),MONTH(B82)+1,MIN(DAY(B82),28)),B82+14),"")</f>
        <v>#DIV/0!</v>
      </c>
      <c r="C83" s="27" t="e">
        <f>IF(B83&lt;&gt;"",IF(COUNT($A$33:A83)&lt;=$F$39,0,$F$41)+IF(COUNT($A$33:A83)&lt;=$F$40,0,$F$42),"")</f>
        <v>#DIV/0!</v>
      </c>
    </row>
    <row r="84" spans="1:3" x14ac:dyDescent="0.25">
      <c r="A84">
        <f t="shared" si="6"/>
        <v>52</v>
      </c>
      <c r="B84" s="130" t="e">
        <f>IF(COUNT($A$33:A84)&lt;=$F$38,IF($F$37="Monthly",DATE(YEAR(B83),MONTH(B83)+1,MIN(DAY(B83),28)),B83+14),"")</f>
        <v>#DIV/0!</v>
      </c>
      <c r="C84" s="27" t="e">
        <f>IF(B84&lt;&gt;"",IF(COUNT($A$33:A84)&lt;=$F$39,0,$F$41)+IF(COUNT($A$33:A84)&lt;=$F$40,0,$F$42),"")</f>
        <v>#DIV/0!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0"/>
  <sheetViews>
    <sheetView showGridLines="0" topLeftCell="A64" zoomScale="90" zoomScaleNormal="90" workbookViewId="0">
      <pane xSplit="1" topLeftCell="F1" activePane="topRight" state="frozen"/>
      <selection pane="topRight" activeCell="K78" sqref="K78"/>
    </sheetView>
  </sheetViews>
  <sheetFormatPr defaultRowHeight="15" x14ac:dyDescent="0.25"/>
  <cols>
    <col min="1" max="1" width="27.85546875" customWidth="1"/>
    <col min="2" max="2" width="18" style="12" customWidth="1"/>
    <col min="3" max="3" width="26" style="12" customWidth="1"/>
    <col min="4" max="4" width="18" style="12" customWidth="1"/>
    <col min="5" max="5" width="28" style="12" customWidth="1"/>
    <col min="6" max="6" width="29.7109375" style="12" customWidth="1"/>
    <col min="7" max="7" width="18" style="12" customWidth="1"/>
    <col min="8" max="8" width="19.42578125" style="12" customWidth="1"/>
    <col min="9" max="9" width="19.85546875" style="12" customWidth="1"/>
    <col min="10" max="10" width="25.28515625" style="12" customWidth="1"/>
    <col min="11" max="13" width="18" style="12" customWidth="1"/>
    <col min="14" max="14" width="16" style="12" customWidth="1"/>
    <col min="15" max="15" width="18" style="12" customWidth="1"/>
    <col min="16" max="16" width="17.5703125" style="12" customWidth="1"/>
    <col min="17" max="18" width="18" style="12" customWidth="1"/>
    <col min="19" max="19" width="18.85546875" style="12" customWidth="1"/>
    <col min="20" max="20" width="15.7109375" style="12" customWidth="1"/>
    <col min="21" max="21" width="18.140625" style="12" customWidth="1"/>
    <col min="22" max="22" width="14.42578125" style="12" customWidth="1"/>
    <col min="23" max="23" width="15.140625" style="12" customWidth="1"/>
    <col min="24" max="24" width="15.85546875" style="12" customWidth="1"/>
    <col min="25" max="30" width="7.140625" style="12" customWidth="1"/>
    <col min="31" max="35" width="7.28515625" style="12" customWidth="1"/>
  </cols>
  <sheetData>
    <row r="1" spans="1:35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/>
      <c r="AF1"/>
      <c r="AG1"/>
      <c r="AH1"/>
      <c r="AI1"/>
    </row>
    <row r="2" spans="1:35" x14ac:dyDescent="0.25">
      <c r="A2" s="6"/>
      <c r="B2" s="13"/>
      <c r="C2" s="92"/>
      <c r="D2" s="9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5" ht="60" x14ac:dyDescent="0.25">
      <c r="A3" s="8" t="s">
        <v>1</v>
      </c>
      <c r="B3" s="10" t="s">
        <v>198</v>
      </c>
      <c r="C3" s="10" t="s">
        <v>16</v>
      </c>
      <c r="D3" s="10" t="s">
        <v>2</v>
      </c>
      <c r="E3" s="10" t="s">
        <v>3</v>
      </c>
      <c r="F3" s="10" t="s">
        <v>90</v>
      </c>
      <c r="G3" s="10" t="s">
        <v>17</v>
      </c>
      <c r="H3" s="10" t="s">
        <v>241</v>
      </c>
      <c r="I3" s="10" t="s">
        <v>35</v>
      </c>
      <c r="J3" s="10" t="s">
        <v>247</v>
      </c>
      <c r="K3" s="10" t="s">
        <v>36</v>
      </c>
      <c r="L3" s="10" t="s">
        <v>20</v>
      </c>
      <c r="M3" s="10" t="s">
        <v>24</v>
      </c>
      <c r="N3" s="10" t="s">
        <v>25</v>
      </c>
      <c r="O3" s="10" t="s">
        <v>230</v>
      </c>
      <c r="P3" s="10" t="s">
        <v>202</v>
      </c>
      <c r="Q3" s="10" t="s">
        <v>234</v>
      </c>
      <c r="R3" s="10" t="s">
        <v>233</v>
      </c>
      <c r="S3" s="10" t="s">
        <v>195</v>
      </c>
      <c r="T3" s="10" t="s">
        <v>196</v>
      </c>
      <c r="U3" s="10" t="s">
        <v>242</v>
      </c>
      <c r="V3" s="10" t="s">
        <v>93</v>
      </c>
      <c r="W3" s="10" t="s">
        <v>237</v>
      </c>
      <c r="X3" s="10" t="s">
        <v>94</v>
      </c>
      <c r="Y3" s="10" t="s">
        <v>95</v>
      </c>
      <c r="Z3" s="10" t="s">
        <v>96</v>
      </c>
      <c r="AA3" s="10" t="s">
        <v>97</v>
      </c>
      <c r="AB3" s="10" t="s">
        <v>98</v>
      </c>
      <c r="AC3" s="10" t="s">
        <v>99</v>
      </c>
      <c r="AD3" s="10" t="s">
        <v>100</v>
      </c>
      <c r="AE3" s="10" t="s">
        <v>101</v>
      </c>
      <c r="AF3" s="10" t="s">
        <v>102</v>
      </c>
      <c r="AG3" s="10" t="s">
        <v>103</v>
      </c>
      <c r="AH3" s="10" t="s">
        <v>104</v>
      </c>
      <c r="AI3" s="10" t="s">
        <v>105</v>
      </c>
    </row>
    <row r="4" spans="1:35" s="95" customFormat="1" x14ac:dyDescent="0.25">
      <c r="A4" s="95" t="s">
        <v>7</v>
      </c>
      <c r="B4" s="96">
        <v>6609.7640000000001</v>
      </c>
      <c r="C4" s="97">
        <v>0.51291332035455417</v>
      </c>
      <c r="D4" s="98">
        <v>9.9999999999999978E-2</v>
      </c>
      <c r="E4" s="98">
        <v>0.19999999999999996</v>
      </c>
      <c r="F4" s="98">
        <v>0.14999999999999991</v>
      </c>
      <c r="G4" s="96">
        <f>B4*(1+C4)*(1+E4)*(1+F4)</f>
        <v>13799.999999999998</v>
      </c>
      <c r="H4" s="98">
        <v>0.8</v>
      </c>
      <c r="I4" s="96">
        <v>2000</v>
      </c>
      <c r="J4" s="96">
        <v>0</v>
      </c>
      <c r="K4" s="96">
        <v>0</v>
      </c>
      <c r="L4" s="96" t="s">
        <v>245</v>
      </c>
      <c r="M4" s="96">
        <v>25</v>
      </c>
      <c r="N4" s="96">
        <v>150</v>
      </c>
      <c r="O4" s="96">
        <f>50*250</f>
        <v>12500</v>
      </c>
      <c r="P4" s="96">
        <v>2000</v>
      </c>
      <c r="Q4" s="96">
        <v>7000</v>
      </c>
      <c r="R4" s="99">
        <v>0</v>
      </c>
      <c r="S4" s="96">
        <v>21</v>
      </c>
      <c r="T4" s="96">
        <v>21</v>
      </c>
      <c r="U4" s="98">
        <v>0</v>
      </c>
      <c r="V4" s="98">
        <v>0</v>
      </c>
      <c r="W4" s="96" t="s">
        <v>21</v>
      </c>
      <c r="X4" s="98">
        <f>1/12</f>
        <v>8.3333333333333329E-2</v>
      </c>
      <c r="Y4" s="98">
        <f t="shared" ref="Y4:AI4" si="0">1/12</f>
        <v>8.3333333333333329E-2</v>
      </c>
      <c r="Z4" s="98">
        <f t="shared" si="0"/>
        <v>8.3333333333333329E-2</v>
      </c>
      <c r="AA4" s="98">
        <f t="shared" si="0"/>
        <v>8.3333333333333329E-2</v>
      </c>
      <c r="AB4" s="98">
        <f t="shared" si="0"/>
        <v>8.3333333333333329E-2</v>
      </c>
      <c r="AC4" s="98">
        <f t="shared" si="0"/>
        <v>8.3333333333333329E-2</v>
      </c>
      <c r="AD4" s="98">
        <f t="shared" si="0"/>
        <v>8.3333333333333329E-2</v>
      </c>
      <c r="AE4" s="98">
        <f t="shared" si="0"/>
        <v>8.3333333333333329E-2</v>
      </c>
      <c r="AF4" s="98">
        <f t="shared" si="0"/>
        <v>8.3333333333333329E-2</v>
      </c>
      <c r="AG4" s="98">
        <f t="shared" si="0"/>
        <v>8.3333333333333329E-2</v>
      </c>
      <c r="AH4" s="98">
        <f t="shared" si="0"/>
        <v>8.3333333333333329E-2</v>
      </c>
      <c r="AI4" s="98">
        <f t="shared" si="0"/>
        <v>8.3333333333333329E-2</v>
      </c>
    </row>
    <row r="5" spans="1:35" s="95" customFormat="1" x14ac:dyDescent="0.25">
      <c r="A5" s="100" t="s">
        <v>15</v>
      </c>
      <c r="B5" s="101">
        <v>150</v>
      </c>
      <c r="C5" s="102">
        <v>1.0748881555994845</v>
      </c>
      <c r="D5" s="103">
        <v>0.31984431374229055</v>
      </c>
      <c r="E5" s="103">
        <v>0.67522688456705771</v>
      </c>
      <c r="F5" s="103">
        <v>0.91796384131044761</v>
      </c>
      <c r="G5" s="101">
        <v>1000</v>
      </c>
      <c r="H5" s="103">
        <v>1</v>
      </c>
      <c r="I5" s="101">
        <v>50</v>
      </c>
      <c r="J5" s="101">
        <v>1200</v>
      </c>
      <c r="K5" s="101">
        <v>25</v>
      </c>
      <c r="L5" s="101" t="s">
        <v>23</v>
      </c>
      <c r="M5" s="101">
        <v>100</v>
      </c>
      <c r="N5" s="101">
        <v>250</v>
      </c>
      <c r="O5" s="101">
        <v>20000</v>
      </c>
      <c r="P5" s="101">
        <v>3000</v>
      </c>
      <c r="Q5" s="101">
        <v>6000</v>
      </c>
      <c r="R5" s="104">
        <f>750/900</f>
        <v>0.83333333333333337</v>
      </c>
      <c r="S5" s="101">
        <v>24.5</v>
      </c>
      <c r="T5" s="101">
        <v>24.5</v>
      </c>
      <c r="U5" s="98">
        <v>0</v>
      </c>
      <c r="V5" s="103">
        <v>0.1</v>
      </c>
      <c r="W5" s="101">
        <v>4</v>
      </c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</row>
    <row r="6" spans="1:35" s="95" customFormat="1" x14ac:dyDescent="0.25">
      <c r="A6" s="95" t="s">
        <v>13</v>
      </c>
      <c r="B6" s="96">
        <v>4606.6509999999998</v>
      </c>
      <c r="C6" s="97">
        <v>0.25175401861475355</v>
      </c>
      <c r="D6" s="98">
        <v>0.44189611030718146</v>
      </c>
      <c r="E6" s="98">
        <v>0.77331819303756744</v>
      </c>
      <c r="F6" s="98">
        <v>0.56469252326844188</v>
      </c>
      <c r="G6" s="96">
        <v>16000</v>
      </c>
      <c r="H6" s="98">
        <v>0.1</v>
      </c>
      <c r="I6" s="96">
        <v>120</v>
      </c>
      <c r="J6" s="96">
        <v>0</v>
      </c>
      <c r="K6" s="99">
        <v>0.1212</v>
      </c>
      <c r="L6" s="96" t="s">
        <v>23</v>
      </c>
      <c r="M6" s="96">
        <v>5000</v>
      </c>
      <c r="N6" s="96">
        <v>6000</v>
      </c>
      <c r="O6" s="96">
        <v>15000</v>
      </c>
      <c r="P6" s="96">
        <v>2800</v>
      </c>
      <c r="Q6" s="96">
        <v>8000</v>
      </c>
      <c r="R6" s="99">
        <v>0</v>
      </c>
      <c r="S6" s="96">
        <v>14</v>
      </c>
      <c r="T6" s="96">
        <v>14</v>
      </c>
      <c r="U6" s="98">
        <v>0</v>
      </c>
      <c r="V6" s="98">
        <v>0</v>
      </c>
      <c r="W6" s="96">
        <v>3</v>
      </c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</row>
    <row r="7" spans="1:35" s="95" customFormat="1" x14ac:dyDescent="0.25">
      <c r="A7" s="95" t="s">
        <v>92</v>
      </c>
      <c r="B7" s="96">
        <v>5000</v>
      </c>
      <c r="C7" s="97">
        <v>0.35493589835725103</v>
      </c>
      <c r="D7" s="98">
        <v>0.47226495803942853</v>
      </c>
      <c r="E7" s="98">
        <v>0.70839743705914282</v>
      </c>
      <c r="F7" s="98">
        <v>0.29602564190693603</v>
      </c>
      <c r="G7" s="96">
        <v>15000</v>
      </c>
      <c r="H7" s="98">
        <v>0.1</v>
      </c>
      <c r="I7" s="96">
        <v>80</v>
      </c>
      <c r="J7" s="96">
        <v>0</v>
      </c>
      <c r="K7" s="99">
        <v>2.6</v>
      </c>
      <c r="L7" s="96" t="s">
        <v>23</v>
      </c>
      <c r="M7" s="96">
        <v>4000</v>
      </c>
      <c r="N7" s="96">
        <v>6400</v>
      </c>
      <c r="O7" s="96">
        <v>20000</v>
      </c>
      <c r="P7" s="96">
        <v>1900</v>
      </c>
      <c r="Q7" s="96">
        <v>10000</v>
      </c>
      <c r="R7" s="99">
        <v>0</v>
      </c>
      <c r="S7" s="96">
        <v>28</v>
      </c>
      <c r="T7" s="96">
        <v>28</v>
      </c>
      <c r="U7" s="98">
        <v>0</v>
      </c>
      <c r="V7" s="98">
        <v>0</v>
      </c>
      <c r="W7" s="96">
        <v>4</v>
      </c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</row>
    <row r="8" spans="1:35" s="95" customFormat="1" x14ac:dyDescent="0.25">
      <c r="A8" s="95" t="s">
        <v>10</v>
      </c>
      <c r="B8" s="96">
        <v>3956.3580000000002</v>
      </c>
      <c r="C8" s="97">
        <v>0.32571416198731051</v>
      </c>
      <c r="D8" s="98">
        <v>6.0879068533092995E-2</v>
      </c>
      <c r="E8" s="98">
        <v>0.12175813706618599</v>
      </c>
      <c r="F8" s="98">
        <v>1.9780124605623506E-2</v>
      </c>
      <c r="G8" s="96">
        <v>6000</v>
      </c>
      <c r="H8" s="103">
        <v>1</v>
      </c>
      <c r="I8" s="96">
        <v>2000</v>
      </c>
      <c r="J8" s="96">
        <v>0</v>
      </c>
      <c r="K8" s="96">
        <v>6000</v>
      </c>
      <c r="L8" s="96" t="s">
        <v>22</v>
      </c>
      <c r="M8" s="105">
        <v>0</v>
      </c>
      <c r="N8" s="105">
        <v>0</v>
      </c>
      <c r="O8" s="96">
        <v>3000</v>
      </c>
      <c r="P8" s="96">
        <v>1000</v>
      </c>
      <c r="Q8" s="96">
        <v>5000</v>
      </c>
      <c r="R8" s="99">
        <v>0</v>
      </c>
      <c r="S8" s="96">
        <f>(20/1.5)*0.7</f>
        <v>9.3333333333333339</v>
      </c>
      <c r="T8" s="96">
        <v>9.1</v>
      </c>
      <c r="U8" s="98">
        <v>0</v>
      </c>
      <c r="V8" s="98">
        <v>0</v>
      </c>
      <c r="W8" s="96">
        <v>15</v>
      </c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</row>
    <row r="9" spans="1:35" s="21" customFormat="1" x14ac:dyDescent="0.25">
      <c r="A9" s="21" t="s">
        <v>12</v>
      </c>
      <c r="B9" s="96">
        <v>110.40512</v>
      </c>
      <c r="C9" s="97">
        <v>0.72978016322670314</v>
      </c>
      <c r="D9" s="98">
        <v>0.95680214690403276</v>
      </c>
      <c r="E9" s="98">
        <v>1.5946702448400547</v>
      </c>
      <c r="F9" s="98">
        <v>1.4216922285173843</v>
      </c>
      <c r="G9" s="72">
        <v>1200</v>
      </c>
      <c r="H9" s="103">
        <v>1</v>
      </c>
      <c r="I9" s="96">
        <v>150</v>
      </c>
      <c r="J9" s="96">
        <v>0</v>
      </c>
      <c r="K9" s="72">
        <v>0</v>
      </c>
      <c r="L9" s="72" t="s">
        <v>21</v>
      </c>
      <c r="M9" s="96">
        <v>0</v>
      </c>
      <c r="N9" s="96">
        <v>0</v>
      </c>
      <c r="O9" s="96">
        <v>25000</v>
      </c>
      <c r="P9" s="96">
        <v>5250</v>
      </c>
      <c r="Q9" s="96">
        <v>5000</v>
      </c>
      <c r="R9" s="99">
        <v>0</v>
      </c>
      <c r="S9" s="96">
        <v>44.8</v>
      </c>
      <c r="T9" s="96">
        <v>44.8</v>
      </c>
      <c r="U9" s="98">
        <v>0</v>
      </c>
      <c r="V9" s="98">
        <v>0</v>
      </c>
      <c r="W9" s="96" t="s">
        <v>21</v>
      </c>
      <c r="X9" s="98">
        <v>0.12820512820512822</v>
      </c>
      <c r="Y9" s="98">
        <v>0.12820512820512822</v>
      </c>
      <c r="Z9" s="98">
        <v>0.10256410256410256</v>
      </c>
      <c r="AA9" s="98">
        <v>5.128205128205128E-2</v>
      </c>
      <c r="AB9" s="98">
        <v>0</v>
      </c>
      <c r="AC9" s="98">
        <v>0.12820512820512822</v>
      </c>
      <c r="AD9" s="98">
        <v>0.12820512820512822</v>
      </c>
      <c r="AE9" s="98">
        <v>5.128205128205128E-2</v>
      </c>
      <c r="AF9" s="98">
        <v>0</v>
      </c>
      <c r="AG9" s="98">
        <v>5.128205128205128E-2</v>
      </c>
      <c r="AH9" s="98">
        <v>0.10256410256410256</v>
      </c>
      <c r="AI9" s="98">
        <v>0.12820512820512822</v>
      </c>
    </row>
    <row r="10" spans="1:35" s="21" customFormat="1" x14ac:dyDescent="0.25">
      <c r="A10" s="21" t="s">
        <v>4</v>
      </c>
      <c r="B10" s="72">
        <v>400</v>
      </c>
      <c r="C10" s="107">
        <v>0.46268074827688555</v>
      </c>
      <c r="D10" s="108">
        <v>0.61871944545544477</v>
      </c>
      <c r="E10" s="108">
        <v>0.92807916818316727</v>
      </c>
      <c r="F10" s="108">
        <v>0.39619525971884539</v>
      </c>
      <c r="G10" s="72">
        <f>AVERAGE(450,2700)</f>
        <v>1575</v>
      </c>
      <c r="H10" s="103">
        <v>1</v>
      </c>
      <c r="I10" s="72">
        <v>150</v>
      </c>
      <c r="J10" s="72">
        <v>0</v>
      </c>
      <c r="K10" s="72">
        <v>10.100000000000001</v>
      </c>
      <c r="L10" s="96" t="s">
        <v>23</v>
      </c>
      <c r="M10" s="96">
        <v>30</v>
      </c>
      <c r="N10" s="96">
        <v>250</v>
      </c>
      <c r="O10" s="96">
        <v>12000</v>
      </c>
      <c r="P10" s="96">
        <v>300</v>
      </c>
      <c r="Q10" s="96">
        <v>5000</v>
      </c>
      <c r="R10" s="99">
        <v>2.2999999999999998</v>
      </c>
      <c r="S10" s="96">
        <v>21</v>
      </c>
      <c r="T10" s="96">
        <v>21</v>
      </c>
      <c r="U10" s="98">
        <v>0</v>
      </c>
      <c r="V10" s="98">
        <v>0.2</v>
      </c>
      <c r="W10" s="96">
        <v>4</v>
      </c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</row>
    <row r="11" spans="1:35" s="95" customFormat="1" x14ac:dyDescent="0.25">
      <c r="A11" s="95" t="s">
        <v>14</v>
      </c>
      <c r="B11" s="96">
        <v>3000</v>
      </c>
      <c r="C11" s="97">
        <v>0.17631626935147504</v>
      </c>
      <c r="D11" s="98">
        <v>0.16487441311170337</v>
      </c>
      <c r="E11" s="98">
        <v>0.32974882622340673</v>
      </c>
      <c r="F11" s="98">
        <v>0.27860464059942958</v>
      </c>
      <c r="G11" s="96">
        <v>6000</v>
      </c>
      <c r="H11" s="103">
        <v>1</v>
      </c>
      <c r="I11" s="96">
        <v>3500</v>
      </c>
      <c r="J11" s="96">
        <v>8000</v>
      </c>
      <c r="K11" s="96">
        <v>0</v>
      </c>
      <c r="L11" s="96" t="s">
        <v>21</v>
      </c>
      <c r="M11" s="96">
        <v>25</v>
      </c>
      <c r="N11" s="96">
        <v>150</v>
      </c>
      <c r="O11" s="96">
        <v>8000</v>
      </c>
      <c r="P11" s="96">
        <v>4500</v>
      </c>
      <c r="Q11" s="96">
        <v>5000</v>
      </c>
      <c r="R11" s="99">
        <v>0</v>
      </c>
      <c r="S11" s="96">
        <v>4.1999999999999993</v>
      </c>
      <c r="T11" s="96">
        <v>10.120040000000001</v>
      </c>
      <c r="U11" s="98">
        <v>0</v>
      </c>
      <c r="V11" s="98">
        <v>0</v>
      </c>
      <c r="W11" s="96" t="s">
        <v>21</v>
      </c>
      <c r="X11" s="98">
        <v>0.22900763358778631</v>
      </c>
      <c r="Y11" s="98">
        <v>0.22900763358778631</v>
      </c>
      <c r="Z11" s="98">
        <v>0.13740458015267176</v>
      </c>
      <c r="AA11" s="98">
        <v>3.8167938931297718E-2</v>
      </c>
      <c r="AB11" s="98">
        <v>7.6335877862595426E-3</v>
      </c>
      <c r="AC11" s="98">
        <v>7.6335877862595426E-3</v>
      </c>
      <c r="AD11" s="98">
        <v>7.6335877862595426E-3</v>
      </c>
      <c r="AE11" s="98">
        <v>7.6335877862595426E-3</v>
      </c>
      <c r="AF11" s="98">
        <v>3.053435114503817E-2</v>
      </c>
      <c r="AG11" s="98">
        <v>4.5801526717557259E-2</v>
      </c>
      <c r="AH11" s="98">
        <v>7.6335877862595436E-2</v>
      </c>
      <c r="AI11" s="98">
        <v>0.18320610687022904</v>
      </c>
    </row>
    <row r="12" spans="1:35" s="95" customFormat="1" x14ac:dyDescent="0.25">
      <c r="A12" s="95" t="s">
        <v>91</v>
      </c>
      <c r="B12" s="96">
        <v>1634.8430000000001</v>
      </c>
      <c r="C12" s="97">
        <v>0.60958552114631037</v>
      </c>
      <c r="D12" s="98">
        <v>0.36227795775695193</v>
      </c>
      <c r="E12" s="98">
        <v>0.72455591551390386</v>
      </c>
      <c r="F12" s="98">
        <v>0.32215953522732632</v>
      </c>
      <c r="G12" s="96">
        <v>6000</v>
      </c>
      <c r="H12" s="98">
        <v>0.1</v>
      </c>
      <c r="I12" s="96">
        <v>100</v>
      </c>
      <c r="J12" s="96">
        <v>0</v>
      </c>
      <c r="K12" s="96">
        <v>1</v>
      </c>
      <c r="L12" s="96" t="s">
        <v>23</v>
      </c>
      <c r="M12" s="96">
        <v>1500</v>
      </c>
      <c r="N12" s="96">
        <v>2880</v>
      </c>
      <c r="O12" s="96">
        <v>15000</v>
      </c>
      <c r="P12" s="96">
        <v>2000</v>
      </c>
      <c r="Q12" s="96">
        <v>7000</v>
      </c>
      <c r="R12" s="99">
        <v>0</v>
      </c>
      <c r="S12" s="96">
        <v>56</v>
      </c>
      <c r="T12" s="96">
        <v>56</v>
      </c>
      <c r="U12" s="98">
        <v>0</v>
      </c>
      <c r="V12" s="98">
        <v>0</v>
      </c>
      <c r="W12" s="96">
        <v>5</v>
      </c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</row>
    <row r="13" spans="1:35" s="21" customFormat="1" x14ac:dyDescent="0.25">
      <c r="A13" s="21" t="s">
        <v>6</v>
      </c>
      <c r="B13" s="96">
        <v>3000</v>
      </c>
      <c r="C13" s="107">
        <v>0.75274295119742529</v>
      </c>
      <c r="D13" s="108">
        <v>0.37637147559871265</v>
      </c>
      <c r="E13" s="108">
        <v>0.75274295119742529</v>
      </c>
      <c r="F13" s="108">
        <v>0.62754702611189517</v>
      </c>
      <c r="G13" s="72">
        <v>15000</v>
      </c>
      <c r="H13" s="103">
        <v>1</v>
      </c>
      <c r="I13" s="72">
        <v>200</v>
      </c>
      <c r="J13" s="72">
        <v>1200</v>
      </c>
      <c r="K13" s="96">
        <v>800</v>
      </c>
      <c r="L13" s="72" t="s">
        <v>23</v>
      </c>
      <c r="M13" s="96">
        <v>30</v>
      </c>
      <c r="N13" s="110">
        <v>100</v>
      </c>
      <c r="O13" s="96">
        <v>12000</v>
      </c>
      <c r="P13" s="96">
        <v>4300</v>
      </c>
      <c r="Q13" s="96">
        <v>5000</v>
      </c>
      <c r="R13" s="99">
        <v>0</v>
      </c>
      <c r="S13" s="72">
        <v>11.2</v>
      </c>
      <c r="T13" s="72">
        <v>11.2</v>
      </c>
      <c r="U13" s="98">
        <v>0</v>
      </c>
      <c r="V13" s="98">
        <v>0</v>
      </c>
      <c r="W13" s="96">
        <v>4</v>
      </c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</row>
    <row r="14" spans="1:35" s="21" customFormat="1" x14ac:dyDescent="0.25">
      <c r="A14" s="21" t="s">
        <v>8</v>
      </c>
      <c r="B14" s="72">
        <v>3000</v>
      </c>
      <c r="C14" s="97">
        <v>0.5</v>
      </c>
      <c r="D14" s="98">
        <v>4.9999999999999968E-2</v>
      </c>
      <c r="E14" s="98">
        <v>7.4999999999999956E-2</v>
      </c>
      <c r="F14" s="98">
        <v>5.0000000000000044E-2</v>
      </c>
      <c r="G14" s="72">
        <v>5079.375</v>
      </c>
      <c r="H14" s="103">
        <v>1</v>
      </c>
      <c r="I14" s="96">
        <v>0</v>
      </c>
      <c r="J14" s="96">
        <v>0</v>
      </c>
      <c r="K14" s="72">
        <v>11000</v>
      </c>
      <c r="L14" s="72" t="s">
        <v>22</v>
      </c>
      <c r="M14" s="99">
        <v>1</v>
      </c>
      <c r="N14" s="99">
        <v>1</v>
      </c>
      <c r="O14" s="96">
        <v>6600</v>
      </c>
      <c r="P14" s="96">
        <v>1000</v>
      </c>
      <c r="Q14" s="96">
        <v>5000</v>
      </c>
      <c r="R14" s="99">
        <v>0</v>
      </c>
      <c r="S14" s="72">
        <v>21</v>
      </c>
      <c r="T14" s="72">
        <v>28</v>
      </c>
      <c r="U14" s="98">
        <v>0</v>
      </c>
      <c r="V14" s="98">
        <v>0</v>
      </c>
      <c r="W14" s="96">
        <v>4</v>
      </c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</row>
    <row r="15" spans="1:35" s="21" customFormat="1" x14ac:dyDescent="0.25">
      <c r="A15" s="21" t="s">
        <v>5</v>
      </c>
      <c r="B15" s="72">
        <v>750</v>
      </c>
      <c r="C15" s="97">
        <v>0.11962273962856473</v>
      </c>
      <c r="D15" s="98">
        <v>0.62626844738570719</v>
      </c>
      <c r="E15" s="98">
        <v>1.1272832052942729</v>
      </c>
      <c r="F15" s="98">
        <v>0.11962273962856473</v>
      </c>
      <c r="G15" s="72">
        <v>2000</v>
      </c>
      <c r="H15" s="103">
        <v>1</v>
      </c>
      <c r="I15" s="96">
        <v>120</v>
      </c>
      <c r="J15" s="96">
        <v>0</v>
      </c>
      <c r="K15" s="96">
        <v>0</v>
      </c>
      <c r="L15" s="96" t="s">
        <v>21</v>
      </c>
      <c r="M15" s="96">
        <v>0</v>
      </c>
      <c r="N15" s="96">
        <v>0</v>
      </c>
      <c r="O15" s="96">
        <v>30000</v>
      </c>
      <c r="P15" s="96">
        <v>1000</v>
      </c>
      <c r="Q15" s="96">
        <v>5000</v>
      </c>
      <c r="R15" s="99">
        <v>0</v>
      </c>
      <c r="S15" s="96">
        <v>32.199999999999996</v>
      </c>
      <c r="T15" s="96">
        <v>32.199999999999996</v>
      </c>
      <c r="U15" s="98">
        <f>32/46</f>
        <v>0.69565217391304346</v>
      </c>
      <c r="V15" s="98">
        <v>0</v>
      </c>
      <c r="W15" s="96" t="s">
        <v>21</v>
      </c>
      <c r="X15" s="98">
        <v>8.3333333333333329E-2</v>
      </c>
      <c r="Y15" s="98">
        <v>8.3333333333333329E-2</v>
      </c>
      <c r="Z15" s="98">
        <v>8.3333333333333329E-2</v>
      </c>
      <c r="AA15" s="98">
        <v>8.3333333333333329E-2</v>
      </c>
      <c r="AB15" s="98">
        <v>8.3333333333333329E-2</v>
      </c>
      <c r="AC15" s="98">
        <v>8.3333333333333329E-2</v>
      </c>
      <c r="AD15" s="98">
        <v>8.3333333333333329E-2</v>
      </c>
      <c r="AE15" s="98">
        <v>8.3333333333333329E-2</v>
      </c>
      <c r="AF15" s="98">
        <v>8.3333333333333329E-2</v>
      </c>
      <c r="AG15" s="98">
        <v>8.3333333333333329E-2</v>
      </c>
      <c r="AH15" s="98">
        <v>8.3333333333333329E-2</v>
      </c>
      <c r="AI15" s="98">
        <v>8.3333333333333329E-2</v>
      </c>
    </row>
    <row r="16" spans="1:35" s="21" customFormat="1" x14ac:dyDescent="0.25">
      <c r="A16" s="21" t="s">
        <v>9</v>
      </c>
      <c r="B16" s="72">
        <v>2651.4669999999996</v>
      </c>
      <c r="C16" s="97">
        <v>0.28556214186804429</v>
      </c>
      <c r="D16" s="98">
        <v>9.3336373169866538E-2</v>
      </c>
      <c r="E16" s="98">
        <v>0.18667274633973308</v>
      </c>
      <c r="F16" s="98">
        <v>0.48334093292466651</v>
      </c>
      <c r="G16" s="72">
        <v>6000</v>
      </c>
      <c r="H16" s="98">
        <v>0.1</v>
      </c>
      <c r="I16" s="96">
        <v>120</v>
      </c>
      <c r="J16" s="96">
        <v>1200</v>
      </c>
      <c r="K16" s="111">
        <v>0.75</v>
      </c>
      <c r="L16" s="72" t="s">
        <v>23</v>
      </c>
      <c r="M16" s="96">
        <v>1000</v>
      </c>
      <c r="N16" s="96">
        <v>2800</v>
      </c>
      <c r="O16" s="96">
        <v>35000</v>
      </c>
      <c r="P16" s="96">
        <v>4500</v>
      </c>
      <c r="Q16" s="96">
        <v>6000</v>
      </c>
      <c r="R16" s="99">
        <v>0</v>
      </c>
      <c r="S16" s="96">
        <v>35</v>
      </c>
      <c r="T16" s="96">
        <v>35</v>
      </c>
      <c r="U16" s="98">
        <v>0</v>
      </c>
      <c r="V16" s="98">
        <v>0</v>
      </c>
      <c r="W16" s="96">
        <v>3</v>
      </c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</row>
    <row r="17" spans="1:35" s="21" customFormat="1" x14ac:dyDescent="0.25">
      <c r="A17" s="89" t="s">
        <v>11</v>
      </c>
      <c r="B17" s="112">
        <v>933.89800000000002</v>
      </c>
      <c r="C17" s="113">
        <v>0.26112435568470382</v>
      </c>
      <c r="D17" s="114">
        <v>0.18072831307446852</v>
      </c>
      <c r="E17" s="114">
        <v>0.40663870441755412</v>
      </c>
      <c r="F17" s="114">
        <v>0.35813392150660395</v>
      </c>
      <c r="G17" s="31">
        <v>2250</v>
      </c>
      <c r="H17" s="114">
        <v>1</v>
      </c>
      <c r="I17" s="112">
        <v>100</v>
      </c>
      <c r="J17" s="112">
        <v>0</v>
      </c>
      <c r="K17" s="31">
        <v>50</v>
      </c>
      <c r="L17" s="31" t="s">
        <v>23</v>
      </c>
      <c r="M17" s="112">
        <v>77</v>
      </c>
      <c r="N17" s="112">
        <v>80</v>
      </c>
      <c r="O17" s="112">
        <v>15000</v>
      </c>
      <c r="P17" s="112">
        <v>9000</v>
      </c>
      <c r="Q17" s="112">
        <v>5000</v>
      </c>
      <c r="R17" s="115">
        <v>2.2999999999999998</v>
      </c>
      <c r="S17" s="31">
        <v>27.299999999999997</v>
      </c>
      <c r="T17" s="31">
        <v>27.299999999999997</v>
      </c>
      <c r="U17" s="24">
        <v>0</v>
      </c>
      <c r="V17" s="114">
        <v>0</v>
      </c>
      <c r="W17" s="112">
        <v>5</v>
      </c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</row>
    <row r="18" spans="1:35" x14ac:dyDescent="0.25">
      <c r="A18" s="16" t="s">
        <v>128</v>
      </c>
    </row>
    <row r="20" spans="1:35" x14ac:dyDescent="0.25">
      <c r="A20" s="3" t="s">
        <v>108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x14ac:dyDescent="0.25">
      <c r="E21" s="2"/>
      <c r="F21" s="69"/>
    </row>
    <row r="22" spans="1:35" ht="45" x14ac:dyDescent="0.25">
      <c r="A22" s="8" t="s">
        <v>109</v>
      </c>
      <c r="B22" s="8" t="s">
        <v>126</v>
      </c>
      <c r="C22" s="10" t="s">
        <v>110</v>
      </c>
      <c r="D22" s="10" t="s">
        <v>113</v>
      </c>
      <c r="E22" s="10" t="s">
        <v>114</v>
      </c>
      <c r="F22" s="10" t="s">
        <v>133</v>
      </c>
      <c r="G22" s="10" t="s">
        <v>116</v>
      </c>
      <c r="H22" s="10" t="s">
        <v>117</v>
      </c>
      <c r="I22" s="10" t="s">
        <v>115</v>
      </c>
      <c r="J22" s="10" t="s">
        <v>257</v>
      </c>
      <c r="K22" s="10" t="s">
        <v>256</v>
      </c>
      <c r="L22" s="10" t="s">
        <v>118</v>
      </c>
      <c r="M22" s="10" t="s">
        <v>119</v>
      </c>
      <c r="N22" s="10" t="s">
        <v>120</v>
      </c>
      <c r="O22" s="10" t="s">
        <v>255</v>
      </c>
      <c r="P22" s="10" t="s">
        <v>254</v>
      </c>
    </row>
    <row r="23" spans="1:35" s="21" customFormat="1" x14ac:dyDescent="0.25">
      <c r="A23" s="21" t="s">
        <v>343</v>
      </c>
      <c r="B23" s="21" t="s">
        <v>130</v>
      </c>
      <c r="C23" s="72" t="s">
        <v>111</v>
      </c>
      <c r="D23" s="117">
        <f>240/532</f>
        <v>0.45112781954887216</v>
      </c>
      <c r="E23" s="108">
        <f>260/240-1</f>
        <v>8.3333333333333259E-2</v>
      </c>
      <c r="F23" s="108">
        <f>280/240-1</f>
        <v>0.16666666666666674</v>
      </c>
      <c r="G23" s="108">
        <v>0</v>
      </c>
      <c r="H23" s="118">
        <v>8</v>
      </c>
      <c r="I23" s="118">
        <v>1</v>
      </c>
      <c r="J23" s="72">
        <v>150</v>
      </c>
      <c r="K23" s="72">
        <v>150</v>
      </c>
      <c r="L23" s="118">
        <v>1</v>
      </c>
      <c r="M23" s="72">
        <f>2*3200/750</f>
        <v>8.5333333333333332</v>
      </c>
      <c r="N23" s="72">
        <f>100/532*365</f>
        <v>68.609022556390968</v>
      </c>
      <c r="O23" s="72">
        <v>18</v>
      </c>
      <c r="P23" s="72">
        <v>18</v>
      </c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</row>
    <row r="24" spans="1:35" s="21" customFormat="1" x14ac:dyDescent="0.25">
      <c r="A24" s="21" t="s">
        <v>344</v>
      </c>
      <c r="B24" s="21" t="s">
        <v>206</v>
      </c>
      <c r="C24" s="118" t="s">
        <v>21</v>
      </c>
      <c r="D24" s="117" t="s">
        <v>21</v>
      </c>
      <c r="E24" s="108">
        <v>0.05</v>
      </c>
      <c r="F24" s="108">
        <v>0.1</v>
      </c>
      <c r="G24" s="108">
        <v>0.2</v>
      </c>
      <c r="H24" s="118" t="s">
        <v>21</v>
      </c>
      <c r="I24" s="118">
        <v>1</v>
      </c>
      <c r="J24" s="72">
        <v>450</v>
      </c>
      <c r="K24" s="72">
        <v>250</v>
      </c>
      <c r="L24" s="118">
        <v>1</v>
      </c>
      <c r="M24" s="72">
        <f>6*12/P24</f>
        <v>48</v>
      </c>
      <c r="N24" s="72">
        <f>5*12/P24</f>
        <v>40</v>
      </c>
      <c r="O24" s="72">
        <v>18</v>
      </c>
      <c r="P24" s="117">
        <v>1.5</v>
      </c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</row>
    <row r="25" spans="1:35" s="21" customFormat="1" x14ac:dyDescent="0.25">
      <c r="A25" s="16" t="s">
        <v>345</v>
      </c>
      <c r="B25" s="16" t="s">
        <v>131</v>
      </c>
      <c r="C25" s="30" t="s">
        <v>112</v>
      </c>
      <c r="D25" s="119">
        <v>3</v>
      </c>
      <c r="E25" s="108">
        <f>7/D25-1</f>
        <v>1.3333333333333335</v>
      </c>
      <c r="F25" s="108">
        <f>9.5/D25-1</f>
        <v>2.1666666666666665</v>
      </c>
      <c r="G25" s="22">
        <f>25/9.5-1</f>
        <v>1.6315789473684212</v>
      </c>
      <c r="H25" s="118">
        <v>30</v>
      </c>
      <c r="I25" s="118" t="s">
        <v>21</v>
      </c>
      <c r="J25" s="72" t="s">
        <v>21</v>
      </c>
      <c r="K25" s="72" t="s">
        <v>21</v>
      </c>
      <c r="L25" s="118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</row>
    <row r="26" spans="1:35" s="21" customFormat="1" x14ac:dyDescent="0.25">
      <c r="A26" s="16" t="s">
        <v>346</v>
      </c>
      <c r="B26" s="16" t="s">
        <v>206</v>
      </c>
      <c r="C26" s="118" t="s">
        <v>21</v>
      </c>
      <c r="D26" s="117" t="s">
        <v>21</v>
      </c>
      <c r="E26" s="108">
        <v>0.2</v>
      </c>
      <c r="F26" s="108">
        <v>0.7</v>
      </c>
      <c r="G26" s="108">
        <v>2</v>
      </c>
      <c r="H26" s="118" t="s">
        <v>21</v>
      </c>
      <c r="I26" s="118">
        <v>100</v>
      </c>
      <c r="J26" s="72">
        <v>230</v>
      </c>
      <c r="K26" s="72">
        <v>230</v>
      </c>
      <c r="L26" s="118">
        <v>50</v>
      </c>
      <c r="M26" s="72">
        <v>600</v>
      </c>
      <c r="N26" s="72">
        <v>700</v>
      </c>
      <c r="O26" s="72">
        <v>36</v>
      </c>
      <c r="P26" s="72">
        <v>36</v>
      </c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</row>
    <row r="27" spans="1:35" s="21" customFormat="1" x14ac:dyDescent="0.25">
      <c r="A27" s="21" t="s">
        <v>88</v>
      </c>
      <c r="B27" s="71" t="s">
        <v>206</v>
      </c>
      <c r="C27" s="118" t="s">
        <v>21</v>
      </c>
      <c r="D27" s="117" t="s">
        <v>21</v>
      </c>
      <c r="E27" s="108">
        <v>0.15</v>
      </c>
      <c r="F27" s="108">
        <v>0.25</v>
      </c>
      <c r="G27" s="108">
        <v>1</v>
      </c>
      <c r="H27" s="118" t="s">
        <v>21</v>
      </c>
      <c r="I27" s="118">
        <v>8</v>
      </c>
      <c r="J27" s="72">
        <v>250</v>
      </c>
      <c r="K27" s="72">
        <v>250</v>
      </c>
      <c r="L27" s="118">
        <v>5</v>
      </c>
      <c r="M27" s="72">
        <v>200</v>
      </c>
      <c r="N27" s="72">
        <v>300</v>
      </c>
      <c r="O27" s="72">
        <v>24</v>
      </c>
      <c r="P27" s="72">
        <v>24</v>
      </c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</row>
    <row r="28" spans="1:35" s="21" customFormat="1" x14ac:dyDescent="0.25">
      <c r="A28" s="21" t="s">
        <v>107</v>
      </c>
      <c r="B28" s="71" t="s">
        <v>206</v>
      </c>
      <c r="C28" s="118" t="s">
        <v>21</v>
      </c>
      <c r="D28" s="117" t="s">
        <v>21</v>
      </c>
      <c r="E28" s="108">
        <v>0.15</v>
      </c>
      <c r="F28" s="108">
        <v>0.25</v>
      </c>
      <c r="G28" s="108">
        <v>1</v>
      </c>
      <c r="H28" s="118" t="s">
        <v>21</v>
      </c>
      <c r="I28" s="118">
        <v>15</v>
      </c>
      <c r="J28" s="72">
        <v>250</v>
      </c>
      <c r="K28" s="72">
        <v>250</v>
      </c>
      <c r="L28" s="118">
        <v>5</v>
      </c>
      <c r="M28" s="72">
        <v>200</v>
      </c>
      <c r="N28" s="72">
        <v>300</v>
      </c>
      <c r="O28" s="72">
        <v>24</v>
      </c>
      <c r="P28" s="72">
        <v>24</v>
      </c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</row>
    <row r="29" spans="1:35" s="21" customFormat="1" x14ac:dyDescent="0.25">
      <c r="A29" s="23" t="s">
        <v>125</v>
      </c>
      <c r="B29" s="120" t="s">
        <v>206</v>
      </c>
      <c r="C29" s="31" t="s">
        <v>21</v>
      </c>
      <c r="D29" s="31" t="s">
        <v>21</v>
      </c>
      <c r="E29" s="24">
        <v>0.1</v>
      </c>
      <c r="F29" s="24">
        <v>0.2</v>
      </c>
      <c r="G29" s="24">
        <v>0</v>
      </c>
      <c r="H29" s="31" t="s">
        <v>21</v>
      </c>
      <c r="I29" s="121">
        <v>60</v>
      </c>
      <c r="J29" s="31">
        <v>300</v>
      </c>
      <c r="K29" s="31">
        <v>300</v>
      </c>
      <c r="L29" s="121">
        <v>30</v>
      </c>
      <c r="M29" s="31">
        <v>200</v>
      </c>
      <c r="N29" s="31">
        <v>2000</v>
      </c>
      <c r="O29" s="31">
        <v>6</v>
      </c>
      <c r="P29" s="31">
        <v>6</v>
      </c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</row>
    <row r="30" spans="1:35" x14ac:dyDescent="0.25">
      <c r="A30" s="16" t="s">
        <v>129</v>
      </c>
      <c r="B30" s="70" t="s">
        <v>206</v>
      </c>
    </row>
    <row r="31" spans="1:35" x14ac:dyDescent="0.25">
      <c r="H31" s="88"/>
      <c r="I31" s="88"/>
      <c r="AI31"/>
    </row>
    <row r="32" spans="1:35" x14ac:dyDescent="0.25">
      <c r="A32" s="3" t="s">
        <v>152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5" x14ac:dyDescent="0.25">
      <c r="A34" s="5" t="s">
        <v>153</v>
      </c>
      <c r="B34" s="11" t="s">
        <v>18</v>
      </c>
    </row>
    <row r="35" spans="1:35" x14ac:dyDescent="0.25">
      <c r="A35" t="s">
        <v>19</v>
      </c>
      <c r="B35" s="72">
        <v>60</v>
      </c>
      <c r="C35" s="88"/>
    </row>
    <row r="36" spans="1:35" x14ac:dyDescent="0.25">
      <c r="A36" t="s">
        <v>246</v>
      </c>
      <c r="B36" s="72">
        <v>2000</v>
      </c>
      <c r="C36" s="88"/>
    </row>
    <row r="37" spans="1:35" x14ac:dyDescent="0.25">
      <c r="A37" t="s">
        <v>154</v>
      </c>
      <c r="B37" s="2">
        <v>0.4</v>
      </c>
    </row>
    <row r="39" spans="1:35" x14ac:dyDescent="0.25">
      <c r="A39" s="3" t="s">
        <v>240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5">
      <c r="B40" s="184" t="s">
        <v>208</v>
      </c>
      <c r="C40" s="184"/>
    </row>
    <row r="41" spans="1:35" x14ac:dyDescent="0.25">
      <c r="B41" s="73" t="s">
        <v>28</v>
      </c>
      <c r="C41" s="73" t="s">
        <v>27</v>
      </c>
    </row>
    <row r="42" spans="1:35" x14ac:dyDescent="0.25">
      <c r="A42" t="s">
        <v>343</v>
      </c>
      <c r="B42" s="72">
        <v>450</v>
      </c>
      <c r="C42" s="72">
        <v>450</v>
      </c>
    </row>
    <row r="43" spans="1:35" x14ac:dyDescent="0.25">
      <c r="A43" t="s">
        <v>344</v>
      </c>
      <c r="B43" s="72">
        <v>450</v>
      </c>
      <c r="C43" s="72">
        <v>250</v>
      </c>
    </row>
    <row r="44" spans="1:35" x14ac:dyDescent="0.25">
      <c r="A44" t="s">
        <v>345</v>
      </c>
      <c r="B44" s="72">
        <v>50000</v>
      </c>
      <c r="C44" s="72">
        <v>200000</v>
      </c>
    </row>
    <row r="45" spans="1:35" x14ac:dyDescent="0.25">
      <c r="A45" t="s">
        <v>346</v>
      </c>
      <c r="B45" s="72">
        <v>25000</v>
      </c>
      <c r="C45" s="72">
        <v>50000</v>
      </c>
    </row>
    <row r="46" spans="1:35" x14ac:dyDescent="0.25">
      <c r="A46" t="s">
        <v>88</v>
      </c>
      <c r="B46" s="72">
        <v>6000</v>
      </c>
      <c r="C46" s="72">
        <v>12000</v>
      </c>
    </row>
    <row r="47" spans="1:35" x14ac:dyDescent="0.25">
      <c r="A47" t="s">
        <v>107</v>
      </c>
      <c r="B47" s="72">
        <v>4500</v>
      </c>
      <c r="C47" s="72">
        <v>12000</v>
      </c>
    </row>
    <row r="48" spans="1:35" x14ac:dyDescent="0.25">
      <c r="A48" t="s">
        <v>125</v>
      </c>
      <c r="B48" s="72">
        <v>20000</v>
      </c>
      <c r="C48" s="72">
        <v>20000</v>
      </c>
      <c r="D48" s="72"/>
    </row>
    <row r="50" spans="1:36" x14ac:dyDescent="0.25">
      <c r="A50" s="3" t="s">
        <v>235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 x14ac:dyDescent="0.25">
      <c r="B51"/>
      <c r="AJ51" s="12"/>
    </row>
    <row r="52" spans="1:36" x14ac:dyDescent="0.25">
      <c r="B52"/>
      <c r="C52" s="90"/>
      <c r="D52" s="12" t="s">
        <v>4</v>
      </c>
      <c r="E52" s="12" t="s">
        <v>4</v>
      </c>
      <c r="F52" s="12" t="s">
        <v>4</v>
      </c>
      <c r="G52" s="12" t="s">
        <v>238</v>
      </c>
      <c r="H52" s="12" t="s">
        <v>146</v>
      </c>
      <c r="I52" s="12" t="s">
        <v>145</v>
      </c>
      <c r="AJ52" s="12"/>
    </row>
    <row r="53" spans="1:36" ht="30" x14ac:dyDescent="0.25">
      <c r="A53" s="11" t="s">
        <v>339</v>
      </c>
      <c r="B53" s="11" t="s">
        <v>177</v>
      </c>
      <c r="C53" s="11" t="s">
        <v>193</v>
      </c>
      <c r="D53" s="10" t="s">
        <v>198</v>
      </c>
      <c r="E53" s="10" t="s">
        <v>34</v>
      </c>
      <c r="F53" s="10" t="s">
        <v>237</v>
      </c>
      <c r="G53" s="10" t="s">
        <v>232</v>
      </c>
      <c r="H53" s="10" t="s">
        <v>239</v>
      </c>
      <c r="I53" s="10" t="s">
        <v>239</v>
      </c>
      <c r="AJ53" s="12"/>
    </row>
    <row r="54" spans="1:36" x14ac:dyDescent="0.25">
      <c r="A54">
        <v>8</v>
      </c>
      <c r="B54" s="12" t="s">
        <v>178</v>
      </c>
      <c r="C54" s="12" t="s">
        <v>194</v>
      </c>
      <c r="D54" s="91">
        <v>806.09046126287501</v>
      </c>
      <c r="E54" s="91">
        <v>2</v>
      </c>
      <c r="F54" s="91">
        <v>4</v>
      </c>
      <c r="G54" s="7" t="s">
        <v>27</v>
      </c>
      <c r="H54" s="91">
        <f>I54</f>
        <v>16500000</v>
      </c>
      <c r="I54" s="91">
        <f>AVERAGE(3000000,30000000)</f>
        <v>16500000</v>
      </c>
      <c r="J54" s="7"/>
      <c r="AJ54" s="12"/>
    </row>
    <row r="55" spans="1:36" x14ac:dyDescent="0.25">
      <c r="A55">
        <v>3</v>
      </c>
      <c r="B55" s="12" t="s">
        <v>179</v>
      </c>
      <c r="C55" s="12" t="s">
        <v>194</v>
      </c>
      <c r="D55" s="91">
        <v>806.09046126287501</v>
      </c>
      <c r="E55" s="91">
        <v>2</v>
      </c>
      <c r="F55" s="91">
        <v>4</v>
      </c>
      <c r="G55" s="7" t="s">
        <v>27</v>
      </c>
      <c r="H55" s="91">
        <f t="shared" ref="H55:H57" si="1">I55</f>
        <v>16500000</v>
      </c>
      <c r="I55" s="91">
        <f t="shared" ref="I55:I57" si="2">AVERAGE(3000000,30000000)</f>
        <v>16500000</v>
      </c>
      <c r="J55" s="7"/>
      <c r="AJ55" s="12"/>
    </row>
    <row r="56" spans="1:36" x14ac:dyDescent="0.25">
      <c r="A56">
        <v>9</v>
      </c>
      <c r="B56" s="12" t="s">
        <v>180</v>
      </c>
      <c r="C56" s="12" t="s">
        <v>194</v>
      </c>
      <c r="D56" s="91">
        <v>806.09046126287501</v>
      </c>
      <c r="E56" s="91">
        <v>2</v>
      </c>
      <c r="F56" s="91">
        <v>4</v>
      </c>
      <c r="G56" s="7" t="s">
        <v>27</v>
      </c>
      <c r="H56" s="91">
        <f t="shared" si="1"/>
        <v>16500000</v>
      </c>
      <c r="I56" s="91">
        <f t="shared" si="2"/>
        <v>16500000</v>
      </c>
      <c r="J56" s="7"/>
      <c r="AJ56" s="12"/>
    </row>
    <row r="57" spans="1:36" x14ac:dyDescent="0.25">
      <c r="A57">
        <v>10</v>
      </c>
      <c r="B57" s="12" t="s">
        <v>181</v>
      </c>
      <c r="C57" s="12" t="s">
        <v>194</v>
      </c>
      <c r="D57" s="91">
        <v>806.09046126287501</v>
      </c>
      <c r="E57" s="91">
        <v>2</v>
      </c>
      <c r="F57" s="91">
        <v>4</v>
      </c>
      <c r="G57" s="7" t="s">
        <v>27</v>
      </c>
      <c r="H57" s="91">
        <f t="shared" si="1"/>
        <v>16500000</v>
      </c>
      <c r="I57" s="91">
        <f t="shared" si="2"/>
        <v>16500000</v>
      </c>
      <c r="J57" s="7"/>
      <c r="AJ57" s="12"/>
    </row>
    <row r="58" spans="1:36" x14ac:dyDescent="0.25">
      <c r="A58">
        <v>11</v>
      </c>
      <c r="B58" s="12" t="s">
        <v>182</v>
      </c>
      <c r="C58" s="12" t="s">
        <v>236</v>
      </c>
      <c r="D58" s="91">
        <v>806.09046126287501</v>
      </c>
      <c r="E58" s="91">
        <v>2</v>
      </c>
      <c r="F58" s="91">
        <v>4</v>
      </c>
      <c r="G58" s="7" t="s">
        <v>28</v>
      </c>
      <c r="H58" s="91">
        <f>AVERAGE(300000,1500000)</f>
        <v>900000</v>
      </c>
      <c r="I58" s="91">
        <f>AVERAGE(2000000,10000000)</f>
        <v>6000000</v>
      </c>
      <c r="J58" s="7"/>
      <c r="AJ58" s="12"/>
    </row>
    <row r="59" spans="1:36" x14ac:dyDescent="0.25">
      <c r="A59">
        <v>7</v>
      </c>
      <c r="B59" s="12" t="s">
        <v>183</v>
      </c>
      <c r="C59" s="12" t="s">
        <v>236</v>
      </c>
      <c r="D59" s="91">
        <v>806.09046126287501</v>
      </c>
      <c r="E59" s="91">
        <v>1</v>
      </c>
      <c r="F59" s="91">
        <v>5</v>
      </c>
      <c r="G59" s="7" t="s">
        <v>28</v>
      </c>
      <c r="H59" s="91">
        <f>AVERAGE(500000,700000)</f>
        <v>600000</v>
      </c>
      <c r="I59" s="91">
        <f>AVERAGE(2000000,10000000)</f>
        <v>6000000</v>
      </c>
      <c r="J59" s="7"/>
      <c r="AJ59" s="12"/>
    </row>
    <row r="60" spans="1:36" x14ac:dyDescent="0.25">
      <c r="A60">
        <v>6</v>
      </c>
      <c r="B60" s="12" t="s">
        <v>184</v>
      </c>
      <c r="C60" s="12" t="s">
        <v>236</v>
      </c>
      <c r="D60" s="91">
        <v>806.09046126287501</v>
      </c>
      <c r="E60" s="91">
        <v>2</v>
      </c>
      <c r="F60" s="91">
        <v>4</v>
      </c>
      <c r="G60" s="7" t="s">
        <v>27</v>
      </c>
      <c r="H60" s="91">
        <f>AVERAGE(300000,750000)</f>
        <v>525000</v>
      </c>
      <c r="I60" s="91">
        <f>AVERAGE(2000000,20000000)</f>
        <v>11000000</v>
      </c>
      <c r="J60" s="7"/>
      <c r="AJ60" s="12"/>
    </row>
    <row r="61" spans="1:36" x14ac:dyDescent="0.25">
      <c r="A61">
        <v>12</v>
      </c>
      <c r="B61" s="12" t="s">
        <v>185</v>
      </c>
      <c r="C61" s="12" t="s">
        <v>236</v>
      </c>
      <c r="D61" s="91">
        <v>268.69682042095832</v>
      </c>
      <c r="E61" s="91">
        <v>2</v>
      </c>
      <c r="F61" s="91">
        <v>4</v>
      </c>
      <c r="G61" s="7" t="s">
        <v>27</v>
      </c>
      <c r="H61" s="91">
        <f>AVERAGE(120000,450000)</f>
        <v>285000</v>
      </c>
      <c r="I61" s="91">
        <f>AVERAGE(500000,3000000)</f>
        <v>1750000</v>
      </c>
      <c r="J61" s="7"/>
      <c r="AJ61" s="12"/>
    </row>
    <row r="62" spans="1:36" x14ac:dyDescent="0.25">
      <c r="A62">
        <v>13</v>
      </c>
      <c r="B62" s="12" t="s">
        <v>186</v>
      </c>
      <c r="C62" s="12" t="s">
        <v>236</v>
      </c>
      <c r="D62" s="91">
        <v>806.09046126287501</v>
      </c>
      <c r="E62" s="91">
        <v>2</v>
      </c>
      <c r="F62" s="91">
        <v>4</v>
      </c>
      <c r="G62" s="7" t="s">
        <v>28</v>
      </c>
      <c r="H62" s="91">
        <f>AVERAGE(300000,750000)</f>
        <v>525000</v>
      </c>
      <c r="I62" s="91">
        <f>AVERAGE(750000,10000000)</f>
        <v>5375000</v>
      </c>
      <c r="J62" s="7"/>
      <c r="AJ62" s="12"/>
    </row>
    <row r="63" spans="1:36" x14ac:dyDescent="0.25">
      <c r="A63">
        <v>5</v>
      </c>
      <c r="B63" s="12" t="s">
        <v>187</v>
      </c>
      <c r="C63" s="12" t="s">
        <v>236</v>
      </c>
      <c r="D63" s="91">
        <v>806.09046126287501</v>
      </c>
      <c r="E63" s="91">
        <v>2</v>
      </c>
      <c r="F63" s="91">
        <v>4</v>
      </c>
      <c r="G63" s="7" t="s">
        <v>28</v>
      </c>
      <c r="H63" s="91">
        <f>AVERAGE(200000,500000)</f>
        <v>350000</v>
      </c>
      <c r="I63" s="91">
        <f>AVERAGE(700000,3000000)</f>
        <v>1850000</v>
      </c>
      <c r="J63" s="7"/>
      <c r="AJ63" s="12"/>
    </row>
    <row r="64" spans="1:36" x14ac:dyDescent="0.25">
      <c r="A64">
        <v>14</v>
      </c>
      <c r="B64" s="12" t="s">
        <v>188</v>
      </c>
      <c r="C64" s="12" t="s">
        <v>236</v>
      </c>
      <c r="D64" s="91">
        <v>1612.18092252575</v>
      </c>
      <c r="E64" s="91">
        <v>1</v>
      </c>
      <c r="F64" s="91">
        <v>6</v>
      </c>
      <c r="G64" s="7" t="s">
        <v>28</v>
      </c>
      <c r="H64" s="91">
        <f>AVERAGE(200000,500000)</f>
        <v>350000</v>
      </c>
      <c r="I64" s="91">
        <f>AVERAGE(700000,3000000)</f>
        <v>1850000</v>
      </c>
      <c r="J64" s="7"/>
      <c r="AJ64" s="12"/>
    </row>
    <row r="65" spans="1:36" x14ac:dyDescent="0.25">
      <c r="A65">
        <v>15</v>
      </c>
      <c r="B65" s="12" t="s">
        <v>189</v>
      </c>
      <c r="C65" s="12" t="s">
        <v>236</v>
      </c>
      <c r="D65" s="91">
        <v>1612.18092252575</v>
      </c>
      <c r="E65" s="91">
        <v>1</v>
      </c>
      <c r="F65" s="91">
        <v>6</v>
      </c>
      <c r="G65" s="7" t="s">
        <v>27</v>
      </c>
      <c r="H65" s="91">
        <f>AVERAGE(150000,400000)</f>
        <v>275000</v>
      </c>
      <c r="I65" s="91">
        <f>AVERAGE(500000,2000000)</f>
        <v>1250000</v>
      </c>
      <c r="J65" s="7"/>
      <c r="AJ65" s="12"/>
    </row>
    <row r="66" spans="1:36" x14ac:dyDescent="0.25">
      <c r="A66">
        <v>16</v>
      </c>
      <c r="B66" s="12" t="s">
        <v>190</v>
      </c>
      <c r="C66" s="12" t="s">
        <v>236</v>
      </c>
      <c r="D66" s="91">
        <v>806.09046126287501</v>
      </c>
      <c r="E66" s="91">
        <v>2</v>
      </c>
      <c r="F66" s="91">
        <v>4</v>
      </c>
      <c r="G66" s="7" t="s">
        <v>27</v>
      </c>
      <c r="H66" s="91">
        <f>AVERAGE(300000,750000)</f>
        <v>525000</v>
      </c>
      <c r="I66" s="91">
        <f>AVERAGE(2000000,20000000)</f>
        <v>11000000</v>
      </c>
      <c r="J66" s="7"/>
      <c r="AJ66" s="12"/>
    </row>
    <row r="67" spans="1:36" x14ac:dyDescent="0.25">
      <c r="A67">
        <v>4</v>
      </c>
      <c r="B67" s="12" t="s">
        <v>191</v>
      </c>
      <c r="C67" s="12" t="s">
        <v>236</v>
      </c>
      <c r="D67" s="91">
        <v>806.09046126287501</v>
      </c>
      <c r="E67" s="91">
        <v>2</v>
      </c>
      <c r="F67" s="91">
        <v>4</v>
      </c>
      <c r="G67" s="7" t="s">
        <v>27</v>
      </c>
      <c r="H67" s="91">
        <f>AVERAGE(300000,750000)</f>
        <v>525000</v>
      </c>
      <c r="I67" s="91">
        <f>AVERAGE(2000000,20000000)</f>
        <v>11000000</v>
      </c>
      <c r="J67" s="7"/>
      <c r="AJ67" s="12"/>
    </row>
    <row r="68" spans="1:36" x14ac:dyDescent="0.25">
      <c r="A68">
        <v>2</v>
      </c>
      <c r="B68" s="12" t="s">
        <v>192</v>
      </c>
      <c r="C68" s="12" t="s">
        <v>194</v>
      </c>
      <c r="D68" s="91">
        <v>806.09046126287501</v>
      </c>
      <c r="E68" s="91">
        <v>2</v>
      </c>
      <c r="F68" s="91">
        <v>4</v>
      </c>
      <c r="G68" s="7" t="s">
        <v>27</v>
      </c>
      <c r="H68" s="91">
        <f>I68</f>
        <v>16500000</v>
      </c>
      <c r="I68" s="91">
        <f>AVERAGE(3000000,30000000)</f>
        <v>16500000</v>
      </c>
      <c r="J68" s="7"/>
      <c r="AJ68" s="12"/>
    </row>
    <row r="69" spans="1:36" x14ac:dyDescent="0.25">
      <c r="B69"/>
      <c r="AJ69" s="12"/>
    </row>
    <row r="70" spans="1:36" x14ac:dyDescent="0.25">
      <c r="B70"/>
      <c r="AJ70" s="12"/>
    </row>
    <row r="71" spans="1:36" x14ac:dyDescent="0.25">
      <c r="A71" s="3" t="s">
        <v>29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3" spans="1:36" x14ac:dyDescent="0.25">
      <c r="A73" s="5" t="s">
        <v>30</v>
      </c>
      <c r="B73" s="11" t="s">
        <v>127</v>
      </c>
      <c r="C73" s="11" t="s">
        <v>43</v>
      </c>
      <c r="D73" s="11" t="s">
        <v>56</v>
      </c>
      <c r="E73" s="11" t="s">
        <v>243</v>
      </c>
      <c r="F73" s="11" t="s">
        <v>244</v>
      </c>
      <c r="G73" s="11" t="s">
        <v>288</v>
      </c>
      <c r="H73" s="11" t="s">
        <v>144</v>
      </c>
      <c r="I73" s="11" t="s">
        <v>267</v>
      </c>
      <c r="J73" s="11" t="s">
        <v>292</v>
      </c>
      <c r="K73" s="11" t="s">
        <v>296</v>
      </c>
      <c r="AJ73" s="12"/>
    </row>
    <row r="74" spans="1:36" x14ac:dyDescent="0.25">
      <c r="A74" t="s">
        <v>27</v>
      </c>
      <c r="B74" s="178">
        <v>0</v>
      </c>
      <c r="C74" s="12" t="s">
        <v>298</v>
      </c>
      <c r="E74" s="12" t="s">
        <v>28</v>
      </c>
      <c r="F74" s="12" t="s">
        <v>28</v>
      </c>
      <c r="G74" s="12" t="s">
        <v>122</v>
      </c>
      <c r="H74" s="12" t="s">
        <v>146</v>
      </c>
      <c r="I74" s="12" t="s">
        <v>333</v>
      </c>
      <c r="J74" s="138" t="s">
        <v>293</v>
      </c>
      <c r="K74" s="12" t="s">
        <v>28</v>
      </c>
      <c r="AJ74" s="12"/>
    </row>
    <row r="75" spans="1:36" x14ac:dyDescent="0.25">
      <c r="A75" t="s">
        <v>28</v>
      </c>
      <c r="B75" s="178">
        <v>5</v>
      </c>
      <c r="C75" s="136" t="s">
        <v>317</v>
      </c>
      <c r="D75" s="135"/>
      <c r="E75" s="12" t="s">
        <v>282</v>
      </c>
      <c r="F75" s="12" t="s">
        <v>285</v>
      </c>
      <c r="G75" s="12" t="s">
        <v>123</v>
      </c>
      <c r="H75" s="12" t="s">
        <v>347</v>
      </c>
      <c r="I75" s="12" t="s">
        <v>334</v>
      </c>
      <c r="J75" s="70" t="s">
        <v>294</v>
      </c>
      <c r="K75" s="12" t="s">
        <v>28</v>
      </c>
      <c r="AJ75" s="12"/>
    </row>
    <row r="76" spans="1:36" x14ac:dyDescent="0.25">
      <c r="B76" s="178">
        <v>10</v>
      </c>
      <c r="C76" s="12" t="s">
        <v>44</v>
      </c>
      <c r="D76" s="12">
        <v>1</v>
      </c>
      <c r="E76" s="12" t="s">
        <v>283</v>
      </c>
      <c r="F76" s="12" t="s">
        <v>286</v>
      </c>
      <c r="G76" s="12" t="s">
        <v>124</v>
      </c>
      <c r="I76" s="12" t="s">
        <v>43</v>
      </c>
      <c r="J76" s="70" t="s">
        <v>348</v>
      </c>
      <c r="K76" s="12" t="s">
        <v>28</v>
      </c>
      <c r="AJ76" s="12"/>
    </row>
    <row r="77" spans="1:36" x14ac:dyDescent="0.25">
      <c r="B77" s="178">
        <v>20</v>
      </c>
      <c r="C77" s="12" t="s">
        <v>45</v>
      </c>
      <c r="D77" s="12">
        <f>D76+1</f>
        <v>2</v>
      </c>
      <c r="E77" s="12" t="s">
        <v>284</v>
      </c>
      <c r="F77" s="12" t="s">
        <v>287</v>
      </c>
      <c r="J77" s="70" t="s">
        <v>349</v>
      </c>
      <c r="K77" s="12" t="s">
        <v>27</v>
      </c>
      <c r="AJ77" s="12"/>
    </row>
    <row r="78" spans="1:36" x14ac:dyDescent="0.25">
      <c r="B78" s="178">
        <v>30.000000000000004</v>
      </c>
      <c r="C78" s="12" t="s">
        <v>46</v>
      </c>
      <c r="D78" s="12">
        <f t="shared" ref="D78:D87" si="3">D77+1</f>
        <v>3</v>
      </c>
      <c r="J78" s="70" t="s">
        <v>295</v>
      </c>
      <c r="K78" s="12" t="s">
        <v>27</v>
      </c>
    </row>
    <row r="79" spans="1:36" x14ac:dyDescent="0.25">
      <c r="B79" s="178">
        <v>40</v>
      </c>
      <c r="C79" s="12" t="s">
        <v>47</v>
      </c>
      <c r="D79" s="12">
        <f t="shared" si="3"/>
        <v>4</v>
      </c>
      <c r="J79" s="70"/>
    </row>
    <row r="80" spans="1:36" x14ac:dyDescent="0.25">
      <c r="B80" s="178">
        <v>50</v>
      </c>
      <c r="C80" s="12" t="s">
        <v>48</v>
      </c>
      <c r="D80" s="12">
        <f t="shared" si="3"/>
        <v>5</v>
      </c>
    </row>
    <row r="81" spans="1:35" x14ac:dyDescent="0.25">
      <c r="B81" s="178">
        <v>60</v>
      </c>
      <c r="C81" s="12" t="s">
        <v>49</v>
      </c>
      <c r="D81" s="12">
        <f t="shared" si="3"/>
        <v>6</v>
      </c>
    </row>
    <row r="82" spans="1:35" x14ac:dyDescent="0.25">
      <c r="B82" s="178">
        <v>70</v>
      </c>
      <c r="C82" s="12" t="s">
        <v>50</v>
      </c>
      <c r="D82" s="12">
        <f t="shared" si="3"/>
        <v>7</v>
      </c>
    </row>
    <row r="83" spans="1:35" x14ac:dyDescent="0.25">
      <c r="B83" s="178">
        <v>80</v>
      </c>
      <c r="C83" s="12" t="s">
        <v>51</v>
      </c>
      <c r="D83" s="12">
        <f t="shared" si="3"/>
        <v>8</v>
      </c>
    </row>
    <row r="84" spans="1:35" x14ac:dyDescent="0.25">
      <c r="B84" s="178">
        <v>89.999999999999986</v>
      </c>
      <c r="C84" s="12" t="s">
        <v>52</v>
      </c>
      <c r="D84" s="12">
        <f t="shared" si="3"/>
        <v>9</v>
      </c>
    </row>
    <row r="85" spans="1:35" x14ac:dyDescent="0.25">
      <c r="B85" s="178">
        <v>99.999999999999986</v>
      </c>
      <c r="C85" s="12" t="s">
        <v>53</v>
      </c>
      <c r="D85" s="12">
        <f t="shared" si="3"/>
        <v>10</v>
      </c>
    </row>
    <row r="86" spans="1:35" x14ac:dyDescent="0.25">
      <c r="C86" s="12" t="s">
        <v>54</v>
      </c>
      <c r="D86" s="12">
        <f t="shared" si="3"/>
        <v>11</v>
      </c>
    </row>
    <row r="87" spans="1:35" x14ac:dyDescent="0.25">
      <c r="C87" s="12" t="s">
        <v>55</v>
      </c>
      <c r="D87" s="12">
        <f t="shared" si="3"/>
        <v>12</v>
      </c>
    </row>
    <row r="90" spans="1:35" x14ac:dyDescent="0.25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</sheetData>
  <sortState ref="B6:P18">
    <sortCondition ref="B6:B18"/>
  </sortState>
  <mergeCells count="1">
    <mergeCell ref="B40:C40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54908FD-0027-48F8-9013-EF541704527F}">
            <xm:f>Inputs!$A19=$A$23</xm:f>
            <x14:dxf/>
          </x14:cfRule>
          <xm:sqref>L19:L21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financialSummary</vt:lpstr>
      <vt:lpstr>Output</vt:lpstr>
      <vt:lpstr>Inputs</vt:lpstr>
      <vt:lpstr>Calculations</vt:lpstr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Rndwiga</cp:lastModifiedBy>
  <dcterms:created xsi:type="dcterms:W3CDTF">2016-05-03T10:55:57Z</dcterms:created>
  <dcterms:modified xsi:type="dcterms:W3CDTF">2016-09-14T08:47:35Z</dcterms:modified>
</cp:coreProperties>
</file>