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<sst xmlns="http://schemas.openxmlformats.org/spreadsheetml/2006/main" uniqueCount="371">
  <si>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</si>
  <si>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</si>
  <si>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</si>
  <si>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</si>
  <si>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</si>
  <si>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</si>
  <si>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</si>
  <si>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</si>
  <si>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</si>
  <si>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</si>
  <si>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</si>
  <si>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</si>
  <si>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</si>
  <si>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</si>
  <si>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</si>
  <si>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</si>
  <si>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</si>
  <si>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</si>
  <si>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</si>
  <si>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</si>
  <si>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</si>
  <si>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</si>
  <si>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</si>
  <si>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</si>
  <si>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</si>
  <si>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</si>
  <si>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</si>
  <si>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</si>
  <si>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</si>
  <si>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</si>
  <si>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</si>
  <si>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</si>
  <si>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</si>
  <si>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</si>
  <si>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</si>
  <si>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</si>
  <si>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</si>
  <si>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</si>
  <si>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</si>
  <si>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</si>
  <si>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</si>
  <si>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</si>
  <si>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</si>
  <si>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</si>
  <si>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</si>
  <si>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</si>
  <si>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</si>
  <si>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</si>
  <si>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</si>
  <si>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</si>
  <si>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</si>
  <si>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</si>
  <si>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</si>
  <si>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</si>
  <si>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</si>
  <si>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</si>
  <si>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</si>
  <si>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</si>
  <si>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</si>
  <si>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</si>
  <si>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</si>
  <si>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</si>
  <si>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</si>
  <si>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</si>
  <si>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</si>
  <si>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</si>
  <si>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</si>
  <si>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</si>
  <si>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</si>
  <si>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</si>
  <si>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</si>
  <si>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</si>
  <si>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</si>
  <si>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</si>
  <si>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</si>
  <si>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</si>
  <si>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</si>
  <si>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</si>
  <si>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</si>
  <si>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</si>
  <si>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</si>
  <si>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Shop_common variety</t>
  </si>
  <si>
    <t>Yes only manure</t>
  </si>
  <si>
    <t>Yes</t>
  </si>
  <si>
    <t>Yes using a solar pump</t>
  </si>
  <si>
    <t>October</t>
  </si>
  <si>
    <t>Mangoes</t>
  </si>
  <si>
    <t>Shop_certified variety</t>
  </si>
  <si>
    <t>Yes both manure and fertilizers</t>
  </si>
  <si>
    <t>June</t>
  </si>
  <si>
    <t>March</t>
  </si>
  <si>
    <t>Maize</t>
  </si>
  <si>
    <t>NGO</t>
  </si>
  <si>
    <t>No</t>
  </si>
  <si>
    <t>Yes using a diesel pump</t>
  </si>
  <si>
    <t>Other crops</t>
  </si>
  <si>
    <t>Guava</t>
  </si>
  <si>
    <t>Other farmers</t>
  </si>
  <si>
    <t>Yes Inorganic fertizers</t>
  </si>
  <si>
    <t>April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</si>
  <si>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</si>
  <si>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</si>
  <si>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</si>
  <si>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</si>
  <si>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</si>
  <si>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</si>
  <si>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</si>
  <si>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</si>
  <si>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</si>
  <si>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</si>
  <si>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</si>
  <si>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</si>
  <si>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</si>
  <si>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</si>
  <si>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</si>
  <si>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Sometimes</t>
  </si>
  <si>
    <t>Cows_dairy</t>
  </si>
  <si>
    <t>Always</t>
  </si>
  <si>
    <t>Other animals</t>
  </si>
  <si>
    <t>Cats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</si>
  <si>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</si>
  <si>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</si>
  <si>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</si>
  <si>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</si>
  <si>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</si>
  <si>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</si>
  <si>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</si>
  <si>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</si>
  <si>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</si>
  <si>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</si>
  <si>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</si>
  <si>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</si>
  <si>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fishing</t>
  </si>
  <si>
    <t>May</t>
  </si>
  <si>
    <t>carpentry</t>
  </si>
  <si>
    <t>July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</si>
  <si>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</si>
  <si>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</si>
  <si>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</si>
  <si>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</si>
  <si>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</si>
  <si>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</si>
  <si>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</si>
  <si>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</si>
  <si>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</si>
  <si>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</si>
  <si>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</si>
  <si>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</si>
  <si>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</si>
  <si>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</si>
  <si>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</si>
  <si>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</si>
  <si>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</si>
  <si>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</si>
  <si>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</si>
  <si>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</si>
  <si>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2016/4/14</t>
  </si>
  <si>
    <t>kamau invest</t>
  </si>
  <si>
    <t>well paid</t>
  </si>
  <si>
    <t>2016/8/5</t>
  </si>
  <si>
    <t>safcom</t>
  </si>
  <si>
    <t>paid well</t>
  </si>
  <si>
    <t>2016/5/14</t>
  </si>
  <si>
    <t>branch inc</t>
  </si>
  <si>
    <t>dues</t>
  </si>
  <si>
    <t>2016/9/14</t>
  </si>
  <si>
    <t>jambo</t>
  </si>
  <si>
    <t>well</t>
  </si>
  <si>
    <t>2016/4/29</t>
  </si>
  <si>
    <t>kcb</t>
  </si>
  <si>
    <t>jored</t>
  </si>
  <si>
    <t>Mpesa &amp; bank cash flows (from past statements)</t>
  </si>
  <si>
    <t>Cash inflows</t>
  </si>
  <si>
    <t>Cash outflows</t>
  </si>
  <si>
    <t>August</t>
  </si>
  <si>
    <t>Loan info</t>
  </si>
  <si>
    <t>Branch ID</t>
  </si>
  <si>
    <t>Submission date</t>
  </si>
  <si>
    <t>Loan terms</t>
  </si>
  <si>
    <t>Expected disbursement date</t>
  </si>
  <si>
    <t>Expected first repayment date</t>
  </si>
  <si>
    <t>2016/9/21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</si>
  <si>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</si>
  <si>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</si>
  <si>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</si>
  <si>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</si>
  <si>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</si>
  <si>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</si>
  <si>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</si>
  <si>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</si>
  <si>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</si>
  <si>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</si>
  <si>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</si>
  <si>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</si>
  <si>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</si>
  <si>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</si>
  <si>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</si>
  <si>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</si>
  <si>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</si>
  <si>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</si>
  <si>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</si>
  <si>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</si>
  <si>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</si>
  <si>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</si>
  <si>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</si>
  <si>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</si>
  <si>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</si>
  <si>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</si>
  <si>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</si>
  <si>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</si>
  <si>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</si>
  <si>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</si>
  <si>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</si>
  <si>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</si>
  <si>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</si>
  <si>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</si>
  <si>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</si>
  <si>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</si>
  <si>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</si>
  <si>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</si>
  <si>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</si>
  <si>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</si>
  <si>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</si>
  <si>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</si>
  <si>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</si>
  <si>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</si>
  <si>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</si>
  <si>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</si>
  <si>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</si>
  <si>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</si>
  <si>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</si>
  <si>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</si>
  <si>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</si>
  <si>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</si>
  <si>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</si>
  <si>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</si>
  <si>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</si>
  <si>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</si>
  <si>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</si>
  <si>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</si>
  <si>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</si>
  <si>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</si>
  <si>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</si>
  <si>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</si>
  <si>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</si>
  <si>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</si>
  <si>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</si>
  <si>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</si>
  <si>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</si>
  <si>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</si>
  <si>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</si>
  <si>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</si>
  <si>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</si>
  <si>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</si>
  <si>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</si>
  <si>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</si>
  <si>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</si>
  <si>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</si>
  <si>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</si>
  <si>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</si>
  <si>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</si>
  <si>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</si>
  <si>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</si>
  <si>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</si>
  <si>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</si>
  <si>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</si>
  <si>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</si>
  <si>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</si>
  <si>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</si>
  <si>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</si>
  <si>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</si>
  <si>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</si>
  <si>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</si>
  <si>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</si>
  <si>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</si>
  <si>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</si>
  <si>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</si>
  <si>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</si>
  <si>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</si>
  <si>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</si>
  <si>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</si>
  <si>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</si>
  <si>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</si>
  <si>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</si>
  <si>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</si>
  <si>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</si>
  <si>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</si>
  <si>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</si>
  <si>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</si>
  <si>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</si>
  <si>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</si>
  <si>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</si>
  <si>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</si>
  <si>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</si>
  <si>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</si>
  <si>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</si>
  <si>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</si>
  <si>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</si>
  <si>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</si>
  <si>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</si>
  <si>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</si>
  <si>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</si>
  <si>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</si>
  <si>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</si>
  <si>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</si>
  <si>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</si>
  <si>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</si>
  <si>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</si>
  <si>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</si>
  <si>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</si>
  <si>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</si>
  <si>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</si>
  <si>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</si>
  <si>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</si>
  <si>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</si>
  <si>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</si>
  <si>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</si>
  <si>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</si>
  <si>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</si>
  <si>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</si>
  <si>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</si>
  <si>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</si>
  <si>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</si>
  <si>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</si>
  <si>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</si>
  <si>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</si>
  <si>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</si>
  <si>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</si>
  <si>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</si>
  <si>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</si>
  <si>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</si>
  <si>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</si>
  <si>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</si>
  <si>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</si>
  <si>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</si>
  <si>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</si>
  <si>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</si>
  <si>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</si>
  <si>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</si>
  <si>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</si>
  <si>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</si>
  <si>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</si>
  <si>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</si>
  <si>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</si>
  <si>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</si>
  <si>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</si>
  <si>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</si>
  <si>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</si>
  <si>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</si>
  <si>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</si>
  <si>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</si>
  <si>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</si>
  <si>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</si>
  <si>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</si>
  <si>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</si>
  <si>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</si>
  <si>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</si>
  <si>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</si>
  <si>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</si>
  <si>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</si>
  <si>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</si>
  <si>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</si>
  <si>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</si>
  <si>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</si>
  <si>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January</t>
  </si>
  <si>
    <t>Yes inorganic fertilizers</t>
  </si>
  <si>
    <t>February</t>
  </si>
  <si>
    <t>Yes both manure and inorganic</t>
  </si>
  <si>
    <t>Yes without the use of a pump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</si>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</sst>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8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83" t="str">
        <f>IFERROR(IF(AND(C11&lt;=60%,INDEX(Output!$B$3:$S$3,MATCH(1,Output!B11:S11,0))=Output!$B$3,'Financial summary'!C13&lt;80%),"Approve","Review: "&amp;IF(C11&gt;60%,"loan size ratio &gt;60%, ","")&amp;IF(INDEX(Output!$B$3:$S$3,MATCH(1,Output!B11:S11,0))&lt;&gt;Output!$B$3,"provide principal and/or interest grace periods until "&amp;C12&amp;", ","")&amp;IF(C13&gt;80%,"indebtness ratio&gt;80%","")),"")</f>
        <v>0</v>
      </c>
      <c r="D2" s="183"/>
      <c r="E2" s="183"/>
      <c r="F2" s="183"/>
      <c r="G2" s="183"/>
    </row>
    <row r="3" spans="1:7">
      <c r="C3" s="183"/>
      <c r="D3" s="183"/>
      <c r="E3" s="183"/>
      <c r="F3" s="183"/>
      <c r="G3" s="183"/>
    </row>
    <row r="4" spans="1:7" customHeight="1" ht="9.75">
      <c r="C4" s="143"/>
      <c r="D4" s="143"/>
      <c r="E4" s="143"/>
      <c r="F4" s="143"/>
      <c r="G4" s="143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IF(IF(Output!A15="","",Output!A15)&amp;IF(Output!A16="","",", "&amp;Output!A16)&amp;IF(Output!A17="","",", "&amp;", "&amp;Output!A17)&amp;IF(Output!A18="","",", "&amp;Output!A18)&amp;IF(Output!A19="","",", "&amp;Output!A19)="","None",IF(Output!A15="","",Output!A15)&amp;IF(Output!A16="","",", "&amp;Output!A16)&amp;IF(Output!A17="","",", "&amp;", "&amp;Output!A17)&amp;IF(Output!A18="","",", "&amp;Output!A18)&amp;IF(Output!A19="","",", "&amp;Output!A19))</f>
        <v>0</v>
      </c>
    </row>
    <row r="7" spans="1:7">
      <c r="B7" s="1" t="s">
        <v>3</v>
      </c>
      <c r="C7" t="str">
        <f>IF(IF(Output!A21="","",Output!A21)&amp;IF(Output!A22="","",", "&amp;Output!A22)&amp;IF(Output!A23="","",", "&amp;Output!A23)&amp;IF(Output!A24="","",", "&amp;Output!A24)="","None",IF(Output!A21="","",Output!A21)&amp;IF(Output!A22="","",", "&amp;Output!A22)&amp;IF(Output!A23="","",", "&amp;Output!A23)&amp;IF(Output!A24="","",", "&amp;Output!A24))</f>
        <v>0</v>
      </c>
    </row>
    <row r="8" spans="1:7">
      <c r="B8" s="1" t="s">
        <v>4</v>
      </c>
      <c r="C8" t="str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 t="str">
        <f>IFERROR(IF(Output!Z8/(Output!Z4+Output!Z7)&lt;=0,999,Output!Z8/(Output!Z4+Output!Z7)),"")</f>
        <v>0</v>
      </c>
    </row>
    <row r="12" spans="1:7">
      <c r="B12" s="1" t="s">
        <v>7</v>
      </c>
      <c r="C12" s="80" t="str">
        <f>IFERROR(INDEX(Parameters!C76:C87,MATCH(MONTH(INDEX(Output!B3:S3,MATCH(1,Output!B11:S11,0))),Parameters!D76:D87,0))&amp;" "&amp;YEAR(INDEX(Output!B3:S3,MATCH(1,Output!B11:S11,0))),"N/A")</f>
        <v>0</v>
      </c>
    </row>
    <row r="13" spans="1:7">
      <c r="B13" s="1" t="s">
        <v>8</v>
      </c>
      <c r="C13" s="67" t="str">
        <f>IFERROR(Output!B69/Output!B63,"")</f>
        <v>0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 t="str">
        <f>MAX(Output!B8:S8)</f>
        <v>0</v>
      </c>
    </row>
    <row r="17" spans="1:7">
      <c r="B17" s="1" t="s">
        <v>11</v>
      </c>
      <c r="C17" s="36" t="str">
        <f>SUM(Output!B4:M4)</f>
        <v>0</v>
      </c>
    </row>
    <row r="18" spans="1:7">
      <c r="B18" s="1" t="s">
        <v>12</v>
      </c>
      <c r="C18" s="36" t="str">
        <f>MIN(Output!B4:M4)</f>
        <v>0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0</v>
      </c>
    </row>
    <row r="20" spans="1:7">
      <c r="B20" s="1" t="s">
        <v>14</v>
      </c>
      <c r="C20" s="36" t="str">
        <f>MAX(Output!B4:M4)</f>
        <v>0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0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>0</v>
      </c>
    </row>
    <row r="25" spans="1:7">
      <c r="B25" s="1" t="s">
        <v>18</v>
      </c>
      <c r="C25" s="36" t="str">
        <f>MAX(Inputs!A56:A60)</f>
        <v>0</v>
      </c>
    </row>
    <row r="26" spans="1:7">
      <c r="B26" s="1" t="s">
        <v>19</v>
      </c>
      <c r="C26" s="137" t="str">
        <f>IF(OR(Inputs!E56="No",Inputs!E57="No",Inputs!E58="No",Inputs!E59="No",Inputs!E60="No"),"No","Yes")</f>
        <v>0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69"/>
  <sheetViews>
    <sheetView tabSelected="0" workbookViewId="0" zoomScale="90" zoomScaleNormal="90" showGridLines="false" showRowColHeaders="1">
      <pane xSplit="17" topLeftCell="R1" activePane="topRight" state="frozen"/>
      <selection pane="topRight" activeCell="T10" sqref="T10"/>
    </sheetView>
  </sheetViews>
  <sheetFormatPr defaultRowHeight="14.4" outlineLevelRow="0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 t="str">
        <f>DATE(YEAR(Inputs!B76),MONTH(Inputs!B76),1)</f>
        <v>0</v>
      </c>
      <c r="C3" s="17" t="str">
        <f>DATE(YEAR(B3),MONTH(B3)+1,DAY(B3))</f>
        <v>0</v>
      </c>
      <c r="D3" s="17" t="str">
        <f>DATE(YEAR(C3),MONTH(C3)+1,DAY(C3))</f>
        <v>0</v>
      </c>
      <c r="E3" s="17" t="str">
        <f>DATE(YEAR(D3),MONTH(D3)+1,DAY(D3))</f>
        <v>0</v>
      </c>
      <c r="F3" s="17" t="str">
        <f>DATE(YEAR(E3),MONTH(E3)+1,DAY(E3))</f>
        <v>0</v>
      </c>
      <c r="G3" s="17" t="str">
        <f>DATE(YEAR(F3),MONTH(F3)+1,DAY(F3))</f>
        <v>0</v>
      </c>
      <c r="H3" s="17" t="str">
        <f>DATE(YEAR(G3),MONTH(G3)+1,DAY(G3))</f>
        <v>0</v>
      </c>
      <c r="I3" s="17" t="str">
        <f>DATE(YEAR(H3),MONTH(H3)+1,DAY(H3))</f>
        <v>0</v>
      </c>
      <c r="J3" s="17" t="str">
        <f>DATE(YEAR(I3),MONTH(I3)+1,DAY(I3))</f>
        <v>0</v>
      </c>
      <c r="K3" s="17" t="str">
        <f>DATE(YEAR(J3),MONTH(J3)+1,DAY(J3))</f>
        <v>0</v>
      </c>
      <c r="L3" s="17" t="str">
        <f>DATE(YEAR(K3),MONTH(K3)+1,DAY(K3))</f>
        <v>0</v>
      </c>
      <c r="M3" s="17" t="str">
        <f>DATE(YEAR(L3),MONTH(L3)+1,DAY(L3))</f>
        <v>0</v>
      </c>
      <c r="N3" s="17" t="str">
        <f>DATE(YEAR(M3),MONTH(M3)+1,DAY(M3))</f>
        <v>0</v>
      </c>
      <c r="O3" s="17" t="str">
        <f>DATE(YEAR(N3),MONTH(N3)+1,DAY(N3))</f>
        <v>0</v>
      </c>
      <c r="P3" s="17" t="str">
        <f>DATE(YEAR(O3),MONTH(O3)+1,DAY(O3))</f>
        <v>0</v>
      </c>
      <c r="Q3" s="17" t="str">
        <f>DATE(YEAR(P3),MONTH(P3)+1,DAY(P3))</f>
        <v>0</v>
      </c>
      <c r="R3" s="17" t="str">
        <f>DATE(YEAR(Q3),MONTH(Q3)+1,DAY(Q3))</f>
        <v>0</v>
      </c>
      <c r="S3" s="17" t="str">
        <f>DATE(YEAR(R3),MONTH(R3)+1,DAY(R3))</f>
        <v>0</v>
      </c>
      <c r="T3" s="17" t="str">
        <f>DATE(YEAR(S3),MONTH(S3)+1,DAY(S3))</f>
        <v>0</v>
      </c>
      <c r="U3" s="17" t="str">
        <f>DATE(YEAR(T3),MONTH(T3)+1,DAY(T3))</f>
        <v>0</v>
      </c>
      <c r="V3" s="17" t="str">
        <f>DATE(YEAR(U3),MONTH(U3)+1,DAY(U3))</f>
        <v>0</v>
      </c>
      <c r="W3" s="17" t="str">
        <f>DATE(YEAR(V3),MONTH(V3)+1,DAY(V3))</f>
        <v>0</v>
      </c>
      <c r="X3" s="17" t="str">
        <f>DATE(YEAR(W3),MONTH(W3)+1,DAY(W3))</f>
        <v>0</v>
      </c>
      <c r="Y3" s="17" t="str">
        <f>DATE(YEAR(X3),MONTH(X3)+1,DAY(X3))</f>
        <v>0</v>
      </c>
      <c r="Z3" s="47" t="s">
        <v>21</v>
      </c>
      <c r="AA3" s="47" t="s">
        <v>22</v>
      </c>
      <c r="AB3" s="47" t="s">
        <v>23</v>
      </c>
      <c r="AC3" s="175" t="str">
        <f>DATE(YEAR(Y3),MONTH(Y3)+1,DAY(Y3))</f>
        <v>0</v>
      </c>
    </row>
    <row r="4" spans="1:30" customHeight="1" ht="15.75">
      <c r="A4" s="50" t="s">
        <v>24</v>
      </c>
      <c r="B4" s="51" t="str">
        <f>B27-B50</f>
        <v>0</v>
      </c>
      <c r="C4" s="51" t="str">
        <f>C27-C50</f>
        <v>0</v>
      </c>
      <c r="D4" s="51" t="str">
        <f>D27-D50</f>
        <v>0</v>
      </c>
      <c r="E4" s="51" t="str">
        <f>E27-E50</f>
        <v>0</v>
      </c>
      <c r="F4" s="51" t="str">
        <f>F27-F50</f>
        <v>0</v>
      </c>
      <c r="G4" s="51" t="str">
        <f>G27-G50</f>
        <v>0</v>
      </c>
      <c r="H4" s="51" t="str">
        <f>H27-H50</f>
        <v>0</v>
      </c>
      <c r="I4" s="51" t="str">
        <f>I27-I50</f>
        <v>0</v>
      </c>
      <c r="J4" s="51" t="str">
        <f>J27-J50</f>
        <v>0</v>
      </c>
      <c r="K4" s="51" t="str">
        <f>K27-K50</f>
        <v>0</v>
      </c>
      <c r="L4" s="51" t="str">
        <f>L27-L50</f>
        <v>0</v>
      </c>
      <c r="M4" s="51" t="str">
        <f>M27-M50</f>
        <v>0</v>
      </c>
      <c r="N4" s="51" t="str">
        <f>N27-N50</f>
        <v>0</v>
      </c>
      <c r="O4" s="51" t="str">
        <f>O27-O50</f>
        <v>0</v>
      </c>
      <c r="P4" s="51" t="str">
        <f>P27-P50</f>
        <v>0</v>
      </c>
      <c r="Q4" s="51" t="str">
        <f>Q27-Q50</f>
        <v>0</v>
      </c>
      <c r="R4" s="51" t="str">
        <f>R27-R50</f>
        <v>0</v>
      </c>
      <c r="S4" s="51" t="str">
        <f>S27-S50</f>
        <v>0</v>
      </c>
      <c r="T4" s="51" t="str">
        <f>T27-T50</f>
        <v>0</v>
      </c>
      <c r="U4" s="51" t="str">
        <f>U27-U50</f>
        <v>0</v>
      </c>
      <c r="V4" s="51" t="str">
        <f>V27-V50</f>
        <v>0</v>
      </c>
      <c r="W4" s="51" t="str">
        <f>W27-W50</f>
        <v>0</v>
      </c>
      <c r="X4" s="51" t="str">
        <f>X27-X50</f>
        <v>0</v>
      </c>
      <c r="Y4" s="51" t="str">
        <f>Y27-Y50</f>
        <v>0</v>
      </c>
      <c r="Z4" s="51" t="str">
        <f>SUM(IF($B$7:$Y$7+$B$8:$Y$8&gt;0,B4:Y4,0))</f>
        <v>0</v>
      </c>
      <c r="AA4" s="51" t="str">
        <f>AA27-AA50</f>
        <v>0</v>
      </c>
      <c r="AB4" s="51" t="str">
        <f>AB27-AB50</f>
        <v>0</v>
      </c>
      <c r="AC4" s="43"/>
      <c r="AD4" s="43"/>
    </row>
    <row r="5" spans="1:30" customHeight="1" ht="15.75">
      <c r="A5" s="43" t="s">
        <v>25</v>
      </c>
      <c r="B5" s="81" t="str">
        <f>IFERROR(INDEX(Inputs!$B$66:$B$71,MATCH(MONTH(Output!B3),Inputs!$D$66:$D$71,0))-INDEX(Inputs!$C$66:$C$71,MATCH(MONTH(Output!B3),Inputs!$D$66:$D$71,0)),"")</f>
        <v>0</v>
      </c>
      <c r="C5" s="81" t="str">
        <f>IFERROR(INDEX(Inputs!$B$66:$B$71,MATCH(MONTH(Output!C3),Inputs!$D$66:$D$71,0))-INDEX(Inputs!$C$66:$C$71,MATCH(MONTH(Output!C3),Inputs!$D$66:$D$71,0)),"")</f>
        <v>0</v>
      </c>
      <c r="D5" s="81" t="str">
        <f>IFERROR(INDEX(Inputs!$B$66:$B$71,MATCH(MONTH(Output!D3),Inputs!$D$66:$D$71,0))-INDEX(Inputs!$C$66:$C$71,MATCH(MONTH(Output!D3),Inputs!$D$66:$D$71,0)),"")</f>
        <v>0</v>
      </c>
      <c r="E5" s="81" t="str">
        <f>IFERROR(INDEX(Inputs!$B$66:$B$71,MATCH(MONTH(Output!E3),Inputs!$D$66:$D$71,0))-INDEX(Inputs!$C$66:$C$71,MATCH(MONTH(Output!E3),Inputs!$D$66:$D$71,0)),"")</f>
        <v>0</v>
      </c>
      <c r="F5" s="81" t="str">
        <f>IFERROR(INDEX(Inputs!$B$66:$B$71,MATCH(MONTH(Output!F3),Inputs!$D$66:$D$71,0))-INDEX(Inputs!$C$66:$C$71,MATCH(MONTH(Output!F3),Inputs!$D$66:$D$71,0)),"")</f>
        <v>0</v>
      </c>
      <c r="G5" s="81" t="str">
        <f>IFERROR(INDEX(Inputs!$B$66:$B$71,MATCH(MONTH(Output!G3),Inputs!$D$66:$D$71,0))-INDEX(Inputs!$C$66:$C$71,MATCH(MONTH(Output!G3),Inputs!$D$66:$D$71,0)),"")</f>
        <v>0</v>
      </c>
      <c r="H5" s="81" t="str">
        <f>IFERROR(INDEX(Inputs!$B$66:$B$71,MATCH(MONTH(Output!H3),Inputs!$D$66:$D$71,0))-INDEX(Inputs!$C$66:$C$71,MATCH(MONTH(Output!H3),Inputs!$D$66:$D$71,0)),"")</f>
        <v>0</v>
      </c>
      <c r="I5" s="81" t="str">
        <f>IFERROR(INDEX(Inputs!$B$66:$B$71,MATCH(MONTH(Output!I3),Inputs!$D$66:$D$71,0))-INDEX(Inputs!$C$66:$C$71,MATCH(MONTH(Output!I3),Inputs!$D$66:$D$71,0)),"")</f>
        <v>0</v>
      </c>
      <c r="J5" s="81" t="str">
        <f>IFERROR(INDEX(Inputs!$B$66:$B$71,MATCH(MONTH(Output!J3),Inputs!$D$66:$D$71,0))-INDEX(Inputs!$C$66:$C$71,MATCH(MONTH(Output!J3),Inputs!$D$66:$D$71,0)),"")</f>
        <v>0</v>
      </c>
      <c r="K5" s="81" t="str">
        <f>IFERROR(INDEX(Inputs!$B$66:$B$71,MATCH(MONTH(Output!K3),Inputs!$D$66:$D$71,0))-INDEX(Inputs!$C$66:$C$71,MATCH(MONTH(Output!K3),Inputs!$D$66:$D$71,0)),"")</f>
        <v>0</v>
      </c>
      <c r="L5" s="81" t="str">
        <f>IFERROR(INDEX(Inputs!$B$66:$B$71,MATCH(MONTH(Output!L3),Inputs!$D$66:$D$71,0))-INDEX(Inputs!$C$66:$C$71,MATCH(MONTH(Output!L3),Inputs!$D$66:$D$71,0)),"")</f>
        <v>0</v>
      </c>
      <c r="M5" s="81" t="str">
        <f>IFERROR(INDEX(Inputs!$B$66:$B$71,MATCH(MONTH(Output!M3),Inputs!$D$66:$D$71,0))-INDEX(Inputs!$C$66:$C$71,MATCH(MONTH(Output!M3),Inputs!$D$66:$D$71,0)),"")</f>
        <v>0</v>
      </c>
      <c r="N5" s="81" t="str">
        <f>IFERROR(INDEX(Inputs!$B$66:$B$71,MATCH(MONTH(Output!N3),Inputs!$D$66:$D$71,0))-INDEX(Inputs!$C$66:$C$71,MATCH(MONTH(Output!N3),Inputs!$D$66:$D$71,0)),"")</f>
        <v>0</v>
      </c>
      <c r="O5" s="81" t="str">
        <f>IFERROR(INDEX(Inputs!$B$66:$B$71,MATCH(MONTH(Output!O3),Inputs!$D$66:$D$71,0))-INDEX(Inputs!$C$66:$C$71,MATCH(MONTH(Output!O3),Inputs!$D$66:$D$71,0)),"")</f>
        <v>0</v>
      </c>
      <c r="P5" s="81" t="str">
        <f>IFERROR(INDEX(Inputs!$B$66:$B$71,MATCH(MONTH(Output!P3),Inputs!$D$66:$D$71,0))-INDEX(Inputs!$C$66:$C$71,MATCH(MONTH(Output!P3),Inputs!$D$66:$D$71,0)),"")</f>
        <v>0</v>
      </c>
      <c r="Q5" s="81" t="str">
        <f>IFERROR(INDEX(Inputs!$B$66:$B$71,MATCH(MONTH(Output!Q3),Inputs!$D$66:$D$71,0))-INDEX(Inputs!$C$66:$C$71,MATCH(MONTH(Output!Q3),Inputs!$D$66:$D$71,0)),"")</f>
        <v>0</v>
      </c>
      <c r="R5" s="81" t="str">
        <f>IFERROR(INDEX(Inputs!$B$66:$B$71,MATCH(MONTH(Output!R3),Inputs!$D$66:$D$71,0))-INDEX(Inputs!$C$66:$C$71,MATCH(MONTH(Output!R3),Inputs!$D$66:$D$71,0)),"")</f>
        <v>0</v>
      </c>
      <c r="S5" s="81" t="str">
        <f>IFERROR(INDEX(Inputs!$B$66:$B$71,MATCH(MONTH(Output!S3),Inputs!$D$66:$D$71,0))-INDEX(Inputs!$C$66:$C$71,MATCH(MONTH(Output!S3),Inputs!$D$66:$D$71,0)),"")</f>
        <v>0</v>
      </c>
      <c r="T5" s="81" t="str">
        <f>IFERROR(INDEX(Inputs!$B$66:$B$71,MATCH(MONTH(Output!T3),Inputs!$D$66:$D$71,0))-INDEX(Inputs!$C$66:$C$71,MATCH(MONTH(Output!T3),Inputs!$D$66:$D$71,0)),"")</f>
        <v>0</v>
      </c>
      <c r="U5" s="81" t="str">
        <f>IFERROR(INDEX(Inputs!$B$66:$B$71,MATCH(MONTH(Output!U3),Inputs!$D$66:$D$71,0))-INDEX(Inputs!$C$66:$C$71,MATCH(MONTH(Output!U3),Inputs!$D$66:$D$71,0)),"")</f>
        <v>0</v>
      </c>
      <c r="V5" s="81" t="str">
        <f>IFERROR(INDEX(Inputs!$B$66:$B$71,MATCH(MONTH(Output!V3),Inputs!$D$66:$D$71,0))-INDEX(Inputs!$C$66:$C$71,MATCH(MONTH(Output!V3),Inputs!$D$66:$D$71,0)),"")</f>
        <v>0</v>
      </c>
      <c r="W5" s="81" t="str">
        <f>IFERROR(INDEX(Inputs!$B$66:$B$71,MATCH(MONTH(Output!W3),Inputs!$D$66:$D$71,0))-INDEX(Inputs!$C$66:$C$71,MATCH(MONTH(Output!W3),Inputs!$D$66:$D$71,0)),"")</f>
        <v>0</v>
      </c>
      <c r="X5" s="81" t="str">
        <f>IFERROR(INDEX(Inputs!$B$66:$B$71,MATCH(MONTH(Output!X3),Inputs!$D$66:$D$71,0))-INDEX(Inputs!$C$66:$C$71,MATCH(MONTH(Output!X3),Inputs!$D$66:$D$71,0)),"")</f>
        <v>0</v>
      </c>
      <c r="Y5" s="81" t="str">
        <f>IFERROR(INDEX(Inputs!$B$66:$B$71,MATCH(MONTH(Output!Y3),Inputs!$D$66:$D$71,0))-INDEX(Inputs!$C$66:$C$71,MATCH(MONTH(Output!Y3),Inputs!$D$66:$D$71,0)),"")</f>
        <v>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6" t="s">
        <v>26</v>
      </c>
      <c r="B7" s="76" t="str">
        <f>IFERROR(IF(AND(MONTH(B3)=MONTH(Calculations!$F$33),YEAR(B3)=YEAR(Calculations!$F$33)),Calculations!$F$35,0),0)</f>
        <v>0</v>
      </c>
      <c r="C7" s="76" t="str">
        <f>IFERROR(IF(AND(MONTH(C3)=MONTH(Calculations!$F$33),YEAR(C3)=YEAR(Calculations!$F$33)),Calculations!$F$35,0),0)</f>
        <v>0</v>
      </c>
      <c r="D7" s="76" t="str">
        <f>IFERROR(IF(AND(MONTH(D3)=MONTH(Calculations!$F$33),YEAR(D3)=YEAR(Calculations!$F$33)),Calculations!$F$35,0),0)</f>
        <v>0</v>
      </c>
      <c r="E7" s="76" t="str">
        <f>IFERROR(IF(AND(MONTH(E3)=MONTH(Calculations!$F$33),YEAR(E3)=YEAR(Calculations!$F$33)),Calculations!$F$35,0),0)</f>
        <v>0</v>
      </c>
      <c r="F7" s="76" t="str">
        <f>IFERROR(IF(AND(MONTH(F3)=MONTH(Calculations!$F$33),YEAR(F3)=YEAR(Calculations!$F$33)),Calculations!$F$35,0),0)</f>
        <v>0</v>
      </c>
      <c r="G7" s="76" t="str">
        <f>IFERROR(IF(AND(MONTH(G3)=MONTH(Calculations!$F$33),YEAR(G3)=YEAR(Calculations!$F$33)),Calculations!$F$35,0),0)</f>
        <v>0</v>
      </c>
      <c r="H7" s="76" t="str">
        <f>IFERROR(IF(AND(MONTH(H3)=MONTH(Calculations!$F$33),YEAR(H3)=YEAR(Calculations!$F$33)),Calculations!$F$35,0),0)</f>
        <v>0</v>
      </c>
      <c r="I7" s="76" t="str">
        <f>IFERROR(IF(AND(MONTH(I3)=MONTH(Calculations!$F$33),YEAR(I3)=YEAR(Calculations!$F$33)),Calculations!$F$35,0),0)</f>
        <v>0</v>
      </c>
      <c r="J7" s="76" t="str">
        <f>IFERROR(IF(AND(MONTH(J3)=MONTH(Calculations!$F$33),YEAR(J3)=YEAR(Calculations!$F$33)),Calculations!$F$35,0),0)</f>
        <v>0</v>
      </c>
      <c r="K7" s="76" t="str">
        <f>IFERROR(IF(AND(MONTH(K3)=MONTH(Calculations!$F$33),YEAR(K3)=YEAR(Calculations!$F$33)),Calculations!$F$35,0),0)</f>
        <v>0</v>
      </c>
      <c r="L7" s="76" t="str">
        <f>IFERROR(IF(AND(MONTH(L3)=MONTH(Calculations!$F$33),YEAR(L3)=YEAR(Calculations!$F$33)),Calculations!$F$35,0),0)</f>
        <v>0</v>
      </c>
      <c r="M7" s="76" t="str">
        <f>IFERROR(IF(AND(MONTH(M3)=MONTH(Calculations!$F$33),YEAR(M3)=YEAR(Calculations!$F$33)),Calculations!$F$35,0),0)</f>
        <v>0</v>
      </c>
      <c r="N7" s="76" t="str">
        <f>IFERROR(IF(AND(MONTH(N3)=MONTH(Calculations!$F$33),YEAR(N3)=YEAR(Calculations!$F$33)),Calculations!$F$35,0),0)</f>
        <v>0</v>
      </c>
      <c r="O7" s="76" t="str">
        <f>IFERROR(IF(AND(MONTH(O3)=MONTH(Calculations!$F$33),YEAR(O3)=YEAR(Calculations!$F$33)),Calculations!$F$35,0),0)</f>
        <v>0</v>
      </c>
      <c r="P7" s="76" t="str">
        <f>IFERROR(IF(AND(MONTH(P3)=MONTH(Calculations!$F$33),YEAR(P3)=YEAR(Calculations!$F$33)),Calculations!$F$35,0),0)</f>
        <v>0</v>
      </c>
      <c r="Q7" s="76" t="str">
        <f>IFERROR(IF(AND(MONTH(Q3)=MONTH(Calculations!$F$33),YEAR(Q3)=YEAR(Calculations!$F$33)),Calculations!$F$35,0),0)</f>
        <v>0</v>
      </c>
      <c r="R7" s="76" t="str">
        <f>IFERROR(IF(AND(MONTH(R3)=MONTH(Calculations!$F$33),YEAR(R3)=YEAR(Calculations!$F$33)),Calculations!$F$35,0),0)</f>
        <v>0</v>
      </c>
      <c r="S7" s="76" t="str">
        <f>IFERROR(IF(AND(MONTH(S3)=MONTH(Calculations!$F$33),YEAR(S3)=YEAR(Calculations!$F$33)),Calculations!$F$35,0),0)</f>
        <v>0</v>
      </c>
      <c r="T7" s="76" t="str">
        <f>IFERROR(IF(AND(MONTH(T3)=MONTH(Calculations!$F$33),YEAR(T3)=YEAR(Calculations!$F$33)),Calculations!$F$35,0),0)</f>
        <v>0</v>
      </c>
      <c r="U7" s="76" t="str">
        <f>IFERROR(IF(AND(MONTH(U3)=MONTH(Calculations!$F$33),YEAR(U3)=YEAR(Calculations!$F$33)),Calculations!$F$35,0),0)</f>
        <v>0</v>
      </c>
      <c r="V7" s="76" t="str">
        <f>IFERROR(IF(AND(MONTH(V3)=MONTH(Calculations!$F$33),YEAR(V3)=YEAR(Calculations!$F$33)),Calculations!$F$35,0),0)</f>
        <v>0</v>
      </c>
      <c r="W7" s="76" t="str">
        <f>IFERROR(IF(AND(MONTH(W3)=MONTH(Calculations!$F$33),YEAR(W3)=YEAR(Calculations!$F$33)),Calculations!$F$35,0),0)</f>
        <v>0</v>
      </c>
      <c r="X7" s="76" t="str">
        <f>IFERROR(IF(AND(MONTH(X3)=MONTH(Calculations!$F$33),YEAR(X3)=YEAR(Calculations!$F$33)),Calculations!$F$35,0),0)</f>
        <v>0</v>
      </c>
      <c r="Y7" s="76" t="str">
        <f>IFERROR(IF(AND(MONTH(Y3)=MONTH(Calculations!$F$33),YEAR(Y3)=YEAR(Calculations!$F$33)),Calculations!$F$35,0),0)</f>
        <v>0</v>
      </c>
      <c r="Z7" s="76" t="str">
        <f>SUM(IF($B$7:$Y$7+$B$8:$Y$8&gt;0,B7:Y7,0))</f>
        <v>0</v>
      </c>
      <c r="AA7" s="76" t="str">
        <f>SUM(B7:M7)</f>
        <v>0</v>
      </c>
      <c r="AB7" s="76" t="str">
        <f>SUM(B7:Y7)</f>
        <v>0</v>
      </c>
      <c r="AC7" s="43"/>
      <c r="AD7" s="43"/>
    </row>
    <row r="8" spans="1:30" customHeight="1" ht="15.75" s="43" customFormat="1">
      <c r="A8" s="18" t="s">
        <v>27</v>
      </c>
      <c r="B8" s="37" t="str">
        <f>SUM(IF(Calculations!$B$33:$B$84&lt;Output!C3,IF(Calculations!$B$33:$B$84&gt;=B3,Calculations!$C$33:$C$84,0)))</f>
        <v>0</v>
      </c>
      <c r="C8" s="37" t="str">
        <f>SUM(IF(Calculations!$B$33:$B$84&lt;Output!D3,IF(Calculations!$B$33:$B$84&gt;=C3,Calculations!$C$33:$C$84,0)))</f>
        <v>0</v>
      </c>
      <c r="D8" s="37" t="str">
        <f>SUM(IF(Calculations!$B$33:$B$84&lt;Output!E3,IF(Calculations!$B$33:$B$84&gt;=D3,Calculations!$C$33:$C$84,0)))</f>
        <v>0</v>
      </c>
      <c r="E8" s="37" t="str">
        <f>SUM(IF(Calculations!$B$33:$B$84&lt;Output!F3,IF(Calculations!$B$33:$B$84&gt;=E3,Calculations!$C$33:$C$84,0)))</f>
        <v>0</v>
      </c>
      <c r="F8" s="37" t="str">
        <f>SUM(IF(Calculations!$B$33:$B$84&lt;Output!G3,IF(Calculations!$B$33:$B$84&gt;=F3,Calculations!$C$33:$C$84,0)))</f>
        <v>0</v>
      </c>
      <c r="G8" s="37" t="str">
        <f>SUM(IF(Calculations!$B$33:$B$84&lt;Output!H3,IF(Calculations!$B$33:$B$84&gt;=G3,Calculations!$C$33:$C$84,0)))</f>
        <v>0</v>
      </c>
      <c r="H8" s="37" t="str">
        <f>SUM(IF(Calculations!$B$33:$B$84&lt;Output!I3,IF(Calculations!$B$33:$B$84&gt;=H3,Calculations!$C$33:$C$84,0)))</f>
        <v>0</v>
      </c>
      <c r="I8" s="37" t="str">
        <f>SUM(IF(Calculations!$B$33:$B$84&lt;Output!J3,IF(Calculations!$B$33:$B$84&gt;=I3,Calculations!$C$33:$C$84,0)))</f>
        <v>0</v>
      </c>
      <c r="J8" s="37" t="str">
        <f>SUM(IF(Calculations!$B$33:$B$84&lt;Output!K3,IF(Calculations!$B$33:$B$84&gt;=J3,Calculations!$C$33:$C$84,0)))</f>
        <v>0</v>
      </c>
      <c r="K8" s="37" t="str">
        <f>SUM(IF(Calculations!$B$33:$B$84&lt;Output!L3,IF(Calculations!$B$33:$B$84&gt;=K3,Calculations!$C$33:$C$84,0)))</f>
        <v>0</v>
      </c>
      <c r="L8" s="37" t="str">
        <f>SUM(IF(Calculations!$B$33:$B$84&lt;Output!M3,IF(Calculations!$B$33:$B$84&gt;=L3,Calculations!$C$33:$C$84,0)))</f>
        <v>0</v>
      </c>
      <c r="M8" s="37" t="str">
        <f>SUM(IF(Calculations!$B$33:$B$84&lt;Output!N3,IF(Calculations!$B$33:$B$84&gt;=M3,Calculations!$C$33:$C$84,0)))</f>
        <v>0</v>
      </c>
      <c r="N8" s="37" t="str">
        <f>SUM(IF(Calculations!$B$33:$B$84&lt;Output!O3,IF(Calculations!$B$33:$B$84&gt;=N3,Calculations!$C$33:$C$84,0)))</f>
        <v>0</v>
      </c>
      <c r="O8" s="37" t="str">
        <f>SUM(IF(Calculations!$B$33:$B$84&lt;Output!P3,IF(Calculations!$B$33:$B$84&gt;=O3,Calculations!$C$33:$C$84,0)))</f>
        <v>0</v>
      </c>
      <c r="P8" s="37" t="str">
        <f>SUM(IF(Calculations!$B$33:$B$84&lt;Output!Q3,IF(Calculations!$B$33:$B$84&gt;=P3,Calculations!$C$33:$C$84,0)))</f>
        <v>0</v>
      </c>
      <c r="Q8" s="37" t="str">
        <f>SUM(IF(Calculations!$B$33:$B$84&lt;Output!R3,IF(Calculations!$B$33:$B$84&gt;=Q3,Calculations!$C$33:$C$84,0)))</f>
        <v>0</v>
      </c>
      <c r="R8" s="37" t="str">
        <f>SUM(IF(Calculations!$B$33:$B$84&lt;Output!S3,IF(Calculations!$B$33:$B$84&gt;=R3,Calculations!$C$33:$C$84,0)))</f>
        <v>0</v>
      </c>
      <c r="S8" s="37" t="str">
        <f>SUM(IF(Calculations!$B$33:$B$84&lt;Output!T3,IF(Calculations!$B$33:$B$84&gt;=S3,Calculations!$C$33:$C$84,0)))</f>
        <v>0</v>
      </c>
      <c r="T8" s="37" t="str">
        <f>SUM(IF(Calculations!$B$33:$B$84&lt;Output!U3,IF(Calculations!$B$33:$B$84&gt;=T3,Calculations!$C$33:$C$84,0)))</f>
        <v>0</v>
      </c>
      <c r="U8" s="37" t="str">
        <f>SUM(IF(Calculations!$B$33:$B$84&lt;Output!V3,IF(Calculations!$B$33:$B$84&gt;=U3,Calculations!$C$33:$C$84,0)))</f>
        <v>0</v>
      </c>
      <c r="V8" s="37" t="str">
        <f>SUM(IF(Calculations!$B$33:$B$84&lt;Output!W3,IF(Calculations!$B$33:$B$84&gt;=V3,Calculations!$C$33:$C$84,0)))</f>
        <v>0</v>
      </c>
      <c r="W8" s="37" t="str">
        <f>SUM(IF(Calculations!$B$33:$B$84&lt;Output!X3,IF(Calculations!$B$33:$B$84&gt;=W3,Calculations!$C$33:$C$84,0)))</f>
        <v>0</v>
      </c>
      <c r="X8" s="37" t="str">
        <f>SUM(IF(Calculations!$B$33:$B$84&lt;Output!Y3,IF(Calculations!$B$33:$B$84&gt;=X3,Calculations!$C$33:$C$84,0)))</f>
        <v>0</v>
      </c>
      <c r="Y8" s="37" t="str">
        <f>SUM(IF(Calculations!$B$33:$B$84&lt;Output!AC3,IF(Calculations!$B$33:$B$84&gt;=Y3,Calculations!$C$33:$C$84,0)))</f>
        <v>0</v>
      </c>
      <c r="Z8" s="37" t="str">
        <f>SUM(IF($B$7:$Y$7+$B$8:$Y$8&gt;0,B8:Y8,0))</f>
        <v>0</v>
      </c>
      <c r="AA8" s="37" t="str">
        <f>SUM(B8:M8)</f>
        <v>0</v>
      </c>
      <c r="AB8" s="37" t="str">
        <f>SUM(B8:Y8)</f>
        <v>0</v>
      </c>
    </row>
    <row r="9" spans="1:30" customHeight="1" ht="15.75">
      <c r="A9" s="43" t="s">
        <v>28</v>
      </c>
      <c r="B9" s="81" t="str">
        <f>B4+B7-B8</f>
        <v>0</v>
      </c>
      <c r="C9" s="81" t="str">
        <f>C4+C7-C8</f>
        <v>0</v>
      </c>
      <c r="D9" s="81" t="str">
        <f>D4+D7-D8</f>
        <v>0</v>
      </c>
      <c r="E9" s="81" t="str">
        <f>E4+E7-E8</f>
        <v>0</v>
      </c>
      <c r="F9" s="81" t="str">
        <f>F4+F7-F8</f>
        <v>0</v>
      </c>
      <c r="G9" s="81" t="str">
        <f>G4+G7-G8</f>
        <v>0</v>
      </c>
      <c r="H9" s="81" t="str">
        <f>H4+H7-H8</f>
        <v>0</v>
      </c>
      <c r="I9" s="81" t="str">
        <f>I4+I7-I8</f>
        <v>0</v>
      </c>
      <c r="J9" s="81" t="str">
        <f>J4+J7-J8</f>
        <v>0</v>
      </c>
      <c r="K9" s="81" t="str">
        <f>K4+K7-K8</f>
        <v>0</v>
      </c>
      <c r="L9" s="81" t="str">
        <f>L4+L7-L8</f>
        <v>0</v>
      </c>
      <c r="M9" s="81" t="str">
        <f>M4+M7-M8</f>
        <v>0</v>
      </c>
      <c r="N9" s="81" t="str">
        <f>N4+N7-N8</f>
        <v>0</v>
      </c>
      <c r="O9" s="81" t="str">
        <f>O4+O7-O8</f>
        <v>0</v>
      </c>
      <c r="P9" s="81" t="str">
        <f>P4+P7-P8</f>
        <v>0</v>
      </c>
      <c r="Q9" s="81" t="str">
        <f>Q4+Q7-Q8</f>
        <v>0</v>
      </c>
      <c r="R9" s="81" t="str">
        <f>R4+R7-R8</f>
        <v>0</v>
      </c>
      <c r="S9" s="81" t="str">
        <f>S4+S7-S8</f>
        <v>0</v>
      </c>
      <c r="T9" s="81" t="str">
        <f>T4+T7-T8</f>
        <v>0</v>
      </c>
      <c r="U9" s="81" t="str">
        <f>U4+U7-U8</f>
        <v>0</v>
      </c>
      <c r="V9" s="81" t="str">
        <f>V4+V7-V8</f>
        <v>0</v>
      </c>
      <c r="W9" s="81" t="str">
        <f>W4+W7-W8</f>
        <v>0</v>
      </c>
      <c r="X9" s="81" t="str">
        <f>X4+X7-X8</f>
        <v>0</v>
      </c>
      <c r="Y9" s="81" t="str">
        <f>Y4+Y7-Y8</f>
        <v>0</v>
      </c>
      <c r="Z9" s="87" t="str">
        <f>SUM(IF($B$7:$Y$7+$B$8:$Y$8&gt;0,B9:Y9,0))</f>
        <v>0</v>
      </c>
      <c r="AA9" s="81" t="str">
        <f>SUM(B9:M9)</f>
        <v>0</v>
      </c>
      <c r="AB9" s="46" t="str">
        <f>SUM(B9:Y9)</f>
        <v>0</v>
      </c>
      <c r="AC9" s="43"/>
      <c r="AD9" s="43"/>
    </row>
    <row r="10" spans="1:30" s="43" customFormat="1">
      <c r="A10" s="82" t="s">
        <v>29</v>
      </c>
      <c r="B10" s="83" t="str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>0</v>
      </c>
      <c r="D10" s="83" t="str">
        <f>IF(SUM(D7:D8)&gt;0,IF(SUM($B$8:D8)/(SUM($B$4:D4)+SUM($B$7:D7))&lt;0,999.99,SUM($B$8:D8)/(SUM($B$4:D4)+SUM($B$7:D7))),"")</f>
        <v>0</v>
      </c>
      <c r="E10" s="83" t="str">
        <f>IF(SUM(E7:E8)&gt;0,IF(SUM($B$8:E8)/(SUM($B$4:E4)+SUM($B$7:E7))&lt;0,999.99,SUM($B$8:E8)/(SUM($B$4:E4)+SUM($B$7:E7))),"")</f>
        <v>0</v>
      </c>
      <c r="F10" s="83" t="str">
        <f>IF(SUM(F7:F8)&gt;0,IF(SUM($B$8:F8)/(SUM($B$4:F4)+SUM($B$7:F7))&lt;0,999.99,SUM($B$8:F8)/(SUM($B$4:F4)+SUM($B$7:F7))),"")</f>
        <v>0</v>
      </c>
      <c r="G10" s="83" t="str">
        <f>IF(SUM(G7:G8)&gt;0,IF(SUM($B$8:G8)/(SUM($B$4:G4)+SUM($B$7:G7))&lt;0,999.99,SUM($B$8:G8)/(SUM($B$4:G4)+SUM($B$7:G7))),"")</f>
        <v>0</v>
      </c>
      <c r="H10" s="83" t="str">
        <f>IF(SUM(H7:H8)&gt;0,IF(SUM($B$8:H8)/(SUM($B$4:H4)+SUM($B$7:H7))&lt;0,999.99,SUM($B$8:H8)/(SUM($B$4:H4)+SUM($B$7:H7))),"")</f>
        <v>0</v>
      </c>
      <c r="I10" s="83" t="str">
        <f>IF(SUM(I7:I8)&gt;0,IF(SUM($B$8:I8)/(SUM($B$4:I4)+SUM($B$7:I7))&lt;0,999.99,SUM($B$8:I8)/(SUM($B$4:I4)+SUM($B$7:I7))),"")</f>
        <v>0</v>
      </c>
      <c r="J10" s="83" t="str">
        <f>IF(SUM(J7:J8)&gt;0,IF(SUM($B$8:J8)/(SUM($B$4:J4)+SUM($B$7:J7))&lt;0,999.99,SUM($B$8:J8)/(SUM($B$4:J4)+SUM($B$7:J7))),"")</f>
        <v>0</v>
      </c>
      <c r="K10" s="83" t="str">
        <f>IF(SUM(K7:K8)&gt;0,IF(SUM($B$8:K8)/(SUM($B$4:K4)+SUM($B$7:K7))&lt;0,999.99,SUM($B$8:K8)/(SUM($B$4:K4)+SUM($B$7:K7))),"")</f>
        <v>0</v>
      </c>
      <c r="L10" s="83" t="str">
        <f>IF(SUM(L7:L8)&gt;0,IF(SUM($B$8:L8)/(SUM($B$4:L4)+SUM($B$7:L7))&lt;0,999.99,SUM($B$8:L8)/(SUM($B$4:L4)+SUM($B$7:L7))),"")</f>
        <v>0</v>
      </c>
      <c r="M10" s="83" t="str">
        <f>IF(SUM(M7:M8)&gt;0,IF(SUM($B$8:M8)/(SUM($B$4:M4)+SUM($B$7:M7))&lt;0,999.99,SUM($B$8:M8)/(SUM($B$4:M4)+SUM($B$7:M7))),"")</f>
        <v>0</v>
      </c>
      <c r="N10" s="83" t="str">
        <f>IF(SUM(N7:N8)&gt;0,IF(SUM($B$8:N8)/(SUM($B$4:N4)+SUM($B$7:N7))&lt;0,999.99,SUM($B$8:N8)/(SUM($B$4:N4)+SUM($B$7:N7))),"")</f>
        <v>0</v>
      </c>
      <c r="O10" s="83" t="str">
        <f>IF(SUM(O7:O8)&gt;0,IF(SUM($B$8:O8)/(SUM($B$4:O4)+SUM($B$7:O7))&lt;0,999.99,SUM($B$8:O8)/(SUM($B$4:O4)+SUM($B$7:O7))),"")</f>
        <v>0</v>
      </c>
      <c r="P10" s="83" t="str">
        <f>IF(SUM(P7:P8)&gt;0,IF(SUM($B$8:P8)/(SUM($B$4:P4)+SUM($B$7:P7))&lt;0,999.99,SUM($B$8:P8)/(SUM($B$4:P4)+SUM($B$7:P7))),"")</f>
        <v>0</v>
      </c>
      <c r="Q10" s="83" t="str">
        <f>IF(SUM(Q7:Q8)&gt;0,IF(SUM($B$8:Q8)/(SUM($B$4:Q4)+SUM($B$7:Q7))&lt;0,999.99,SUM($B$8:Q8)/(SUM($B$4:Q4)+SUM($B$7:Q7))),"")</f>
        <v>0</v>
      </c>
      <c r="R10" s="83" t="str">
        <f>IF(SUM(R7:R8)&gt;0,IF(SUM($B$8:R8)/(SUM($B$4:R4)+SUM($B$7:R7))&lt;0,999.99,SUM($B$8:R8)/(SUM($B$4:R4)+SUM($B$7:R7))),"")</f>
        <v>0</v>
      </c>
      <c r="S10" s="83" t="str">
        <f>IF(SUM(S7:S8)&gt;0,IF(SUM($B$8:S8)/(SUM($B$4:S4)+SUM($B$7:S7))&lt;0,999.99,SUM($B$8:S8)/(SUM($B$4:S4)+SUM($B$7:S7))),"")</f>
        <v>0</v>
      </c>
      <c r="T10" s="83" t="str">
        <f>IF(SUM(T7:T8)&gt;0,IF(SUM($B$8:T8)/(SUM($B$4:T4)+SUM($B$7:T7))&lt;0,999.99,SUM($B$8:T8)/(SUM($B$4:T4)+SUM($B$7:T7))),"")</f>
        <v>0</v>
      </c>
      <c r="U10" s="83" t="str">
        <f>IF(SUM(U7:U8)&gt;0,IF(SUM($B$8:U8)/(SUM($B$4:U4)+SUM($B$7:U7))&lt;0,999.99,SUM($B$8:U8)/(SUM($B$4:U4)+SUM($B$7:U7))),"")</f>
        <v>0</v>
      </c>
      <c r="V10" s="83" t="str">
        <f>IF(SUM(V7:V8)&gt;0,IF(SUM($B$8:V8)/(SUM($B$4:V4)+SUM($B$7:V7))&lt;0,999.99,SUM($B$8:V8)/(SUM($B$4:V4)+SUM($B$7:V7))),"")</f>
        <v>0</v>
      </c>
      <c r="W10" s="83" t="str">
        <f>IF(SUM(W7:W8)&gt;0,IF(SUM($B$8:W8)/(SUM($B$4:W4)+SUM($B$7:W7))&lt;0,999.99,SUM($B$8:W8)/(SUM($B$4:W4)+SUM($B$7:W7))),"")</f>
        <v>0</v>
      </c>
      <c r="X10" s="83" t="str">
        <f>IF(SUM(X7:X8)&gt;0,IF(SUM($B$8:X8)/(SUM($B$4:X4)+SUM($B$7:X7))&lt;0,999.99,SUM($B$8:X8)/(SUM($B$4:X4)+SUM($B$7:X7))),"")</f>
        <v>0</v>
      </c>
      <c r="Y10" s="83" t="str">
        <f>IF(SUM(Y7:Y8)&gt;0,IF(SUM($B$8:Y8)/(SUM($B$4:Y4)+SUM($B$7:Y7))&lt;0,999.99,SUM($B$8:Y8)/(SUM($B$4:Y4)+SUM($B$7:Y7))),"")</f>
        <v>0</v>
      </c>
      <c r="Z10" s="83"/>
      <c r="AA10" s="83"/>
      <c r="AB10" s="84"/>
    </row>
    <row r="11" spans="1:30">
      <c r="B11" s="49" t="str">
        <f>IF(MAX(B10:$S$10)&lt;=0.6,1,0)</f>
        <v>0</v>
      </c>
      <c r="C11" s="49" t="str">
        <f>IF(MAX(C10:$S$10)&lt;=0.6,1,0)</f>
        <v>0</v>
      </c>
      <c r="D11" s="49" t="str">
        <f>IF(MAX(D10:$S$10)&lt;=0.6,1,0)</f>
        <v>0</v>
      </c>
      <c r="E11" s="49" t="str">
        <f>IF(MAX(E10:$S$10)&lt;=0.6,1,0)</f>
        <v>0</v>
      </c>
      <c r="F11" s="49" t="str">
        <f>IF(MAX(F10:$S$10)&lt;=0.6,1,0)</f>
        <v>0</v>
      </c>
      <c r="G11" s="49" t="str">
        <f>IF(MAX(G10:$S$10)&lt;=0.6,1,0)</f>
        <v>0</v>
      </c>
      <c r="H11" s="49" t="str">
        <f>IF(MAX(H10:$S$10)&lt;=0.6,1,0)</f>
        <v>0</v>
      </c>
      <c r="I11" s="49" t="str">
        <f>IF(MAX(I10:$S$10)&lt;=0.6,1,0)</f>
        <v>0</v>
      </c>
      <c r="J11" s="49" t="str">
        <f>IF(MAX(J10:$S$10)&lt;=0.6,1,0)</f>
        <v>0</v>
      </c>
      <c r="K11" s="49" t="str">
        <f>IF(MAX(K10:$S$10)&lt;=0.6,1,0)</f>
        <v>0</v>
      </c>
      <c r="L11" s="49" t="str">
        <f>IF(MAX(L10:$S$10)&lt;=0.6,1,0)</f>
        <v>0</v>
      </c>
      <c r="M11" s="49" t="str">
        <f>IF(MAX(M10:$S$10)&lt;=0.6,1,0)</f>
        <v>0</v>
      </c>
      <c r="N11" s="49" t="str">
        <f>IF(MAX(N10:$S$10)&lt;=0.6,1,0)</f>
        <v>0</v>
      </c>
      <c r="O11" s="49" t="str">
        <f>IF(MAX(O10:$S$10)&lt;=0.6,1,0)</f>
        <v>0</v>
      </c>
      <c r="P11" s="49" t="str">
        <f>IF(MAX(P10:$S$10)&lt;=0.6,1,0)</f>
        <v>0</v>
      </c>
      <c r="Q11" s="49" t="str">
        <f>IF(MAX(Q10:$S$10)&lt;=0.6,1,0)</f>
        <v>0</v>
      </c>
      <c r="R11" s="49" t="str">
        <f>IF(MAX(R10:$S$10)&lt;=0.6,1,0)</f>
        <v>0</v>
      </c>
      <c r="S11" s="49" t="str">
        <f>IF(MAX(S10:$S$10)&lt;=0.6,1,0)</f>
        <v>0</v>
      </c>
      <c r="T11" s="49" t="str">
        <f>IF(MAX($S10:T$10)&lt;=0.6,1,0)</f>
        <v>0</v>
      </c>
      <c r="U11" s="49" t="str">
        <f>IF(MAX($S10:U$10)&lt;=0.6,1,0)</f>
        <v>0</v>
      </c>
      <c r="V11" s="49" t="str">
        <f>IF(MAX($S10:V$10)&lt;=0.6,1,0)</f>
        <v>0</v>
      </c>
      <c r="W11" s="49" t="str">
        <f>IF(MAX($S10:W$10)&lt;=0.6,1,0)</f>
        <v>0</v>
      </c>
      <c r="X11" s="49" t="str">
        <f>IF(MAX($S10:X$10)&lt;=0.6,1,0)</f>
        <v>0</v>
      </c>
      <c r="Y11" s="49" t="str">
        <f>IF(MAX($S10:Y$10)&lt;=0.6,1,0)</f>
        <v>0</v>
      </c>
      <c r="Z11" s="49"/>
      <c r="AA11" s="49"/>
      <c r="AC11" s="43"/>
      <c r="AD11" s="43"/>
    </row>
    <row r="12" spans="1:30">
      <c r="A12" s="3" t="s">
        <v>30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53"/>
      <c r="AD12" s="54"/>
    </row>
    <row r="13" spans="1:30">
      <c r="H13" s="42"/>
      <c r="AC13" s="43"/>
      <c r="AD13" s="43"/>
    </row>
    <row r="14" spans="1:30">
      <c r="A14" s="5" t="s">
        <v>31</v>
      </c>
      <c r="B14" s="17" t="str">
        <f>B3</f>
        <v>0</v>
      </c>
      <c r="C14" s="17" t="str">
        <f>C3</f>
        <v>0</v>
      </c>
      <c r="D14" s="17" t="str">
        <f>D3</f>
        <v>0</v>
      </c>
      <c r="E14" s="17" t="str">
        <f>E3</f>
        <v>0</v>
      </c>
      <c r="F14" s="17" t="str">
        <f>F3</f>
        <v>0</v>
      </c>
      <c r="G14" s="17" t="str">
        <f>G3</f>
        <v>0</v>
      </c>
      <c r="H14" s="17" t="str">
        <f>H3</f>
        <v>0</v>
      </c>
      <c r="I14" s="17" t="str">
        <f>I3</f>
        <v>0</v>
      </c>
      <c r="J14" s="17" t="str">
        <f>J3</f>
        <v>0</v>
      </c>
      <c r="K14" s="17" t="str">
        <f>K3</f>
        <v>0</v>
      </c>
      <c r="L14" s="17" t="str">
        <f>L3</f>
        <v>0</v>
      </c>
      <c r="M14" s="17" t="str">
        <f>M3</f>
        <v>0</v>
      </c>
      <c r="N14" s="17" t="str">
        <f>N3</f>
        <v>0</v>
      </c>
      <c r="O14" s="17" t="str">
        <f>O3</f>
        <v>0</v>
      </c>
      <c r="P14" s="17" t="str">
        <f>P3</f>
        <v>0</v>
      </c>
      <c r="Q14" s="17" t="str">
        <f>Q3</f>
        <v>0</v>
      </c>
      <c r="R14" s="17" t="str">
        <f>R3</f>
        <v>0</v>
      </c>
      <c r="S14" s="17" t="str">
        <f>S3</f>
        <v>0</v>
      </c>
      <c r="T14" s="17" t="str">
        <f>T3</f>
        <v>0</v>
      </c>
      <c r="U14" s="17" t="str">
        <f>U3</f>
        <v>0</v>
      </c>
      <c r="V14" s="17" t="str">
        <f>V3</f>
        <v>0</v>
      </c>
      <c r="W14" s="17" t="str">
        <f>W3</f>
        <v>0</v>
      </c>
      <c r="X14" s="17" t="str">
        <f>X3</f>
        <v>0</v>
      </c>
      <c r="Y14" s="17" t="str">
        <f>Y3</f>
        <v>0</v>
      </c>
      <c r="Z14" s="47" t="str">
        <f>Z3</f>
        <v>0</v>
      </c>
      <c r="AA14" s="47" t="s">
        <v>22</v>
      </c>
      <c r="AB14" s="47" t="str">
        <f>AB3</f>
        <v>0</v>
      </c>
      <c r="AC14" s="52"/>
      <c r="AD14" s="52"/>
    </row>
    <row r="15" spans="1:30">
      <c r="A15" t="str">
        <f>IF(Calculations!A4&lt;&gt;Parameters!$A$18,IF(Calculations!A4=0,"",Calculations!A4),Inputs!B7)</f>
        <v>0</v>
      </c>
      <c r="B15" s="36" t="str">
        <f>N15</f>
        <v>0</v>
      </c>
      <c r="C15" s="36" t="str">
        <f>O15</f>
        <v>0</v>
      </c>
      <c r="D15" s="36" t="str">
        <f>P15</f>
        <v>0</v>
      </c>
      <c r="E15" s="36" t="str">
        <f>Q15</f>
        <v>0</v>
      </c>
      <c r="F15" s="36" t="str">
        <f>R15</f>
        <v>0</v>
      </c>
      <c r="G15" s="36" t="str">
        <f>S15</f>
        <v>0</v>
      </c>
      <c r="H15" s="36" t="str">
        <f>T15</f>
        <v>0</v>
      </c>
      <c r="I15" s="36" t="str">
        <f>U15</f>
        <v>0</v>
      </c>
      <c r="J15" s="36" t="str">
        <f>V15</f>
        <v>0</v>
      </c>
      <c r="K15" s="36" t="str">
        <f>W15</f>
        <v>0</v>
      </c>
      <c r="L15" s="36" t="str">
        <f>X15</f>
        <v>0</v>
      </c>
      <c r="M15" s="36" t="str">
        <f>Y15</f>
        <v>0</v>
      </c>
      <c r="N15" s="36" t="str">
        <f>IF(Calculations!$D4&lt;&gt;"",IF(AND(N$14&gt;=Calculations!$D4,MIN(MOD(MONTH(Output!N$14)-MONTH(Calculations!$D4),12),MOD(MONTH(Output!N$14)-MONTH(Calculations!$G4),12))&lt;=Inputs!$N7),Calculations!$Q4/Calculations!$S4/(Inputs!$N7+1)*(1+MIN(MOD(MONTH(Output!N$14)-MONTH(Calculations!$D4),12),MOD(MONTH(Output!N$14)-MONTH(Calculations!$G4),12))*Calculations!$P4),0),Calculations!$Q4*Calculations!AO4*(1-Calculations!$R4)+IF(MONTH(N$14)=1,Calculations!$Q4*Calculations!$R4,0))</f>
        <v>0</v>
      </c>
      <c r="O15" s="36" t="str">
        <f>IF(Calculations!$D4&lt;&gt;"",IF(AND(O$14&gt;=Calculations!$D4,MIN(MOD(MONTH(Output!O$14)-MONTH(Calculations!$D4),12),MOD(MONTH(Output!O$14)-MONTH(Calculations!$G4),12))&lt;=Inputs!$N7),Calculations!$Q4/Calculations!$S4/(Inputs!$N7+1)*(1+MIN(MOD(MONTH(Output!O$14)-MONTH(Calculations!$D4),12),MOD(MONTH(Output!O$14)-MONTH(Calculations!$G4),12))*Calculations!$P4),0),Calculations!$Q4*Calculations!AP4*(1-Calculations!$R4)+IF(MONTH(O$14)=1,Calculations!$Q4*Calculations!$R4,0))</f>
        <v>0</v>
      </c>
      <c r="P15" s="36" t="str">
        <f>IF(Calculations!$D4&lt;&gt;"",IF(AND(P$14&gt;=Calculations!$D4,MIN(MOD(MONTH(Output!P$14)-MONTH(Calculations!$D4),12),MOD(MONTH(Output!P$14)-MONTH(Calculations!$G4),12))&lt;=Inputs!$N7),Calculations!$Q4/Calculations!$S4/(Inputs!$N7+1)*(1+MIN(MOD(MONTH(Output!P$14)-MONTH(Calculations!$D4),12),MOD(MONTH(Output!P$14)-MONTH(Calculations!$G4),12))*Calculations!$P4),0),Calculations!$Q4*Calculations!AQ4*(1-Calculations!$R4)+IF(MONTH(P$14)=1,Calculations!$Q4*Calculations!$R4,0))</f>
        <v>0</v>
      </c>
      <c r="Q15" s="36" t="str">
        <f>IF(Calculations!$D4&lt;&gt;"",IF(AND(Q$14&gt;=Calculations!$D4,MIN(MOD(MONTH(Output!Q$14)-MONTH(Calculations!$D4),12),MOD(MONTH(Output!Q$14)-MONTH(Calculations!$G4),12))&lt;=Inputs!$N7),Calculations!$Q4/Calculations!$S4/(Inputs!$N7+1)*(1+MIN(MOD(MONTH(Output!Q$14)-MONTH(Calculations!$D4),12),MOD(MONTH(Output!Q$14)-MONTH(Calculations!$G4),12))*Calculations!$P4),0),Calculations!$Q4*Calculations!AR4*(1-Calculations!$R4)+IF(MONTH(Q$14)=1,Calculations!$Q4*Calculations!$R4,0))</f>
        <v>0</v>
      </c>
      <c r="R15" s="36" t="str">
        <f>IF(Calculations!$D4&lt;&gt;"",IF(AND(R$14&gt;=Calculations!$D4,MIN(MOD(MONTH(Output!R$14)-MONTH(Calculations!$D4),12),MOD(MONTH(Output!R$14)-MONTH(Calculations!$G4),12))&lt;=Inputs!$N7),Calculations!$Q4/Calculations!$S4/(Inputs!$N7+1)*(1+MIN(MOD(MONTH(Output!R$14)-MONTH(Calculations!$D4),12),MOD(MONTH(Output!R$14)-MONTH(Calculations!$G4),12))*Calculations!$P4),0),Calculations!$Q4*Calculations!AS4*(1-Calculations!$R4)+IF(MONTH(R$14)=1,Calculations!$Q4*Calculations!$R4,0))</f>
        <v>0</v>
      </c>
      <c r="S15" s="36" t="str">
        <f>IF(Calculations!$D4&lt;&gt;"",IF(AND(S$14&gt;=Calculations!$D4,MIN(MOD(MONTH(Output!S$14)-MONTH(Calculations!$D4),12),MOD(MONTH(Output!S$14)-MONTH(Calculations!$G4),12))&lt;=Inputs!$N7),Calculations!$Q4/Calculations!$S4/(Inputs!$N7+1)*(1+MIN(MOD(MONTH(Output!S$14)-MONTH(Calculations!$D4),12),MOD(MONTH(Output!S$14)-MONTH(Calculations!$G4),12))*Calculations!$P4),0),Calculations!$Q4*Calculations!AT4*(1-Calculations!$R4)+IF(MONTH(S$14)=1,Calculations!$Q4*Calculations!$R4,0))</f>
        <v>0</v>
      </c>
      <c r="T15" s="36" t="str">
        <f>IF(Calculations!$D4&lt;&gt;"",IF(AND(T$14&gt;=Calculations!$D4,MIN(MOD(MONTH(Output!T$14)-MONTH(Calculations!$D4),12),MOD(MONTH(Output!T$14)-MONTH(Calculations!$G4),12))&lt;=Inputs!$N7),Calculations!$Q4/Calculations!$S4/(Inputs!$N7+1)*(1+MIN(MOD(MONTH(Output!T$14)-MONTH(Calculations!$D4),12),MOD(MONTH(Output!T$14)-MONTH(Calculations!$G4),12))*Calculations!$P4),0),Calculations!$Q4*Calculations!AU4*(1-Calculations!$R4)+IF(MONTH(T$14)=1,Calculations!$Q4*Calculations!$R4,0))</f>
        <v>0</v>
      </c>
      <c r="U15" s="36" t="str">
        <f>IF(Calculations!$D4&lt;&gt;"",IF(AND(U$14&gt;=Calculations!$D4,MIN(MOD(MONTH(Output!U$14)-MONTH(Calculations!$D4),12),MOD(MONTH(Output!U$14)-MONTH(Calculations!$G4),12))&lt;=Inputs!$N7),Calculations!$Q4/Calculations!$S4/(Inputs!$N7+1)*(1+MIN(MOD(MONTH(Output!U$14)-MONTH(Calculations!$D4),12),MOD(MONTH(Output!U$14)-MONTH(Calculations!$G4),12))*Calculations!$P4),0),Calculations!$Q4*Calculations!AV4*(1-Calculations!$R4)+IF(MONTH(U$14)=1,Calculations!$Q4*Calculations!$R4,0))</f>
        <v>0</v>
      </c>
      <c r="V15" s="36" t="str">
        <f>IF(Calculations!$D4&lt;&gt;"",IF(AND(V$14&gt;=Calculations!$D4,MIN(MOD(MONTH(Output!V$14)-MONTH(Calculations!$D4),12),MOD(MONTH(Output!V$14)-MONTH(Calculations!$G4),12))&lt;=Inputs!$N7),Calculations!$Q4/Calculations!$S4/(Inputs!$N7+1)*(1+MIN(MOD(MONTH(Output!V$14)-MONTH(Calculations!$D4),12),MOD(MONTH(Output!V$14)-MONTH(Calculations!$G4),12))*Calculations!$P4),0),Calculations!$Q4*Calculations!AW4*(1-Calculations!$R4)+IF(MONTH(V$14)=1,Calculations!$Q4*Calculations!$R4,0))</f>
        <v>0</v>
      </c>
      <c r="W15" s="36" t="str">
        <f>IF(Calculations!$D4&lt;&gt;"",IF(AND(W$14&gt;=Calculations!$D4,MIN(MOD(MONTH(Output!W$14)-MONTH(Calculations!$D4),12),MOD(MONTH(Output!W$14)-MONTH(Calculations!$G4),12))&lt;=Inputs!$N7),Calculations!$Q4/Calculations!$S4/(Inputs!$N7+1)*(1+MIN(MOD(MONTH(Output!W$14)-MONTH(Calculations!$D4),12),MOD(MONTH(Output!W$14)-MONTH(Calculations!$G4),12))*Calculations!$P4),0),Calculations!$Q4*Calculations!AX4*(1-Calculations!$R4)+IF(MONTH(W$14)=1,Calculations!$Q4*Calculations!$R4,0))</f>
        <v>0</v>
      </c>
      <c r="X15" s="36" t="str">
        <f>IF(Calculations!$D4&lt;&gt;"",IF(AND(X$14&gt;=Calculations!$D4,MIN(MOD(MONTH(Output!X$14)-MONTH(Calculations!$D4),12),MOD(MONTH(Output!X$14)-MONTH(Calculations!$G4),12))&lt;=Inputs!$N7),Calculations!$Q4/Calculations!$S4/(Inputs!$N7+1)*(1+MIN(MOD(MONTH(Output!X$14)-MONTH(Calculations!$D4),12),MOD(MONTH(Output!X$14)-MONTH(Calculations!$G4),12))*Calculations!$P4),0),Calculations!$Q4*Calculations!AY4*(1-Calculations!$R4)+IF(MONTH(X$14)=1,Calculations!$Q4*Calculations!$R4,0))</f>
        <v>0</v>
      </c>
      <c r="Y15" s="36" t="str">
        <f>IF(Calculations!$D4&lt;&gt;"",IF(AND(Y$14&gt;=Calculations!$D4,MIN(MOD(MONTH(Output!Y$14)-MONTH(Calculations!$D4),12),MOD(MONTH(Output!Y$14)-MONTH(Calculations!$G4),12))&lt;=Inputs!$N7),Calculations!$Q4/Calculations!$S4/(Inputs!$N7+1)*(1+MIN(MOD(MONTH(Output!Y$14)-MONTH(Calculations!$D4),12),MOD(MONTH(Output!Y$14)-MONTH(Calculations!$G4),12))*Calculations!$P4),0),Calculations!$Q4*Calculations!AZ4*(1-Calculations!$R4)+IF(MONTH(Y$14)=1,Calculations!$Q4*Calculations!$R4,0))</f>
        <v>0</v>
      </c>
      <c r="Z15" s="36" t="str">
        <f>SUM(IF($B$7:$Y$7+$B$8:$Y$8&gt;0,B15:Y15,0))</f>
        <v>0</v>
      </c>
      <c r="AA15" s="36" t="str">
        <f>SUM(B15:M15)</f>
        <v>0</v>
      </c>
      <c r="AB15" s="36" t="str">
        <f>SUM(B15:Y15)</f>
        <v>0</v>
      </c>
      <c r="AC15" s="43"/>
      <c r="AD15" s="43"/>
    </row>
    <row r="16" spans="1:30">
      <c r="A16" t="str">
        <f>IF(Calculations!A5&lt;&gt;Parameters!$A$18,IF(Calculations!A5=0,"",Calculations!A5),Inputs!B8)</f>
        <v>0</v>
      </c>
      <c r="B16" s="36" t="str">
        <f>N16</f>
        <v>0</v>
      </c>
      <c r="C16" s="36" t="str">
        <f>O16</f>
        <v>0</v>
      </c>
      <c r="D16" s="36" t="str">
        <f>P16</f>
        <v>0</v>
      </c>
      <c r="E16" s="36" t="str">
        <f>Q16</f>
        <v>0</v>
      </c>
      <c r="F16" s="36" t="str">
        <f>R16</f>
        <v>0</v>
      </c>
      <c r="G16" s="36" t="str">
        <f>S16</f>
        <v>0</v>
      </c>
      <c r="H16" s="36" t="str">
        <f>T16</f>
        <v>0</v>
      </c>
      <c r="I16" s="36" t="str">
        <f>U16</f>
        <v>0</v>
      </c>
      <c r="J16" s="36" t="str">
        <f>V16</f>
        <v>0</v>
      </c>
      <c r="K16" s="36" t="str">
        <f>W16</f>
        <v>0</v>
      </c>
      <c r="L16" s="36" t="str">
        <f>X16</f>
        <v>0</v>
      </c>
      <c r="M16" s="36" t="str">
        <f>Y16</f>
        <v>0</v>
      </c>
      <c r="N16" s="36" t="str">
        <f>IF(Calculations!$D5&lt;&gt;"",IF(AND(N$14&gt;=Calculations!$D5,MIN(MOD(MONTH(Output!N$14)-MONTH(Calculations!$D5),12),MOD(MONTH(Output!N$14)-MONTH(Calculations!$G5),12))&lt;=Inputs!$N8),Calculations!$Q5/Calculations!$S5/(Inputs!$N8+1)*(1+MIN(MOD(MONTH(Output!N$14)-MONTH(Calculations!$D5),12),MOD(MONTH(Output!N$14)-MONTH(Calculations!$G5),12))*Calculations!$P5),0),Calculations!$Q5*Calculations!AO5*(1-Calculations!$R5)+IF(MONTH(N$14)=1,Calculations!$Q5*Calculations!$R5,0))</f>
        <v>0</v>
      </c>
      <c r="O16" s="36" t="str">
        <f>IF(Calculations!$D5&lt;&gt;"",IF(AND(O$14&gt;=Calculations!$D5,MIN(MOD(MONTH(Output!O$14)-MONTH(Calculations!$D5),12),MOD(MONTH(Output!O$14)-MONTH(Calculations!$G5),12))&lt;=Inputs!$N8),Calculations!$Q5/Calculations!$S5/(Inputs!$N8+1)*(1+MIN(MOD(MONTH(Output!O$14)-MONTH(Calculations!$D5),12),MOD(MONTH(Output!O$14)-MONTH(Calculations!$G5),12))*Calculations!$P5),0),Calculations!$Q5*Calculations!AP5*(1-Calculations!$R5)+IF(MONTH(O$14)=1,Calculations!$Q5*Calculations!$R5,0))</f>
        <v>0</v>
      </c>
      <c r="P16" s="36" t="str">
        <f>IF(Calculations!$D5&lt;&gt;"",IF(AND(P$14&gt;=Calculations!$D5,MIN(MOD(MONTH(Output!P$14)-MONTH(Calculations!$D5),12),MOD(MONTH(Output!P$14)-MONTH(Calculations!$G5),12))&lt;=Inputs!$N8),Calculations!$Q5/Calculations!$S5/(Inputs!$N8+1)*(1+MIN(MOD(MONTH(Output!P$14)-MONTH(Calculations!$D5),12),MOD(MONTH(Output!P$14)-MONTH(Calculations!$G5),12))*Calculations!$P5),0),Calculations!$Q5*Calculations!AQ5*(1-Calculations!$R5)+IF(MONTH(P$14)=1,Calculations!$Q5*Calculations!$R5,0))</f>
        <v>0</v>
      </c>
      <c r="Q16" s="36" t="str">
        <f>IF(Calculations!$D5&lt;&gt;"",IF(AND(Q$14&gt;=Calculations!$D5,MIN(MOD(MONTH(Output!Q$14)-MONTH(Calculations!$D5),12),MOD(MONTH(Output!Q$14)-MONTH(Calculations!$G5),12))&lt;=Inputs!$N8),Calculations!$Q5/Calculations!$S5/(Inputs!$N8+1)*(1+MIN(MOD(MONTH(Output!Q$14)-MONTH(Calculations!$D5),12),MOD(MONTH(Output!Q$14)-MONTH(Calculations!$G5),12))*Calculations!$P5),0),Calculations!$Q5*Calculations!AR5*(1-Calculations!$R5)+IF(MONTH(Q$14)=1,Calculations!$Q5*Calculations!$R5,0))</f>
        <v>0</v>
      </c>
      <c r="R16" s="36" t="str">
        <f>IF(Calculations!$D5&lt;&gt;"",IF(AND(R$14&gt;=Calculations!$D5,MIN(MOD(MONTH(Output!R$14)-MONTH(Calculations!$D5),12),MOD(MONTH(Output!R$14)-MONTH(Calculations!$G5),12))&lt;=Inputs!$N8),Calculations!$Q5/Calculations!$S5/(Inputs!$N8+1)*(1+MIN(MOD(MONTH(Output!R$14)-MONTH(Calculations!$D5),12),MOD(MONTH(Output!R$14)-MONTH(Calculations!$G5),12))*Calculations!$P5),0),Calculations!$Q5*Calculations!AS5*(1-Calculations!$R5)+IF(MONTH(R$14)=1,Calculations!$Q5*Calculations!$R5,0))</f>
        <v>0</v>
      </c>
      <c r="S16" s="36" t="str">
        <f>IF(Calculations!$D5&lt;&gt;"",IF(AND(S$14&gt;=Calculations!$D5,MIN(MOD(MONTH(Output!S$14)-MONTH(Calculations!$D5),12),MOD(MONTH(Output!S$14)-MONTH(Calculations!$G5),12))&lt;=Inputs!$N8),Calculations!$Q5/Calculations!$S5/(Inputs!$N8+1)*(1+MIN(MOD(MONTH(Output!S$14)-MONTH(Calculations!$D5),12),MOD(MONTH(Output!S$14)-MONTH(Calculations!$G5),12))*Calculations!$P5),0),Calculations!$Q5*Calculations!AT5*(1-Calculations!$R5)+IF(MONTH(S$14)=1,Calculations!$Q5*Calculations!$R5,0))</f>
        <v>0</v>
      </c>
      <c r="T16" s="36" t="str">
        <f>IF(Calculations!$D5&lt;&gt;"",IF(AND(T$14&gt;=Calculations!$D5,MIN(MOD(MONTH(Output!T$14)-MONTH(Calculations!$D5),12),MOD(MONTH(Output!T$14)-MONTH(Calculations!$G5),12))&lt;=Inputs!$N8),Calculations!$Q5/Calculations!$S5/(Inputs!$N8+1)*(1+MIN(MOD(MONTH(Output!T$14)-MONTH(Calculations!$D5),12),MOD(MONTH(Output!T$14)-MONTH(Calculations!$G5),12))*Calculations!$P5),0),Calculations!$Q5*Calculations!AU5*(1-Calculations!$R5)+IF(MONTH(T$14)=1,Calculations!$Q5*Calculations!$R5,0))</f>
        <v>0</v>
      </c>
      <c r="U16" s="36" t="str">
        <f>IF(Calculations!$D5&lt;&gt;"",IF(AND(U$14&gt;=Calculations!$D5,MIN(MOD(MONTH(Output!U$14)-MONTH(Calculations!$D5),12),MOD(MONTH(Output!U$14)-MONTH(Calculations!$G5),12))&lt;=Inputs!$N8),Calculations!$Q5/Calculations!$S5/(Inputs!$N8+1)*(1+MIN(MOD(MONTH(Output!U$14)-MONTH(Calculations!$D5),12),MOD(MONTH(Output!U$14)-MONTH(Calculations!$G5),12))*Calculations!$P5),0),Calculations!$Q5*Calculations!AV5*(1-Calculations!$R5)+IF(MONTH(U$14)=1,Calculations!$Q5*Calculations!$R5,0))</f>
        <v>0</v>
      </c>
      <c r="V16" s="36" t="str">
        <f>IF(Calculations!$D5&lt;&gt;"",IF(AND(V$14&gt;=Calculations!$D5,MIN(MOD(MONTH(Output!V$14)-MONTH(Calculations!$D5),12),MOD(MONTH(Output!V$14)-MONTH(Calculations!$G5),12))&lt;=Inputs!$N8),Calculations!$Q5/Calculations!$S5/(Inputs!$N8+1)*(1+MIN(MOD(MONTH(Output!V$14)-MONTH(Calculations!$D5),12),MOD(MONTH(Output!V$14)-MONTH(Calculations!$G5),12))*Calculations!$P5),0),Calculations!$Q5*Calculations!AW5*(1-Calculations!$R5)+IF(MONTH(V$14)=1,Calculations!$Q5*Calculations!$R5,0))</f>
        <v>0</v>
      </c>
      <c r="W16" s="36" t="str">
        <f>IF(Calculations!$D5&lt;&gt;"",IF(AND(W$14&gt;=Calculations!$D5,MIN(MOD(MONTH(Output!W$14)-MONTH(Calculations!$D5),12),MOD(MONTH(Output!W$14)-MONTH(Calculations!$G5),12))&lt;=Inputs!$N8),Calculations!$Q5/Calculations!$S5/(Inputs!$N8+1)*(1+MIN(MOD(MONTH(Output!W$14)-MONTH(Calculations!$D5),12),MOD(MONTH(Output!W$14)-MONTH(Calculations!$G5),12))*Calculations!$P5),0),Calculations!$Q5*Calculations!AX5*(1-Calculations!$R5)+IF(MONTH(W$14)=1,Calculations!$Q5*Calculations!$R5,0))</f>
        <v>0</v>
      </c>
      <c r="X16" s="36" t="str">
        <f>IF(Calculations!$D5&lt;&gt;"",IF(AND(X$14&gt;=Calculations!$D5,MIN(MOD(MONTH(Output!X$14)-MONTH(Calculations!$D5),12),MOD(MONTH(Output!X$14)-MONTH(Calculations!$G5),12))&lt;=Inputs!$N8),Calculations!$Q5/Calculations!$S5/(Inputs!$N8+1)*(1+MIN(MOD(MONTH(Output!X$14)-MONTH(Calculations!$D5),12),MOD(MONTH(Output!X$14)-MONTH(Calculations!$G5),12))*Calculations!$P5),0),Calculations!$Q5*Calculations!AY5*(1-Calculations!$R5)+IF(MONTH(X$14)=1,Calculations!$Q5*Calculations!$R5,0))</f>
        <v>0</v>
      </c>
      <c r="Y16" s="36" t="str">
        <f>IF(Calculations!$D5&lt;&gt;"",IF(AND(Y$14&gt;=Calculations!$D5,MIN(MOD(MONTH(Output!Y$14)-MONTH(Calculations!$D5),12),MOD(MONTH(Output!Y$14)-MONTH(Calculations!$G5),12))&lt;=Inputs!$N8),Calculations!$Q5/Calculations!$S5/(Inputs!$N8+1)*(1+MIN(MOD(MONTH(Output!Y$14)-MONTH(Calculations!$D5),12),MOD(MONTH(Output!Y$14)-MONTH(Calculations!$G5),12))*Calculations!$P5),0),Calculations!$Q5*Calculations!AZ5*(1-Calculations!$R5)+IF(MONTH(Y$14)=1,Calculations!$Q5*Calculations!$R5,0))</f>
        <v>0</v>
      </c>
      <c r="Z16" s="36" t="str">
        <f>SUM(IF($B$7:$Y$7+$B$8:$Y$8&gt;0,B16:Y16,0))</f>
        <v>0</v>
      </c>
      <c r="AA16" s="36" t="str">
        <f>SUM(B16:M16)</f>
        <v>0</v>
      </c>
      <c r="AB16" s="36" t="str">
        <f>SUM(B16:Y16)</f>
        <v>0</v>
      </c>
      <c r="AC16" s="43"/>
      <c r="AD16" s="43"/>
    </row>
    <row r="17" spans="1:30">
      <c r="A17" t="str">
        <f>IF(Calculations!A6&lt;&gt;Parameters!$A$18,IF(Calculations!A6=0,"",Calculations!A6),Inputs!B9)</f>
        <v>0</v>
      </c>
      <c r="B17" s="36" t="str">
        <f>N17</f>
        <v>0</v>
      </c>
      <c r="C17" s="36" t="str">
        <f>O17</f>
        <v>0</v>
      </c>
      <c r="D17" s="36" t="str">
        <f>P17</f>
        <v>0</v>
      </c>
      <c r="E17" s="36" t="str">
        <f>Q17</f>
        <v>0</v>
      </c>
      <c r="F17" s="36" t="str">
        <f>R17</f>
        <v>0</v>
      </c>
      <c r="G17" s="36" t="str">
        <f>S17</f>
        <v>0</v>
      </c>
      <c r="H17" s="36" t="str">
        <f>T17</f>
        <v>0</v>
      </c>
      <c r="I17" s="36" t="str">
        <f>U17</f>
        <v>0</v>
      </c>
      <c r="J17" s="36" t="str">
        <f>V17</f>
        <v>0</v>
      </c>
      <c r="K17" s="36" t="str">
        <f>W17</f>
        <v>0</v>
      </c>
      <c r="L17" s="36" t="str">
        <f>X17</f>
        <v>0</v>
      </c>
      <c r="M17" s="36" t="str">
        <f>Y17</f>
        <v>0</v>
      </c>
      <c r="N17" s="36" t="str">
        <f>IF(Calculations!$D6&lt;&gt;"",IF(AND(N$14&gt;=Calculations!$D6,MIN(MOD(MONTH(Output!N$14)-MONTH(Calculations!$D6),12),MOD(MONTH(Output!N$14)-MONTH(Calculations!$G6),12))&lt;=Inputs!$N9),Calculations!$Q6/Calculations!$S6/(Inputs!$N9+1)*(1+MIN(MOD(MONTH(Output!N$14)-MONTH(Calculations!$D6),12),MOD(MONTH(Output!N$14)-MONTH(Calculations!$G6),12))*Calculations!$P6),0),Calculations!$Q6*Calculations!AO6*(1-Calculations!$R6)+IF(MONTH(N$14)=1,Calculations!$Q6*Calculations!$R6,0))</f>
        <v>0</v>
      </c>
      <c r="O17" s="36" t="str">
        <f>IF(Calculations!$D6&lt;&gt;"",IF(AND(O$14&gt;=Calculations!$D6,MIN(MOD(MONTH(Output!O$14)-MONTH(Calculations!$D6),12),MOD(MONTH(Output!O$14)-MONTH(Calculations!$G6),12))&lt;=Inputs!$N9),Calculations!$Q6/Calculations!$S6/(Inputs!$N9+1)*(1+MIN(MOD(MONTH(Output!O$14)-MONTH(Calculations!$D6),12),MOD(MONTH(Output!O$14)-MONTH(Calculations!$G6),12))*Calculations!$P6),0),Calculations!$Q6*Calculations!AP6*(1-Calculations!$R6)+IF(MONTH(O$14)=1,Calculations!$Q6*Calculations!$R6,0))</f>
        <v>0</v>
      </c>
      <c r="P17" s="36" t="str">
        <f>IF(Calculations!$D6&lt;&gt;"",IF(AND(P$14&gt;=Calculations!$D6,MIN(MOD(MONTH(Output!P$14)-MONTH(Calculations!$D6),12),MOD(MONTH(Output!P$14)-MONTH(Calculations!$G6),12))&lt;=Inputs!$N9),Calculations!$Q6/Calculations!$S6/(Inputs!$N9+1)*(1+MIN(MOD(MONTH(Output!P$14)-MONTH(Calculations!$D6),12),MOD(MONTH(Output!P$14)-MONTH(Calculations!$G6),12))*Calculations!$P6),0),Calculations!$Q6*Calculations!AQ6*(1-Calculations!$R6)+IF(MONTH(P$14)=1,Calculations!$Q6*Calculations!$R6,0))</f>
        <v>0</v>
      </c>
      <c r="Q17" s="36" t="str">
        <f>IF(Calculations!$D6&lt;&gt;"",IF(AND(Q$14&gt;=Calculations!$D6,MIN(MOD(MONTH(Output!Q$14)-MONTH(Calculations!$D6),12),MOD(MONTH(Output!Q$14)-MONTH(Calculations!$G6),12))&lt;=Inputs!$N9),Calculations!$Q6/Calculations!$S6/(Inputs!$N9+1)*(1+MIN(MOD(MONTH(Output!Q$14)-MONTH(Calculations!$D6),12),MOD(MONTH(Output!Q$14)-MONTH(Calculations!$G6),12))*Calculations!$P6),0),Calculations!$Q6*Calculations!AR6*(1-Calculations!$R6)+IF(MONTH(Q$14)=1,Calculations!$Q6*Calculations!$R6,0))</f>
        <v>0</v>
      </c>
      <c r="R17" s="36" t="str">
        <f>IF(Calculations!$D6&lt;&gt;"",IF(AND(R$14&gt;=Calculations!$D6,MIN(MOD(MONTH(Output!R$14)-MONTH(Calculations!$D6),12),MOD(MONTH(Output!R$14)-MONTH(Calculations!$G6),12))&lt;=Inputs!$N9),Calculations!$Q6/Calculations!$S6/(Inputs!$N9+1)*(1+MIN(MOD(MONTH(Output!R$14)-MONTH(Calculations!$D6),12),MOD(MONTH(Output!R$14)-MONTH(Calculations!$G6),12))*Calculations!$P6),0),Calculations!$Q6*Calculations!AS6*(1-Calculations!$R6)+IF(MONTH(R$14)=1,Calculations!$Q6*Calculations!$R6,0))</f>
        <v>0</v>
      </c>
      <c r="S17" s="36" t="str">
        <f>IF(Calculations!$D6&lt;&gt;"",IF(AND(S$14&gt;=Calculations!$D6,MIN(MOD(MONTH(Output!S$14)-MONTH(Calculations!$D6),12),MOD(MONTH(Output!S$14)-MONTH(Calculations!$G6),12))&lt;=Inputs!$N9),Calculations!$Q6/Calculations!$S6/(Inputs!$N9+1)*(1+MIN(MOD(MONTH(Output!S$14)-MONTH(Calculations!$D6),12),MOD(MONTH(Output!S$14)-MONTH(Calculations!$G6),12))*Calculations!$P6),0),Calculations!$Q6*Calculations!AT6*(1-Calculations!$R6)+IF(MONTH(S$14)=1,Calculations!$Q6*Calculations!$R6,0))</f>
        <v>0</v>
      </c>
      <c r="T17" s="36" t="str">
        <f>IF(Calculations!$D6&lt;&gt;"",IF(AND(T$14&gt;=Calculations!$D6,MIN(MOD(MONTH(Output!T$14)-MONTH(Calculations!$D6),12),MOD(MONTH(Output!T$14)-MONTH(Calculations!$G6),12))&lt;=Inputs!$N9),Calculations!$Q6/Calculations!$S6/(Inputs!$N9+1)*(1+MIN(MOD(MONTH(Output!T$14)-MONTH(Calculations!$D6),12),MOD(MONTH(Output!T$14)-MONTH(Calculations!$G6),12))*Calculations!$P6),0),Calculations!$Q6*Calculations!AU6*(1-Calculations!$R6)+IF(MONTH(T$14)=1,Calculations!$Q6*Calculations!$R6,0))</f>
        <v>0</v>
      </c>
      <c r="U17" s="36" t="str">
        <f>IF(Calculations!$D6&lt;&gt;"",IF(AND(U$14&gt;=Calculations!$D6,MIN(MOD(MONTH(Output!U$14)-MONTH(Calculations!$D6),12),MOD(MONTH(Output!U$14)-MONTH(Calculations!$G6),12))&lt;=Inputs!$N9),Calculations!$Q6/Calculations!$S6/(Inputs!$N9+1)*(1+MIN(MOD(MONTH(Output!U$14)-MONTH(Calculations!$D6),12),MOD(MONTH(Output!U$14)-MONTH(Calculations!$G6),12))*Calculations!$P6),0),Calculations!$Q6*Calculations!AV6*(1-Calculations!$R6)+IF(MONTH(U$14)=1,Calculations!$Q6*Calculations!$R6,0))</f>
        <v>0</v>
      </c>
      <c r="V17" s="36" t="str">
        <f>IF(Calculations!$D6&lt;&gt;"",IF(AND(V$14&gt;=Calculations!$D6,MIN(MOD(MONTH(Output!V$14)-MONTH(Calculations!$D6),12),MOD(MONTH(Output!V$14)-MONTH(Calculations!$G6),12))&lt;=Inputs!$N9),Calculations!$Q6/Calculations!$S6/(Inputs!$N9+1)*(1+MIN(MOD(MONTH(Output!V$14)-MONTH(Calculations!$D6),12),MOD(MONTH(Output!V$14)-MONTH(Calculations!$G6),12))*Calculations!$P6),0),Calculations!$Q6*Calculations!AW6*(1-Calculations!$R6)+IF(MONTH(V$14)=1,Calculations!$Q6*Calculations!$R6,0))</f>
        <v>0</v>
      </c>
      <c r="W17" s="36" t="str">
        <f>IF(Calculations!$D6&lt;&gt;"",IF(AND(W$14&gt;=Calculations!$D6,MIN(MOD(MONTH(Output!W$14)-MONTH(Calculations!$D6),12),MOD(MONTH(Output!W$14)-MONTH(Calculations!$G6),12))&lt;=Inputs!$N9),Calculations!$Q6/Calculations!$S6/(Inputs!$N9+1)*(1+MIN(MOD(MONTH(Output!W$14)-MONTH(Calculations!$D6),12),MOD(MONTH(Output!W$14)-MONTH(Calculations!$G6),12))*Calculations!$P6),0),Calculations!$Q6*Calculations!AX6*(1-Calculations!$R6)+IF(MONTH(W$14)=1,Calculations!$Q6*Calculations!$R6,0))</f>
        <v>0</v>
      </c>
      <c r="X17" s="36" t="str">
        <f>IF(Calculations!$D6&lt;&gt;"",IF(AND(X$14&gt;=Calculations!$D6,MIN(MOD(MONTH(Output!X$14)-MONTH(Calculations!$D6),12),MOD(MONTH(Output!X$14)-MONTH(Calculations!$G6),12))&lt;=Inputs!$N9),Calculations!$Q6/Calculations!$S6/(Inputs!$N9+1)*(1+MIN(MOD(MONTH(Output!X$14)-MONTH(Calculations!$D6),12),MOD(MONTH(Output!X$14)-MONTH(Calculations!$G6),12))*Calculations!$P6),0),Calculations!$Q6*Calculations!AY6*(1-Calculations!$R6)+IF(MONTH(X$14)=1,Calculations!$Q6*Calculations!$R6,0))</f>
        <v>0</v>
      </c>
      <c r="Y17" s="36" t="str">
        <f>IF(Calculations!$D6&lt;&gt;"",IF(AND(Y$14&gt;=Calculations!$D6,MIN(MOD(MONTH(Output!Y$14)-MONTH(Calculations!$D6),12),MOD(MONTH(Output!Y$14)-MONTH(Calculations!$G6),12))&lt;=Inputs!$N9),Calculations!$Q6/Calculations!$S6/(Inputs!$N9+1)*(1+MIN(MOD(MONTH(Output!Y$14)-MONTH(Calculations!$D6),12),MOD(MONTH(Output!Y$14)-MONTH(Calculations!$G6),12))*Calculations!$P6),0),Calculations!$Q6*Calculations!AZ6*(1-Calculations!$R6)+IF(MONTH(Y$14)=1,Calculations!$Q6*Calculations!$R6,0))</f>
        <v>0</v>
      </c>
      <c r="Z17" s="36" t="str">
        <f>SUM(IF($B$7:$Y$7+$B$8:$Y$8&gt;0,B17:Y17,0))</f>
        <v>0</v>
      </c>
      <c r="AA17" s="36" t="str">
        <f>SUM(B17:M17)</f>
        <v>0</v>
      </c>
      <c r="AB17" s="36" t="str">
        <f>SUM(B17:Y17)</f>
        <v>0</v>
      </c>
    </row>
    <row r="18" spans="1:30">
      <c r="A18" t="str">
        <f>IF(Calculations!A7&lt;&gt;Parameters!$A$18,IF(Calculations!A7=0,"",Calculations!A7),Inputs!B10)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7&lt;&gt;"",IF(AND(N$14&gt;=Calculations!$D7,MIN(MOD(MONTH(Output!N$14)-MONTH(Calculations!$D7),12),MOD(MONTH(Output!N$14)-MONTH(Calculations!$G7),12))&lt;=Inputs!$N10),Calculations!$Q7/Calculations!$S7/(Inputs!$N10+1)*(1+MIN(MOD(MONTH(Output!N$14)-MONTH(Calculations!$D7),12),MOD(MONTH(Output!N$14)-MONTH(Calculations!$G7),12))*Calculations!$P7),0),Calculations!$Q7*Calculations!AO7*(1-Calculations!$R7)+IF(MONTH(N$14)=1,Calculations!$Q7*Calculations!$R7,0))</f>
        <v>0</v>
      </c>
      <c r="O18" s="36" t="str">
        <f>IF(Calculations!$D7&lt;&gt;"",IF(AND(O$14&gt;=Calculations!$D7,MIN(MOD(MONTH(Output!O$14)-MONTH(Calculations!$D7),12),MOD(MONTH(Output!O$14)-MONTH(Calculations!$G7),12))&lt;=Inputs!$N10),Calculations!$Q7/Calculations!$S7/(Inputs!$N10+1)*(1+MIN(MOD(MONTH(Output!O$14)-MONTH(Calculations!$D7),12),MOD(MONTH(Output!O$14)-MONTH(Calculations!$G7),12))*Calculations!$P7),0),Calculations!$Q7*Calculations!AP7*(1-Calculations!$R7)+IF(MONTH(O$14)=1,Calculations!$Q7*Calculations!$R7,0))</f>
        <v>0</v>
      </c>
      <c r="P18" s="36" t="str">
        <f>IF(Calculations!$D7&lt;&gt;"",IF(AND(P$14&gt;=Calculations!$D7,MIN(MOD(MONTH(Output!P$14)-MONTH(Calculations!$D7),12),MOD(MONTH(Output!P$14)-MONTH(Calculations!$G7),12))&lt;=Inputs!$N10),Calculations!$Q7/Calculations!$S7/(Inputs!$N10+1)*(1+MIN(MOD(MONTH(Output!P$14)-MONTH(Calculations!$D7),12),MOD(MONTH(Output!P$14)-MONTH(Calculations!$G7),12))*Calculations!$P7),0),Calculations!$Q7*Calculations!AQ7*(1-Calculations!$R7)+IF(MONTH(P$14)=1,Calculations!$Q7*Calculations!$R7,0))</f>
        <v>0</v>
      </c>
      <c r="Q18" s="36" t="str">
        <f>IF(Calculations!$D7&lt;&gt;"",IF(AND(Q$14&gt;=Calculations!$D7,MIN(MOD(MONTH(Output!Q$14)-MONTH(Calculations!$D7),12),MOD(MONTH(Output!Q$14)-MONTH(Calculations!$G7),12))&lt;=Inputs!$N10),Calculations!$Q7/Calculations!$S7/(Inputs!$N10+1)*(1+MIN(MOD(MONTH(Output!Q$14)-MONTH(Calculations!$D7),12),MOD(MONTH(Output!Q$14)-MONTH(Calculations!$G7),12))*Calculations!$P7),0),Calculations!$Q7*Calculations!AR7*(1-Calculations!$R7)+IF(MONTH(Q$14)=1,Calculations!$Q7*Calculations!$R7,0))</f>
        <v>0</v>
      </c>
      <c r="R18" s="36" t="str">
        <f>IF(Calculations!$D7&lt;&gt;"",IF(AND(R$14&gt;=Calculations!$D7,MIN(MOD(MONTH(Output!R$14)-MONTH(Calculations!$D7),12),MOD(MONTH(Output!R$14)-MONTH(Calculations!$G7),12))&lt;=Inputs!$N10),Calculations!$Q7/Calculations!$S7/(Inputs!$N10+1)*(1+MIN(MOD(MONTH(Output!R$14)-MONTH(Calculations!$D7),12),MOD(MONTH(Output!R$14)-MONTH(Calculations!$G7),12))*Calculations!$P7),0),Calculations!$Q7*Calculations!AS7*(1-Calculations!$R7)+IF(MONTH(R$14)=1,Calculations!$Q7*Calculations!$R7,0))</f>
        <v>0</v>
      </c>
      <c r="S18" s="36" t="str">
        <f>IF(Calculations!$D7&lt;&gt;"",IF(AND(S$14&gt;=Calculations!$D7,MIN(MOD(MONTH(Output!S$14)-MONTH(Calculations!$D7),12),MOD(MONTH(Output!S$14)-MONTH(Calculations!$G7),12))&lt;=Inputs!$N10),Calculations!$Q7/Calculations!$S7/(Inputs!$N10+1)*(1+MIN(MOD(MONTH(Output!S$14)-MONTH(Calculations!$D7),12),MOD(MONTH(Output!S$14)-MONTH(Calculations!$G7),12))*Calculations!$P7),0),Calculations!$Q7*Calculations!AT7*(1-Calculations!$R7)+IF(MONTH(S$14)=1,Calculations!$Q7*Calculations!$R7,0))</f>
        <v>0</v>
      </c>
      <c r="T18" s="36" t="str">
        <f>IF(Calculations!$D7&lt;&gt;"",IF(AND(T$14&gt;=Calculations!$D7,MIN(MOD(MONTH(Output!T$14)-MONTH(Calculations!$D7),12),MOD(MONTH(Output!T$14)-MONTH(Calculations!$G7),12))&lt;=Inputs!$N10),Calculations!$Q7/Calculations!$S7/(Inputs!$N10+1)*(1+MIN(MOD(MONTH(Output!T$14)-MONTH(Calculations!$D7),12),MOD(MONTH(Output!T$14)-MONTH(Calculations!$G7),12))*Calculations!$P7),0),Calculations!$Q7*Calculations!AU7*(1-Calculations!$R7)+IF(MONTH(T$14)=1,Calculations!$Q7*Calculations!$R7,0))</f>
        <v>0</v>
      </c>
      <c r="U18" s="36" t="str">
        <f>IF(Calculations!$D7&lt;&gt;"",IF(AND(U$14&gt;=Calculations!$D7,MIN(MOD(MONTH(Output!U$14)-MONTH(Calculations!$D7),12),MOD(MONTH(Output!U$14)-MONTH(Calculations!$G7),12))&lt;=Inputs!$N10),Calculations!$Q7/Calculations!$S7/(Inputs!$N10+1)*(1+MIN(MOD(MONTH(Output!U$14)-MONTH(Calculations!$D7),12),MOD(MONTH(Output!U$14)-MONTH(Calculations!$G7),12))*Calculations!$P7),0),Calculations!$Q7*Calculations!AV7*(1-Calculations!$R7)+IF(MONTH(U$14)=1,Calculations!$Q7*Calculations!$R7,0))</f>
        <v>0</v>
      </c>
      <c r="V18" s="36" t="str">
        <f>IF(Calculations!$D7&lt;&gt;"",IF(AND(V$14&gt;=Calculations!$D7,MIN(MOD(MONTH(Output!V$14)-MONTH(Calculations!$D7),12),MOD(MONTH(Output!V$14)-MONTH(Calculations!$G7),12))&lt;=Inputs!$N10),Calculations!$Q7/Calculations!$S7/(Inputs!$N10+1)*(1+MIN(MOD(MONTH(Output!V$14)-MONTH(Calculations!$D7),12),MOD(MONTH(Output!V$14)-MONTH(Calculations!$G7),12))*Calculations!$P7),0),Calculations!$Q7*Calculations!AW7*(1-Calculations!$R7)+IF(MONTH(V$14)=1,Calculations!$Q7*Calculations!$R7,0))</f>
        <v>0</v>
      </c>
      <c r="W18" s="36" t="str">
        <f>IF(Calculations!$D7&lt;&gt;"",IF(AND(W$14&gt;=Calculations!$D7,MIN(MOD(MONTH(Output!W$14)-MONTH(Calculations!$D7),12),MOD(MONTH(Output!W$14)-MONTH(Calculations!$G7),12))&lt;=Inputs!$N10),Calculations!$Q7/Calculations!$S7/(Inputs!$N10+1)*(1+MIN(MOD(MONTH(Output!W$14)-MONTH(Calculations!$D7),12),MOD(MONTH(Output!W$14)-MONTH(Calculations!$G7),12))*Calculations!$P7),0),Calculations!$Q7*Calculations!AX7*(1-Calculations!$R7)+IF(MONTH(W$14)=1,Calculations!$Q7*Calculations!$R7,0))</f>
        <v>0</v>
      </c>
      <c r="X18" s="36" t="str">
        <f>IF(Calculations!$D7&lt;&gt;"",IF(AND(X$14&gt;=Calculations!$D7,MIN(MOD(MONTH(Output!X$14)-MONTH(Calculations!$D7),12),MOD(MONTH(Output!X$14)-MONTH(Calculations!$G7),12))&lt;=Inputs!$N10),Calculations!$Q7/Calculations!$S7/(Inputs!$N10+1)*(1+MIN(MOD(MONTH(Output!X$14)-MONTH(Calculations!$D7),12),MOD(MONTH(Output!X$14)-MONTH(Calculations!$G7),12))*Calculations!$P7),0),Calculations!$Q7*Calculations!AY7*(1-Calculations!$R7)+IF(MONTH(X$14)=1,Calculations!$Q7*Calculations!$R7,0))</f>
        <v>0</v>
      </c>
      <c r="Y18" s="36" t="str">
        <f>IF(Calculations!$D7&lt;&gt;"",IF(AND(Y$14&gt;=Calculations!$D7,MIN(MOD(MONTH(Output!Y$14)-MONTH(Calculations!$D7),12),MOD(MONTH(Output!Y$14)-MONTH(Calculations!$G7),12))&lt;=Inputs!$N10),Calculations!$Q7/Calculations!$S7/(Inputs!$N10+1)*(1+MIN(MOD(MONTH(Output!Y$14)-MONTH(Calculations!$D7),12),MOD(MONTH(Output!Y$14)-MONTH(Calculations!$G7),12))*Calculations!$P7),0),Calculations!$Q7*Calculations!AZ7*(1-Calculations!$R7)+IF(MONTH(Y$14)=1,Calculations!$Q7*Calculations!$R7,0))</f>
        <v>0</v>
      </c>
      <c r="Z18" s="36" t="str">
        <f>SUM(IF($B$7:$Y$7+$B$8:$Y$8&gt;0,B18:Y18,0))</f>
        <v>0</v>
      </c>
      <c r="AA18" s="36" t="str">
        <f>SUM(B18:M18)</f>
        <v>0</v>
      </c>
      <c r="AB18" s="36" t="str">
        <f>SUM(B18:Y18)</f>
        <v>0</v>
      </c>
    </row>
    <row r="19" spans="1:30">
      <c r="A19" t="str">
        <f>IF(Calculations!A8&lt;&gt;Parameters!$A$18,IF(Calculations!A8=0,"",Calculations!A8),Inputs!B11)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8&lt;&gt;"",IF(AND(N$14&gt;=Calculations!$D8,MIN(MOD(MONTH(Output!N$14)-MONTH(Calculations!$D8),12),MOD(MONTH(Output!N$14)-MONTH(Calculations!$G8),12))&lt;=Inputs!$N11),Calculations!$Q8/Calculations!$S8/(Inputs!$N11+1)*(1+MIN(MOD(MONTH(Output!N$14)-MONTH(Calculations!$D8),12),MOD(MONTH(Output!N$14)-MONTH(Calculations!$G8),12))*Calculations!$P8),0),Calculations!$Q8*Calculations!AO8*(1-Calculations!$R8)+IF(MONTH(N$14)=1,Calculations!$Q8*Calculations!$R8,0))</f>
        <v>0</v>
      </c>
      <c r="O19" s="36" t="str">
        <f>IF(Calculations!$D8&lt;&gt;"",IF(AND(O$14&gt;=Calculations!$D8,MIN(MOD(MONTH(Output!O$14)-MONTH(Calculations!$D8),12),MOD(MONTH(Output!O$14)-MONTH(Calculations!$G8),12))&lt;=Inputs!$N11),Calculations!$Q8/Calculations!$S8/(Inputs!$N11+1)*(1+MIN(MOD(MONTH(Output!O$14)-MONTH(Calculations!$D8),12),MOD(MONTH(Output!O$14)-MONTH(Calculations!$G8),12))*Calculations!$P8),0),Calculations!$Q8*Calculations!AP8*(1-Calculations!$R8)+IF(MONTH(O$14)=1,Calculations!$Q8*Calculations!$R8,0))</f>
        <v>0</v>
      </c>
      <c r="P19" s="36" t="str">
        <f>IF(Calculations!$D8&lt;&gt;"",IF(AND(P$14&gt;=Calculations!$D8,MIN(MOD(MONTH(Output!P$14)-MONTH(Calculations!$D8),12),MOD(MONTH(Output!P$14)-MONTH(Calculations!$G8),12))&lt;=Inputs!$N11),Calculations!$Q8/Calculations!$S8/(Inputs!$N11+1)*(1+MIN(MOD(MONTH(Output!P$14)-MONTH(Calculations!$D8),12),MOD(MONTH(Output!P$14)-MONTH(Calculations!$G8),12))*Calculations!$P8),0),Calculations!$Q8*Calculations!AQ8*(1-Calculations!$R8)+IF(MONTH(P$14)=1,Calculations!$Q8*Calculations!$R8,0))</f>
        <v>0</v>
      </c>
      <c r="Q19" s="36" t="str">
        <f>IF(Calculations!$D8&lt;&gt;"",IF(AND(Q$14&gt;=Calculations!$D8,MIN(MOD(MONTH(Output!Q$14)-MONTH(Calculations!$D8),12),MOD(MONTH(Output!Q$14)-MONTH(Calculations!$G8),12))&lt;=Inputs!$N11),Calculations!$Q8/Calculations!$S8/(Inputs!$N11+1)*(1+MIN(MOD(MONTH(Output!Q$14)-MONTH(Calculations!$D8),12),MOD(MONTH(Output!Q$14)-MONTH(Calculations!$G8),12))*Calculations!$P8),0),Calculations!$Q8*Calculations!AR8*(1-Calculations!$R8)+IF(MONTH(Q$14)=1,Calculations!$Q8*Calculations!$R8,0))</f>
        <v>0</v>
      </c>
      <c r="R19" s="36" t="str">
        <f>IF(Calculations!$D8&lt;&gt;"",IF(AND(R$14&gt;=Calculations!$D8,MIN(MOD(MONTH(Output!R$14)-MONTH(Calculations!$D8),12),MOD(MONTH(Output!R$14)-MONTH(Calculations!$G8),12))&lt;=Inputs!$N11),Calculations!$Q8/Calculations!$S8/(Inputs!$N11+1)*(1+MIN(MOD(MONTH(Output!R$14)-MONTH(Calculations!$D8),12),MOD(MONTH(Output!R$14)-MONTH(Calculations!$G8),12))*Calculations!$P8),0),Calculations!$Q8*Calculations!AS8*(1-Calculations!$R8)+IF(MONTH(R$14)=1,Calculations!$Q8*Calculations!$R8,0))</f>
        <v>0</v>
      </c>
      <c r="S19" s="36" t="str">
        <f>IF(Calculations!$D8&lt;&gt;"",IF(AND(S$14&gt;=Calculations!$D8,MIN(MOD(MONTH(Output!S$14)-MONTH(Calculations!$D8),12),MOD(MONTH(Output!S$14)-MONTH(Calculations!$G8),12))&lt;=Inputs!$N11),Calculations!$Q8/Calculations!$S8/(Inputs!$N11+1)*(1+MIN(MOD(MONTH(Output!S$14)-MONTH(Calculations!$D8),12),MOD(MONTH(Output!S$14)-MONTH(Calculations!$G8),12))*Calculations!$P8),0),Calculations!$Q8*Calculations!AT8*(1-Calculations!$R8)+IF(MONTH(S$14)=1,Calculations!$Q8*Calculations!$R8,0))</f>
        <v>0</v>
      </c>
      <c r="T19" s="36" t="str">
        <f>IF(Calculations!$D8&lt;&gt;"",IF(AND(T$14&gt;=Calculations!$D8,MIN(MOD(MONTH(Output!T$14)-MONTH(Calculations!$D8),12),MOD(MONTH(Output!T$14)-MONTH(Calculations!$G8),12))&lt;=Inputs!$N11),Calculations!$Q8/Calculations!$S8/(Inputs!$N11+1)*(1+MIN(MOD(MONTH(Output!T$14)-MONTH(Calculations!$D8),12),MOD(MONTH(Output!T$14)-MONTH(Calculations!$G8),12))*Calculations!$P8),0),Calculations!$Q8*Calculations!AU8*(1-Calculations!$R8)+IF(MONTH(T$14)=1,Calculations!$Q8*Calculations!$R8,0))</f>
        <v>0</v>
      </c>
      <c r="U19" s="36" t="str">
        <f>IF(Calculations!$D8&lt;&gt;"",IF(AND(U$14&gt;=Calculations!$D8,MIN(MOD(MONTH(Output!U$14)-MONTH(Calculations!$D8),12),MOD(MONTH(Output!U$14)-MONTH(Calculations!$G8),12))&lt;=Inputs!$N11),Calculations!$Q8/Calculations!$S8/(Inputs!$N11+1)*(1+MIN(MOD(MONTH(Output!U$14)-MONTH(Calculations!$D8),12),MOD(MONTH(Output!U$14)-MONTH(Calculations!$G8),12))*Calculations!$P8),0),Calculations!$Q8*Calculations!AV8*(1-Calculations!$R8)+IF(MONTH(U$14)=1,Calculations!$Q8*Calculations!$R8,0))</f>
        <v>0</v>
      </c>
      <c r="V19" s="36" t="str">
        <f>IF(Calculations!$D8&lt;&gt;"",IF(AND(V$14&gt;=Calculations!$D8,MIN(MOD(MONTH(Output!V$14)-MONTH(Calculations!$D8),12),MOD(MONTH(Output!V$14)-MONTH(Calculations!$G8),12))&lt;=Inputs!$N11),Calculations!$Q8/Calculations!$S8/(Inputs!$N11+1)*(1+MIN(MOD(MONTH(Output!V$14)-MONTH(Calculations!$D8),12),MOD(MONTH(Output!V$14)-MONTH(Calculations!$G8),12))*Calculations!$P8),0),Calculations!$Q8*Calculations!AW8*(1-Calculations!$R8)+IF(MONTH(V$14)=1,Calculations!$Q8*Calculations!$R8,0))</f>
        <v>0</v>
      </c>
      <c r="W19" s="36" t="str">
        <f>IF(Calculations!$D8&lt;&gt;"",IF(AND(W$14&gt;=Calculations!$D8,MIN(MOD(MONTH(Output!W$14)-MONTH(Calculations!$D8),12),MOD(MONTH(Output!W$14)-MONTH(Calculations!$G8),12))&lt;=Inputs!$N11),Calculations!$Q8/Calculations!$S8/(Inputs!$N11+1)*(1+MIN(MOD(MONTH(Output!W$14)-MONTH(Calculations!$D8),12),MOD(MONTH(Output!W$14)-MONTH(Calculations!$G8),12))*Calculations!$P8),0),Calculations!$Q8*Calculations!AX8*(1-Calculations!$R8)+IF(MONTH(W$14)=1,Calculations!$Q8*Calculations!$R8,0))</f>
        <v>0</v>
      </c>
      <c r="X19" s="36" t="str">
        <f>IF(Calculations!$D8&lt;&gt;"",IF(AND(X$14&gt;=Calculations!$D8,MIN(MOD(MONTH(Output!X$14)-MONTH(Calculations!$D8),12),MOD(MONTH(Output!X$14)-MONTH(Calculations!$G8),12))&lt;=Inputs!$N11),Calculations!$Q8/Calculations!$S8/(Inputs!$N11+1)*(1+MIN(MOD(MONTH(Output!X$14)-MONTH(Calculations!$D8),12),MOD(MONTH(Output!X$14)-MONTH(Calculations!$G8),12))*Calculations!$P8),0),Calculations!$Q8*Calculations!AY8*(1-Calculations!$R8)+IF(MONTH(X$14)=1,Calculations!$Q8*Calculations!$R8,0))</f>
        <v>0</v>
      </c>
      <c r="Y19" s="36" t="str">
        <f>IF(Calculations!$D8&lt;&gt;"",IF(AND(Y$14&gt;=Calculations!$D8,MIN(MOD(MONTH(Output!Y$14)-MONTH(Calculations!$D8),12),MOD(MONTH(Output!Y$14)-MONTH(Calculations!$G8),12))&lt;=Inputs!$N11),Calculations!$Q8/Calculations!$S8/(Inputs!$N11+1)*(1+MIN(MOD(MONTH(Output!Y$14)-MONTH(Calculations!$D8),12),MOD(MONTH(Output!Y$14)-MONTH(Calculations!$G8),12))*Calculations!$P8),0),Calculations!$Q8*Calculations!AZ8*(1-Calculations!$R8)+IF(MONTH(Y$14)=1,Calculations!$Q8*Calculations!$R8,0))</f>
        <v>0</v>
      </c>
      <c r="Z19" s="36" t="str">
        <f>SUM(IF($B$7:$Y$7+$B$8:$Y$8&gt;0,B19:Y19,0))</f>
        <v>0</v>
      </c>
      <c r="AA19" s="36" t="str">
        <f>SUM(B19:M19)</f>
        <v>0</v>
      </c>
      <c r="AB19" s="46" t="str">
        <f>SUM(B19:Y19)</f>
        <v>0</v>
      </c>
    </row>
    <row r="20" spans="1:30" customHeight="1" ht="4.5">
      <c r="A20" s="43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 t="str">
        <f>SUM(IF($B$7:$Y$7+$B$8:$Y$8&gt;0,B20:Y20,0))</f>
        <v>0</v>
      </c>
      <c r="AA20" s="36"/>
      <c r="AB20" s="46" t="str">
        <f>AB43-AB66</f>
        <v>0</v>
      </c>
    </row>
    <row r="21" spans="1:30">
      <c r="A21" s="43" t="str">
        <f>IF(Inputs!A19="","",IF(Inputs!A19=Parameters!$A$30,Inputs!B19,Inputs!A19))</f>
        <v>0</v>
      </c>
      <c r="B21" s="36" t="str">
        <f>IFERROR(Calculations!$P14/12,"")</f>
        <v>0</v>
      </c>
      <c r="C21" s="36" t="str">
        <f>IFERROR(Calculations!$P14/12,"")</f>
        <v>0</v>
      </c>
      <c r="D21" s="36" t="str">
        <f>IFERROR(Calculations!$P14/12,"")</f>
        <v>0</v>
      </c>
      <c r="E21" s="36" t="str">
        <f>IFERROR(Calculations!$P14/12,"")</f>
        <v>0</v>
      </c>
      <c r="F21" s="36" t="str">
        <f>IFERROR(Calculations!$P14/12,"")</f>
        <v>0</v>
      </c>
      <c r="G21" s="36" t="str">
        <f>IFERROR(Calculations!$P14/12,"")</f>
        <v>0</v>
      </c>
      <c r="H21" s="36" t="str">
        <f>IFERROR(Calculations!$P14/12,"")</f>
        <v>0</v>
      </c>
      <c r="I21" s="36" t="str">
        <f>IFERROR(Calculations!$P14/12,"")</f>
        <v>0</v>
      </c>
      <c r="J21" s="36" t="str">
        <f>IFERROR(Calculations!$P14/12,"")</f>
        <v>0</v>
      </c>
      <c r="K21" s="36" t="str">
        <f>IFERROR(Calculations!$P14/12,"")</f>
        <v>0</v>
      </c>
      <c r="L21" s="36" t="str">
        <f>IFERROR(Calculations!$P14/12,"")</f>
        <v>0</v>
      </c>
      <c r="M21" s="36" t="str">
        <f>IFERROR(Calculations!$P14/12,"")</f>
        <v>0</v>
      </c>
      <c r="N21" s="36" t="str">
        <f>IFERROR(Calculations!$P14/12,"")</f>
        <v>0</v>
      </c>
      <c r="O21" s="36" t="str">
        <f>IFERROR(Calculations!$P14/12,"")</f>
        <v>0</v>
      </c>
      <c r="P21" s="36" t="str">
        <f>IFERROR(Calculations!$P14/12,"")</f>
        <v>0</v>
      </c>
      <c r="Q21" s="36" t="str">
        <f>IFERROR(Calculations!$P14/12,"")</f>
        <v>0</v>
      </c>
      <c r="R21" s="36" t="str">
        <f>IFERROR(Calculations!$P14/12,"")</f>
        <v>0</v>
      </c>
      <c r="S21" s="36" t="str">
        <f>IFERROR(Calculations!$P14/12,"")</f>
        <v>0</v>
      </c>
      <c r="T21" s="36" t="str">
        <f>IFERROR(Calculations!$P14/12,"")</f>
        <v>0</v>
      </c>
      <c r="U21" s="36" t="str">
        <f>IFERROR(Calculations!$P14/12,"")</f>
        <v>0</v>
      </c>
      <c r="V21" s="36" t="str">
        <f>IFERROR(Calculations!$P14/12,"")</f>
        <v>0</v>
      </c>
      <c r="W21" s="36" t="str">
        <f>IFERROR(Calculations!$P14/12,"")</f>
        <v>0</v>
      </c>
      <c r="X21" s="36" t="str">
        <f>IFERROR(Calculations!$P14/12,"")</f>
        <v>0</v>
      </c>
      <c r="Y21" s="36" t="str">
        <f>IFERROR(Calculations!$P14/12,"")</f>
        <v>0</v>
      </c>
      <c r="Z21" s="36" t="str">
        <f>SUM(IF($B$7:$Y$7+$B$8:$Y$8&gt;0,B21:Y21,0))</f>
        <v>0</v>
      </c>
      <c r="AA21" s="36" t="str">
        <f>SUM(B21:M21)</f>
        <v>0</v>
      </c>
      <c r="AB21" s="46" t="str">
        <f>SUM(B21:Y21)</f>
        <v>0</v>
      </c>
    </row>
    <row r="22" spans="1:30">
      <c r="A22" s="43" t="str">
        <f>IF(Inputs!A20="","",IF(Inputs!A20=Parameters!$A$30,Inputs!B20,Inputs!A20))</f>
        <v>0</v>
      </c>
      <c r="B22" s="36" t="str">
        <f>IFERROR(Calculations!$P15/12,"")</f>
        <v>0</v>
      </c>
      <c r="C22" s="36" t="str">
        <f>IFERROR(Calculations!$P15/12,"")</f>
        <v>0</v>
      </c>
      <c r="D22" s="36" t="str">
        <f>IFERROR(Calculations!$P15/12,"")</f>
        <v>0</v>
      </c>
      <c r="E22" s="36" t="str">
        <f>IFERROR(Calculations!$P15/12,"")</f>
        <v>0</v>
      </c>
      <c r="F22" s="36" t="str">
        <f>IFERROR(Calculations!$P15/12,"")</f>
        <v>0</v>
      </c>
      <c r="G22" s="36" t="str">
        <f>IFERROR(Calculations!$P15/12,"")</f>
        <v>0</v>
      </c>
      <c r="H22" s="36" t="str">
        <f>IFERROR(Calculations!$P15/12,"")</f>
        <v>0</v>
      </c>
      <c r="I22" s="36" t="str">
        <f>IFERROR(Calculations!$P15/12,"")</f>
        <v>0</v>
      </c>
      <c r="J22" s="36" t="str">
        <f>IFERROR(Calculations!$P15/12,"")</f>
        <v>0</v>
      </c>
      <c r="K22" s="36" t="str">
        <f>IFERROR(Calculations!$P15/12,"")</f>
        <v>0</v>
      </c>
      <c r="L22" s="36" t="str">
        <f>IFERROR(Calculations!$P15/12,"")</f>
        <v>0</v>
      </c>
      <c r="M22" s="36" t="str">
        <f>IFERROR(Calculations!$P15/12,"")</f>
        <v>0</v>
      </c>
      <c r="N22" s="36" t="str">
        <f>IFERROR(Calculations!$P15/12,"")</f>
        <v>0</v>
      </c>
      <c r="O22" s="36" t="str">
        <f>IFERROR(Calculations!$P15/12,"")</f>
        <v>0</v>
      </c>
      <c r="P22" s="36" t="str">
        <f>IFERROR(Calculations!$P15/12,"")</f>
        <v>0</v>
      </c>
      <c r="Q22" s="36" t="str">
        <f>IFERROR(Calculations!$P15/12,"")</f>
        <v>0</v>
      </c>
      <c r="R22" s="36" t="str">
        <f>IFERROR(Calculations!$P15/12,"")</f>
        <v>0</v>
      </c>
      <c r="S22" s="36" t="str">
        <f>IFERROR(Calculations!$P15/12,"")</f>
        <v>0</v>
      </c>
      <c r="T22" s="36" t="str">
        <f>IFERROR(Calculations!$P15/12,"")</f>
        <v>0</v>
      </c>
      <c r="U22" s="36" t="str">
        <f>IFERROR(Calculations!$P15/12,"")</f>
        <v>0</v>
      </c>
      <c r="V22" s="36" t="str">
        <f>IFERROR(Calculations!$P15/12,"")</f>
        <v>0</v>
      </c>
      <c r="W22" s="36" t="str">
        <f>IFERROR(Calculations!$P15/12,"")</f>
        <v>0</v>
      </c>
      <c r="X22" s="36" t="str">
        <f>IFERROR(Calculations!$P15/12,"")</f>
        <v>0</v>
      </c>
      <c r="Y22" s="36" t="str">
        <f>IFERROR(Calculations!$P15/12,"")</f>
        <v>0</v>
      </c>
      <c r="Z22" s="36" t="str">
        <f>SUM(IF($B$7:$Y$7+$B$8:$Y$8&gt;0,B22:Y22,0))</f>
        <v>0</v>
      </c>
      <c r="AA22" s="36" t="str">
        <f>SUM(B22:M22)</f>
        <v>0</v>
      </c>
      <c r="AB22" s="46" t="str">
        <f>SUM(B22:Y22)</f>
        <v>0</v>
      </c>
    </row>
    <row r="23" spans="1:30">
      <c r="A23" s="43" t="str">
        <f>IF(Inputs!A21="","",IF(Inputs!A21=Parameters!$A$30,Inputs!B21,Inputs!A21))</f>
        <v>0</v>
      </c>
      <c r="B23" s="36" t="str">
        <f>IFERROR(Calculations!$P16/12,"")</f>
        <v>0</v>
      </c>
      <c r="C23" s="36" t="str">
        <f>IFERROR(Calculations!$P16/12,"")</f>
        <v>0</v>
      </c>
      <c r="D23" s="36" t="str">
        <f>IFERROR(Calculations!$P16/12,"")</f>
        <v>0</v>
      </c>
      <c r="E23" s="36" t="str">
        <f>IFERROR(Calculations!$P16/12,"")</f>
        <v>0</v>
      </c>
      <c r="F23" s="36" t="str">
        <f>IFERROR(Calculations!$P16/12,"")</f>
        <v>0</v>
      </c>
      <c r="G23" s="36" t="str">
        <f>IFERROR(Calculations!$P16/12,"")</f>
        <v>0</v>
      </c>
      <c r="H23" s="36" t="str">
        <f>IFERROR(Calculations!$P16/12,"")</f>
        <v>0</v>
      </c>
      <c r="I23" s="36" t="str">
        <f>IFERROR(Calculations!$P16/12,"")</f>
        <v>0</v>
      </c>
      <c r="J23" s="36" t="str">
        <f>IFERROR(Calculations!$P16/12,"")</f>
        <v>0</v>
      </c>
      <c r="K23" s="36" t="str">
        <f>IFERROR(Calculations!$P16/12,"")</f>
        <v>0</v>
      </c>
      <c r="L23" s="36" t="str">
        <f>IFERROR(Calculations!$P16/12,"")</f>
        <v>0</v>
      </c>
      <c r="M23" s="36" t="str">
        <f>IFERROR(Calculations!$P16/12,"")</f>
        <v>0</v>
      </c>
      <c r="N23" s="36" t="str">
        <f>IFERROR(Calculations!$P16/12,"")</f>
        <v>0</v>
      </c>
      <c r="O23" s="36" t="str">
        <f>IFERROR(Calculations!$P16/12,"")</f>
        <v>0</v>
      </c>
      <c r="P23" s="36" t="str">
        <f>IFERROR(Calculations!$P16/12,"")</f>
        <v>0</v>
      </c>
      <c r="Q23" s="36" t="str">
        <f>IFERROR(Calculations!$P16/12,"")</f>
        <v>0</v>
      </c>
      <c r="R23" s="36" t="str">
        <f>IFERROR(Calculations!$P16/12,"")</f>
        <v>0</v>
      </c>
      <c r="S23" s="36" t="str">
        <f>IFERROR(Calculations!$P16/12,"")</f>
        <v>0</v>
      </c>
      <c r="T23" s="36" t="str">
        <f>IFERROR(Calculations!$P16/12,"")</f>
        <v>0</v>
      </c>
      <c r="U23" s="36" t="str">
        <f>IFERROR(Calculations!$P16/12,"")</f>
        <v>0</v>
      </c>
      <c r="V23" s="36" t="str">
        <f>IFERROR(Calculations!$P16/12,"")</f>
        <v>0</v>
      </c>
      <c r="W23" s="36" t="str">
        <f>IFERROR(Calculations!$P16/12,"")</f>
        <v>0</v>
      </c>
      <c r="X23" s="36" t="str">
        <f>IFERROR(Calculations!$P16/12,"")</f>
        <v>0</v>
      </c>
      <c r="Y23" s="36" t="str">
        <f>IFERROR(Calculations!$P16/12,"")</f>
        <v>0</v>
      </c>
      <c r="Z23" s="36" t="str">
        <f>SUM(IF($B$7:$Y$7+$B$8:$Y$8&gt;0,B23:Y23,0))</f>
        <v>0</v>
      </c>
      <c r="AA23" s="36" t="str">
        <f>SUM(B23:M23)</f>
        <v>0</v>
      </c>
      <c r="AB23" s="46" t="str">
        <f>SUM(B23:Y23)</f>
        <v>0</v>
      </c>
    </row>
    <row r="24" spans="1:30">
      <c r="A24" s="43" t="str">
        <f>Calculations!C17</f>
        <v>0</v>
      </c>
      <c r="B24" s="36" t="str">
        <f>IF(B14=Calculations!$L$17,Calculations!$P$17,0)</f>
        <v>0</v>
      </c>
      <c r="C24" s="36" t="str">
        <f>IF(C14=Calculations!$L$17,Calculations!$P$17,0)</f>
        <v>0</v>
      </c>
      <c r="D24" s="36" t="str">
        <f>IF(D14=Calculations!$L$17,Calculations!$P$17,0)</f>
        <v>0</v>
      </c>
      <c r="E24" s="36" t="str">
        <f>IF(E14=Calculations!$L$17,Calculations!$P$17,0)</f>
        <v>0</v>
      </c>
      <c r="F24" s="36" t="str">
        <f>IF(F14=Calculations!$L$17,Calculations!$P$17,0)</f>
        <v>0</v>
      </c>
      <c r="G24" s="36" t="str">
        <f>IF(G14=Calculations!$L$17,Calculations!$P$17,0)</f>
        <v>0</v>
      </c>
      <c r="H24" s="36" t="str">
        <f>IF(H14=Calculations!$L$17,Calculations!$P$17,0)</f>
        <v>0</v>
      </c>
      <c r="I24" s="36" t="str">
        <f>IF(I14=Calculations!$L$17,Calculations!$P$17,0)</f>
        <v>0</v>
      </c>
      <c r="J24" s="36" t="str">
        <f>IF(J14=Calculations!$L$17,Calculations!$P$17,0)</f>
        <v>0</v>
      </c>
      <c r="K24" s="36" t="str">
        <f>IF(K14=Calculations!$L$17,Calculations!$P$17,0)</f>
        <v>0</v>
      </c>
      <c r="L24" s="36" t="str">
        <f>IF(L14=Calculations!$L$17,Calculations!$P$17,0)</f>
        <v>0</v>
      </c>
      <c r="M24" s="36" t="str">
        <f>IF(M14=Calculations!$L$17,Calculations!$P$17,0)</f>
        <v>0</v>
      </c>
      <c r="N24" s="36" t="str">
        <f>IF(N14=Calculations!$L$17,Calculations!$P$17,0)</f>
        <v>0</v>
      </c>
      <c r="O24" s="36" t="str">
        <f>IF(O14=Calculations!$L$17,Calculations!$P$17,0)</f>
        <v>0</v>
      </c>
      <c r="P24" s="36" t="str">
        <f>IF(P14=Calculations!$L$17,Calculations!$P$17,0)</f>
        <v>0</v>
      </c>
      <c r="Q24" s="36" t="str">
        <f>IF(Q14=Calculations!$L$17,Calculations!$P$17,0)</f>
        <v>0</v>
      </c>
      <c r="R24" s="36" t="str">
        <f>IF(R14=Calculations!$L$17,Calculations!$P$17,0)</f>
        <v>0</v>
      </c>
      <c r="S24" s="36" t="str">
        <f>IF(S14=Calculations!$L$17,Calculations!$P$17,0)</f>
        <v>0</v>
      </c>
      <c r="T24" s="36" t="str">
        <f>IF(T14=Calculations!$L$17,Calculations!$P$17,0)</f>
        <v>0</v>
      </c>
      <c r="U24" s="36" t="str">
        <f>IF(U14=Calculations!$L$17,Calculations!$P$17,0)</f>
        <v>0</v>
      </c>
      <c r="V24" s="36" t="str">
        <f>IF(V14=Calculations!$L$17,Calculations!$P$17,0)</f>
        <v>0</v>
      </c>
      <c r="W24" s="36" t="str">
        <f>IF(W14=Calculations!$L$17,Calculations!$P$17,0)</f>
        <v>0</v>
      </c>
      <c r="X24" s="36" t="str">
        <f>IF(X14=Calculations!$L$17,Calculations!$P$17,0)</f>
        <v>0</v>
      </c>
      <c r="Y24" s="36" t="str">
        <f>IF(Y14=Calculations!$L$17,Calculations!$P$17,0)</f>
        <v>0</v>
      </c>
      <c r="Z24" s="36" t="str">
        <f>SUM(IF($B$7:$Y$7+$B$8:$Y$8&gt;0,B24:Y24,0))</f>
        <v>0</v>
      </c>
      <c r="AA24" s="36" t="str">
        <f>SUM(B24:M24)</f>
        <v>0</v>
      </c>
      <c r="AB24" s="46" t="str">
        <f>SUM(B24:Y24)</f>
        <v>0</v>
      </c>
    </row>
    <row r="25" spans="1:30" customHeight="1" ht="3.75">
      <c r="A25" s="43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 t="str">
        <f>SUM(IF($B$7:$S$7+$B$8:$S$8&gt;0,B25:S25,0))</f>
        <v>0</v>
      </c>
      <c r="AA25" s="36"/>
      <c r="AB25" s="46"/>
    </row>
    <row r="26" spans="1:30" customHeight="1" ht="15.75">
      <c r="A26" s="18" t="s">
        <v>32</v>
      </c>
      <c r="B26" s="37" t="str">
        <f>Inputs!$B$30</f>
        <v>0</v>
      </c>
      <c r="C26" s="37" t="str">
        <f>Inputs!$B$30</f>
        <v>0</v>
      </c>
      <c r="D26" s="37" t="str">
        <f>Inputs!$B$30</f>
        <v>0</v>
      </c>
      <c r="E26" s="37" t="str">
        <f>Inputs!$B$30</f>
        <v>0</v>
      </c>
      <c r="F26" s="37" t="str">
        <f>Inputs!$B$30</f>
        <v>0</v>
      </c>
      <c r="G26" s="37" t="str">
        <f>Inputs!$B$30</f>
        <v>0</v>
      </c>
      <c r="H26" s="37" t="str">
        <f>Inputs!$B$30</f>
        <v>0</v>
      </c>
      <c r="I26" s="37" t="str">
        <f>Inputs!$B$30</f>
        <v>0</v>
      </c>
      <c r="J26" s="37" t="str">
        <f>Inputs!$B$30</f>
        <v>0</v>
      </c>
      <c r="K26" s="37" t="str">
        <f>Inputs!$B$30</f>
        <v>0</v>
      </c>
      <c r="L26" s="37" t="str">
        <f>Inputs!$B$30</f>
        <v>0</v>
      </c>
      <c r="M26" s="37" t="str">
        <f>Inputs!$B$30</f>
        <v>0</v>
      </c>
      <c r="N26" s="37" t="str">
        <f>Inputs!$B$30</f>
        <v>0</v>
      </c>
      <c r="O26" s="37" t="str">
        <f>Inputs!$B$30</f>
        <v>0</v>
      </c>
      <c r="P26" s="37" t="str">
        <f>Inputs!$B$30</f>
        <v>0</v>
      </c>
      <c r="Q26" s="37" t="str">
        <f>Inputs!$B$30</f>
        <v>0</v>
      </c>
      <c r="R26" s="37" t="str">
        <f>Inputs!$B$30</f>
        <v>0</v>
      </c>
      <c r="S26" s="37" t="str">
        <f>Inputs!$B$30</f>
        <v>0</v>
      </c>
      <c r="T26" s="37" t="str">
        <f>Inputs!$B$30</f>
        <v>0</v>
      </c>
      <c r="U26" s="37" t="str">
        <f>Inputs!$B$30</f>
        <v>0</v>
      </c>
      <c r="V26" s="37" t="str">
        <f>Inputs!$B$30</f>
        <v>0</v>
      </c>
      <c r="W26" s="37" t="str">
        <f>Inputs!$B$30</f>
        <v>0</v>
      </c>
      <c r="X26" s="37" t="str">
        <f>Inputs!$B$30</f>
        <v>0</v>
      </c>
      <c r="Y26" s="37" t="str">
        <f>Inputs!$B$30</f>
        <v>0</v>
      </c>
      <c r="Z26" s="37" t="str">
        <f>SUM(IF($B$7:$S$7+$B$8:$S$8&gt;0,B26:S26,0))</f>
        <v>0</v>
      </c>
      <c r="AA26" s="37" t="str">
        <f>SUM(B26:M26)</f>
        <v>0</v>
      </c>
      <c r="AB26" s="37" t="str">
        <f>SUM(B26:Y26)</f>
        <v>0</v>
      </c>
    </row>
    <row r="27" spans="1:30" customHeight="1" ht="15.75">
      <c r="A27" s="1" t="s">
        <v>33</v>
      </c>
      <c r="B27" s="19" t="str">
        <f>SUM(B15:B26)</f>
        <v>0</v>
      </c>
      <c r="C27" s="19" t="str">
        <f>SUM(C15:C26)</f>
        <v>0</v>
      </c>
      <c r="D27" s="19" t="str">
        <f>SUM(D15:D26)</f>
        <v>0</v>
      </c>
      <c r="E27" s="19" t="str">
        <f>SUM(E15:E26)</f>
        <v>0</v>
      </c>
      <c r="F27" s="19" t="str">
        <f>SUM(F15:F26)</f>
        <v>0</v>
      </c>
      <c r="G27" s="19" t="str">
        <f>SUM(G15:G26)</f>
        <v>0</v>
      </c>
      <c r="H27" s="19" t="str">
        <f>SUM(H15:H26)</f>
        <v>0</v>
      </c>
      <c r="I27" s="19" t="str">
        <f>SUM(I15:I26)</f>
        <v>0</v>
      </c>
      <c r="J27" s="19" t="str">
        <f>SUM(J15:J26)</f>
        <v>0</v>
      </c>
      <c r="K27" s="19" t="str">
        <f>SUM(K15:K26)</f>
        <v>0</v>
      </c>
      <c r="L27" s="19" t="str">
        <f>SUM(L15:L26)</f>
        <v>0</v>
      </c>
      <c r="M27" s="19" t="str">
        <f>SUM(M15:M26)</f>
        <v>0</v>
      </c>
      <c r="N27" s="19" t="str">
        <f>SUM(N15:N26)</f>
        <v>0</v>
      </c>
      <c r="O27" s="19" t="str">
        <f>SUM(O15:O26)</f>
        <v>0</v>
      </c>
      <c r="P27" s="19" t="str">
        <f>SUM(P15:P26)</f>
        <v>0</v>
      </c>
      <c r="Q27" s="19" t="str">
        <f>SUM(Q15:Q26)</f>
        <v>0</v>
      </c>
      <c r="R27" s="19" t="str">
        <f>SUM(R15:R26)</f>
        <v>0</v>
      </c>
      <c r="S27" s="19" t="str">
        <f>SUM(S15:S26)</f>
        <v>0</v>
      </c>
      <c r="T27" s="19" t="str">
        <f>SUM(T15:T26)</f>
        <v>0</v>
      </c>
      <c r="U27" s="19" t="str">
        <f>SUM(U15:U26)</f>
        <v>0</v>
      </c>
      <c r="V27" s="19" t="str">
        <f>SUM(V15:V26)</f>
        <v>0</v>
      </c>
      <c r="W27" s="19" t="str">
        <f>SUM(W15:W26)</f>
        <v>0</v>
      </c>
      <c r="X27" s="19" t="str">
        <f>SUM(X15:X26)</f>
        <v>0</v>
      </c>
      <c r="Y27" s="19" t="str">
        <f>SUM(Y15:Y26)</f>
        <v>0</v>
      </c>
      <c r="Z27" s="19" t="str">
        <f>SUM(IF($B$7:$Y$7+$B$8:$Y$8&gt;0,B27:Y27,0))</f>
        <v>0</v>
      </c>
      <c r="AA27" s="19" t="str">
        <f>SUM(B27:M27)</f>
        <v>0</v>
      </c>
      <c r="AB27" s="19" t="str">
        <f>SUM(B27:Y27)</f>
        <v>0</v>
      </c>
      <c r="AC27" s="1"/>
      <c r="AD27" s="1"/>
    </row>
    <row r="28" spans="1:30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</row>
    <row r="30" spans="1:30">
      <c r="A30" s="3" t="s">
        <v>34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4"/>
    </row>
    <row r="32" spans="1:30">
      <c r="A32" s="5" t="s">
        <v>31</v>
      </c>
      <c r="B32" s="17" t="str">
        <f>B14</f>
        <v>0</v>
      </c>
      <c r="C32" s="17" t="str">
        <f>C14</f>
        <v>0</v>
      </c>
      <c r="D32" s="17" t="str">
        <f>D14</f>
        <v>0</v>
      </c>
      <c r="E32" s="17" t="str">
        <f>E14</f>
        <v>0</v>
      </c>
      <c r="F32" s="17" t="str">
        <f>F14</f>
        <v>0</v>
      </c>
      <c r="G32" s="17" t="str">
        <f>G14</f>
        <v>0</v>
      </c>
      <c r="H32" s="17" t="str">
        <f>H14</f>
        <v>0</v>
      </c>
      <c r="I32" s="17" t="str">
        <f>I14</f>
        <v>0</v>
      </c>
      <c r="J32" s="17" t="str">
        <f>J14</f>
        <v>0</v>
      </c>
      <c r="K32" s="17" t="str">
        <f>K14</f>
        <v>0</v>
      </c>
      <c r="L32" s="17" t="str">
        <f>L14</f>
        <v>0</v>
      </c>
      <c r="M32" s="17" t="str">
        <f>M14</f>
        <v>0</v>
      </c>
      <c r="N32" s="17" t="str">
        <f>N14</f>
        <v>0</v>
      </c>
      <c r="O32" s="17" t="str">
        <f>O14</f>
        <v>0</v>
      </c>
      <c r="P32" s="17" t="str">
        <f>P14</f>
        <v>0</v>
      </c>
      <c r="Q32" s="17" t="str">
        <f>Q14</f>
        <v>0</v>
      </c>
      <c r="R32" s="17" t="str">
        <f>R14</f>
        <v>0</v>
      </c>
      <c r="S32" s="17" t="str">
        <f>S14</f>
        <v>0</v>
      </c>
      <c r="T32" s="17" t="str">
        <f>T14</f>
        <v>0</v>
      </c>
      <c r="U32" s="17" t="str">
        <f>U14</f>
        <v>0</v>
      </c>
      <c r="V32" s="17" t="str">
        <f>V14</f>
        <v>0</v>
      </c>
      <c r="W32" s="17" t="str">
        <f>W14</f>
        <v>0</v>
      </c>
      <c r="X32" s="17" t="str">
        <f>X14</f>
        <v>0</v>
      </c>
      <c r="Y32" s="17" t="str">
        <f>Y14</f>
        <v>0</v>
      </c>
      <c r="Z32" s="47" t="str">
        <f>Z14</f>
        <v>0</v>
      </c>
      <c r="AA32" s="47" t="s">
        <v>22</v>
      </c>
      <c r="AB32" s="47" t="str">
        <f>AB14</f>
        <v>0</v>
      </c>
    </row>
    <row r="33" spans="1:30">
      <c r="A33" t="s">
        <v>35</v>
      </c>
      <c r="B33" s="36" t="str">
        <f>N33</f>
        <v>0</v>
      </c>
      <c r="C33" s="36" t="str">
        <f>O33</f>
        <v>0</v>
      </c>
      <c r="D33" s="36" t="str">
        <f>P33</f>
        <v>0</v>
      </c>
      <c r="E33" s="36" t="str">
        <f>Q33</f>
        <v>0</v>
      </c>
      <c r="F33" s="36" t="str">
        <f>R33</f>
        <v>0</v>
      </c>
      <c r="G33" s="36" t="str">
        <f>S33</f>
        <v>0</v>
      </c>
      <c r="H33" s="36" t="str">
        <f>T33</f>
        <v>0</v>
      </c>
      <c r="I33" s="36" t="str">
        <f>U33</f>
        <v>0</v>
      </c>
      <c r="J33" s="36" t="str">
        <f>V33</f>
        <v>0</v>
      </c>
      <c r="K33" s="36" t="str">
        <f>W33</f>
        <v>0</v>
      </c>
      <c r="L33" s="36" t="str">
        <f>X33</f>
        <v>0</v>
      </c>
      <c r="M33" s="36" t="str">
        <f>Y33</f>
        <v>0</v>
      </c>
      <c r="N33" s="36" t="str">
        <f>SUM(IF(Calculations!$S4:$S8=0,Calculations!$W4:$W8/12,IFERROR(IF(MONTH(Calculations!$B$4:$B$8)=MONTH(Output!N$32),Calculations!$W$4:$W$8,0),0)+IFERROR(IF(MONTH(Calculations!$C$4:$C$8)=MONTH(Output!N$32),Calculations!$X$4:$X$8,0),0)+IFERROR(IF(MONTH(Calculations!$E$4:$E$8)=MONTH(Output!N$32),Calculations!$W$4:$W$8,0),0)+IFERROR(IF(MONTH(Calculations!$F$4:$F$8)=MONTH(Output!N$32),Calculations!$X$4:$X$8,0),0)))</f>
        <v>0</v>
      </c>
      <c r="O33" s="36" t="str">
        <f>SUM(IF(Calculations!$S4:$S8=0,Calculations!$W4:$W8/12,IFERROR(IF(MONTH(Calculations!$B$4:$B$8)=MONTH(Output!O$32),Calculations!$W$4:$W$8,0),0)+IFERROR(IF(MONTH(Calculations!$C$4:$C$8)=MONTH(Output!O$32),Calculations!$X$4:$X$8,0),0)+IFERROR(IF(MONTH(Calculations!$E$4:$E$8)=MONTH(Output!O$32),Calculations!$W$4:$W$8,0),0)+IFERROR(IF(MONTH(Calculations!$F$4:$F$8)=MONTH(Output!O$32),Calculations!$X$4:$X$8,0),0)))</f>
        <v>0</v>
      </c>
      <c r="P33" s="36" t="str">
        <f>SUM(IF(Calculations!$S4:$S8=0,Calculations!$W4:$W8/12,IFERROR(IF(MONTH(Calculations!$B$4:$B$8)=MONTH(Output!P$32),Calculations!$W$4:$W$8,0),0)+IFERROR(IF(MONTH(Calculations!$C$4:$C$8)=MONTH(Output!P$32),Calculations!$X$4:$X$8,0),0)+IFERROR(IF(MONTH(Calculations!$E$4:$E$8)=MONTH(Output!P$32),Calculations!$W$4:$W$8,0),0)+IFERROR(IF(MONTH(Calculations!$F$4:$F$8)=MONTH(Output!P$32),Calculations!$X$4:$X$8,0),0)))</f>
        <v>0</v>
      </c>
      <c r="Q33" s="36" t="str">
        <f>SUM(IF(Calculations!$S4:$S8=0,Calculations!$W4:$W8/12,IFERROR(IF(MONTH(Calculations!$B$4:$B$8)=MONTH(Output!Q$32),Calculations!$W$4:$W$8,0),0)+IFERROR(IF(MONTH(Calculations!$C$4:$C$8)=MONTH(Output!Q$32),Calculations!$X$4:$X$8,0),0)+IFERROR(IF(MONTH(Calculations!$E$4:$E$8)=MONTH(Output!Q$32),Calculations!$W$4:$W$8,0),0)+IFERROR(IF(MONTH(Calculations!$F$4:$F$8)=MONTH(Output!Q$32),Calculations!$X$4:$X$8,0),0)))</f>
        <v>0</v>
      </c>
      <c r="R33" s="36" t="str">
        <f>SUM(IF(Calculations!$S4:$S8=0,Calculations!$W4:$W8/12,IFERROR(IF(MONTH(Calculations!$B$4:$B$8)=MONTH(Output!R$32),Calculations!$W$4:$W$8,0),0)+IFERROR(IF(MONTH(Calculations!$C$4:$C$8)=MONTH(Output!R$32),Calculations!$X$4:$X$8,0),0)+IFERROR(IF(MONTH(Calculations!$E$4:$E$8)=MONTH(Output!R$32),Calculations!$W$4:$W$8,0),0)+IFERROR(IF(MONTH(Calculations!$F$4:$F$8)=MONTH(Output!R$32),Calculations!$X$4:$X$8,0),0)))</f>
        <v>0</v>
      </c>
      <c r="S33" s="36" t="str">
        <f>SUM(IF(Calculations!$S4:$S8=0,Calculations!$W4:$W8/12,IFERROR(IF(MONTH(Calculations!$B$4:$B$8)=MONTH(Output!S$32),Calculations!$W$4:$W$8,0),0)+IFERROR(IF(MONTH(Calculations!$C$4:$C$8)=MONTH(Output!S$32),Calculations!$X$4:$X$8,0),0)+IFERROR(IF(MONTH(Calculations!$E$4:$E$8)=MONTH(Output!S$32),Calculations!$W$4:$W$8,0),0)+IFERROR(IF(MONTH(Calculations!$F$4:$F$8)=MONTH(Output!S$32),Calculations!$X$4:$X$8,0),0)))</f>
        <v>0</v>
      </c>
      <c r="T33" s="36" t="str">
        <f>SUM(IF(Calculations!$S4:$S8=0,Calculations!$W4:$W8/12,IFERROR(IF(MONTH(Calculations!$B$4:$B$8)=MONTH(Output!T$32),Calculations!$W$4:$W$8,0),0)+IFERROR(IF(MONTH(Calculations!$C$4:$C$8)=MONTH(Output!T$32),Calculations!$X$4:$X$8,0),0)+IFERROR(IF(MONTH(Calculations!$E$4:$E$8)=MONTH(Output!T$32),Calculations!$W$4:$W$8,0),0)+IFERROR(IF(MONTH(Calculations!$F$4:$F$8)=MONTH(Output!T$32),Calculations!$X$4:$X$8,0),0)))</f>
        <v>0</v>
      </c>
      <c r="U33" s="36" t="str">
        <f>SUM(IF(Calculations!$S4:$S8=0,Calculations!$W4:$W8/12,IFERROR(IF(MONTH(Calculations!$B$4:$B$8)=MONTH(Output!U$32),Calculations!$W$4:$W$8,0),0)+IFERROR(IF(MONTH(Calculations!$C$4:$C$8)=MONTH(Output!U$32),Calculations!$X$4:$X$8,0),0)+IFERROR(IF(MONTH(Calculations!$E$4:$E$8)=MONTH(Output!U$32),Calculations!$W$4:$W$8,0),0)+IFERROR(IF(MONTH(Calculations!$F$4:$F$8)=MONTH(Output!U$32),Calculations!$X$4:$X$8,0),0)))</f>
        <v>0</v>
      </c>
      <c r="V33" s="36" t="str">
        <f>SUM(IF(Calculations!$S4:$S8=0,Calculations!$W4:$W8/12,IFERROR(IF(MONTH(Calculations!$B$4:$B$8)=MONTH(Output!V$32),Calculations!$W$4:$W$8,0),0)+IFERROR(IF(MONTH(Calculations!$C$4:$C$8)=MONTH(Output!V$32),Calculations!$X$4:$X$8,0),0)+IFERROR(IF(MONTH(Calculations!$E$4:$E$8)=MONTH(Output!V$32),Calculations!$W$4:$W$8,0),0)+IFERROR(IF(MONTH(Calculations!$F$4:$F$8)=MONTH(Output!V$32),Calculations!$X$4:$X$8,0),0)))</f>
        <v>0</v>
      </c>
      <c r="W33" s="36" t="str">
        <f>SUM(IF(Calculations!$S4:$S8=0,Calculations!$W4:$W8/12,IFERROR(IF(MONTH(Calculations!$B$4:$B$8)=MONTH(Output!W$32),Calculations!$W$4:$W$8,0),0)+IFERROR(IF(MONTH(Calculations!$C$4:$C$8)=MONTH(Output!W$32),Calculations!$X$4:$X$8,0),0)+IFERROR(IF(MONTH(Calculations!$E$4:$E$8)=MONTH(Output!W$32),Calculations!$W$4:$W$8,0),0)+IFERROR(IF(MONTH(Calculations!$F$4:$F$8)=MONTH(Output!W$32),Calculations!$X$4:$X$8,0),0)))</f>
        <v>0</v>
      </c>
      <c r="X33" s="36" t="str">
        <f>SUM(IF(Calculations!$S4:$S8=0,Calculations!$W4:$W8/12,IFERROR(IF(MONTH(Calculations!$B$4:$B$8)=MONTH(Output!X$32),Calculations!$W$4:$W$8,0),0)+IFERROR(IF(MONTH(Calculations!$C$4:$C$8)=MONTH(Output!X$32),Calculations!$X$4:$X$8,0),0)+IFERROR(IF(MONTH(Calculations!$E$4:$E$8)=MONTH(Output!X$32),Calculations!$W$4:$W$8,0),0)+IFERROR(IF(MONTH(Calculations!$F$4:$F$8)=MONTH(Output!X$32),Calculations!$X$4:$X$8,0),0)))</f>
        <v>0</v>
      </c>
      <c r="Y33" s="36" t="str">
        <f>SUM(IF(Calculations!$S4:$S8=0,Calculations!$W4:$W8/12,IFERROR(IF(MONTH(Calculations!$B$4:$B$8)=MONTH(Output!Y$32),Calculations!$W$4:$W$8,0),0)+IFERROR(IF(MONTH(Calculations!$C$4:$C$8)=MONTH(Output!Y$32),Calculations!$X$4:$X$8,0),0)+IFERROR(IF(MONTH(Calculations!$E$4:$E$8)=MONTH(Output!Y$32),Calculations!$W$4:$W$8,0),0)+IFERROR(IF(MONTH(Calculations!$F$4:$F$8)=MONTH(Output!Y$32),Calculations!$X$4:$X$8,0),0)))</f>
        <v>0</v>
      </c>
      <c r="Z33" s="36" t="str">
        <f>SUM(IF($B$7:$Y$7+$B$8:$Y$8&gt;0,B33:Y33,0))</f>
        <v>0</v>
      </c>
      <c r="AA33" s="36" t="str">
        <f>SUM(B33:M33)</f>
        <v>0</v>
      </c>
      <c r="AB33" s="36" t="str">
        <f>SUM(B33:Y33)</f>
        <v>0</v>
      </c>
      <c r="AC33" s="74"/>
    </row>
    <row r="34" spans="1:30">
      <c r="A34" t="s">
        <v>36</v>
      </c>
      <c r="B34" s="36" t="str">
        <f>N34</f>
        <v>0</v>
      </c>
      <c r="C34" s="36" t="str">
        <f>O34</f>
        <v>0</v>
      </c>
      <c r="D34" s="36" t="str">
        <f>P34</f>
        <v>0</v>
      </c>
      <c r="E34" s="36" t="str">
        <f>Q34</f>
        <v>0</v>
      </c>
      <c r="F34" s="36" t="str">
        <f>R34</f>
        <v>0</v>
      </c>
      <c r="G34" s="36" t="str">
        <f>S34</f>
        <v>0</v>
      </c>
      <c r="H34" s="36" t="str">
        <f>T34</f>
        <v>0</v>
      </c>
      <c r="I34" s="36" t="str">
        <f>U34</f>
        <v>0</v>
      </c>
      <c r="J34" s="36" t="str">
        <f>V34</f>
        <v>0</v>
      </c>
      <c r="K34" s="36" t="str">
        <f>W34</f>
        <v>0</v>
      </c>
      <c r="L34" s="36" t="str">
        <f>X34</f>
        <v>0</v>
      </c>
      <c r="M34" s="36" t="str">
        <f>Y34</f>
        <v>0</v>
      </c>
      <c r="N34" s="36" t="str">
        <f>SUM(IFERROR(IF(MONTH(Calculations!$B$4:$B$8)=MONTH(Output!N$32),Calculations!$V$4:$V$8,0),0)+IFERROR(IF(MONTH(Calculations!$E$4:$E$8)=MONTH(Output!N$32),Calculations!$V$4:$V$8,0),0))</f>
        <v>0</v>
      </c>
      <c r="O34" s="36" t="str">
        <f>SUM(IFERROR(IF(MONTH(Calculations!$B$4:$B$8)=MONTH(Output!O$32),Calculations!$V$4:$V$8,0),0)+IFERROR(IF(MONTH(Calculations!$E$4:$E$8)=MONTH(Output!O$32),Calculations!$V$4:$V$8,0),0))</f>
        <v>0</v>
      </c>
      <c r="P34" s="36" t="str">
        <f>SUM(IFERROR(IF(MONTH(Calculations!$B$4:$B$8)=MONTH(Output!P$32),Calculations!$V$4:$V$8,0),0)+IFERROR(IF(MONTH(Calculations!$E$4:$E$8)=MONTH(Output!P$32),Calculations!$V$4:$V$8,0),0))</f>
        <v>0</v>
      </c>
      <c r="Q34" s="36" t="str">
        <f>SUM(IFERROR(IF(MONTH(Calculations!$B$4:$B$8)=MONTH(Output!Q$32),Calculations!$V$4:$V$8,0),0)+IFERROR(IF(MONTH(Calculations!$E$4:$E$8)=MONTH(Output!Q$32),Calculations!$V$4:$V$8,0),0))</f>
        <v>0</v>
      </c>
      <c r="R34" s="36" t="str">
        <f>SUM(IFERROR(IF(MONTH(Calculations!$B$4:$B$8)=MONTH(Output!R$32),Calculations!$V$4:$V$8,0),0)+IFERROR(IF(MONTH(Calculations!$E$4:$E$8)=MONTH(Output!R$32),Calculations!$V$4:$V$8,0),0))</f>
        <v>0</v>
      </c>
      <c r="S34" s="36" t="str">
        <f>SUM(IFERROR(IF(MONTH(Calculations!$B$4:$B$8)=MONTH(Output!S$32),Calculations!$V$4:$V$8,0),0)+IFERROR(IF(MONTH(Calculations!$E$4:$E$8)=MONTH(Output!S$32),Calculations!$V$4:$V$8,0),0))</f>
        <v>0</v>
      </c>
      <c r="T34" s="36" t="str">
        <f>SUM(IFERROR(IF(MONTH(Calculations!$B$4:$B$8)=MONTH(Output!T$32),Calculations!$V$4:$V$8,0),0)+IFERROR(IF(MONTH(Calculations!$E$4:$E$8)=MONTH(Output!T$32),Calculations!$V$4:$V$8,0),0))</f>
        <v>0</v>
      </c>
      <c r="U34" s="36" t="str">
        <f>SUM(IFERROR(IF(MONTH(Calculations!$B$4:$B$8)=MONTH(Output!U$32),Calculations!$V$4:$V$8,0),0)+IFERROR(IF(MONTH(Calculations!$E$4:$E$8)=MONTH(Output!U$32),Calculations!$V$4:$V$8,0),0))</f>
        <v>0</v>
      </c>
      <c r="V34" s="36" t="str">
        <f>SUM(IFERROR(IF(MONTH(Calculations!$B$4:$B$8)=MONTH(Output!V$32),Calculations!$V$4:$V$8,0),0)+IFERROR(IF(MONTH(Calculations!$E$4:$E$8)=MONTH(Output!V$32),Calculations!$V$4:$V$8,0),0))</f>
        <v>0</v>
      </c>
      <c r="W34" s="36" t="str">
        <f>SUM(IFERROR(IF(MONTH(Calculations!$B$4:$B$8)=MONTH(Output!W$32),Calculations!$V$4:$V$8,0),0)+IFERROR(IF(MONTH(Calculations!$E$4:$E$8)=MONTH(Output!W$32),Calculations!$V$4:$V$8,0),0))</f>
        <v>0</v>
      </c>
      <c r="X34" s="36" t="str">
        <f>SUM(IFERROR(IF(MONTH(Calculations!$B$4:$B$8)=MONTH(Output!X$32),Calculations!$V$4:$V$8,0),0)+IFERROR(IF(MONTH(Calculations!$E$4:$E$8)=MONTH(Output!X$32),Calculations!$V$4:$V$8,0),0))</f>
        <v>0</v>
      </c>
      <c r="Y34" s="36" t="str">
        <f>SUM(IFERROR(IF(MONTH(Calculations!$B$4:$B$8)=MONTH(Output!Y$32),Calculations!$V$4:$V$8,0),0)+IFERROR(IF(MONTH(Calculations!$E$4:$E$8)=MONTH(Output!Y$32),Calculations!$V$4:$V$8,0),0))</f>
        <v>0</v>
      </c>
      <c r="Z34" s="36" t="str">
        <f>SUM(IF($B$7:$Y$7+$B$8:$Y$8&gt;0,B34:Y34,0))</f>
        <v>0</v>
      </c>
      <c r="AA34" s="36" t="str">
        <f>SUM(B34:M34)</f>
        <v>0</v>
      </c>
      <c r="AB34" s="36" t="str">
        <f>SUM(B34:Y34)</f>
        <v>0</v>
      </c>
    </row>
    <row r="35" spans="1:30">
      <c r="A35" s="43" t="s">
        <v>37</v>
      </c>
      <c r="B35" s="36" t="str">
        <f>N35</f>
        <v>0</v>
      </c>
      <c r="C35" s="36" t="str">
        <f>O35</f>
        <v>0</v>
      </c>
      <c r="D35" s="36" t="str">
        <f>P35</f>
        <v>0</v>
      </c>
      <c r="E35" s="36" t="str">
        <f>Q35</f>
        <v>0</v>
      </c>
      <c r="F35" s="36" t="str">
        <f>R35</f>
        <v>0</v>
      </c>
      <c r="G35" s="36" t="str">
        <f>S35</f>
        <v>0</v>
      </c>
      <c r="H35" s="36" t="str">
        <f>T35</f>
        <v>0</v>
      </c>
      <c r="I35" s="36" t="str">
        <f>U35</f>
        <v>0</v>
      </c>
      <c r="J35" s="36" t="str">
        <f>V35</f>
        <v>0</v>
      </c>
      <c r="K35" s="36" t="str">
        <f>W35</f>
        <v>0</v>
      </c>
      <c r="L35" s="36" t="str">
        <f>X35</f>
        <v>0</v>
      </c>
      <c r="M35" s="36" t="str">
        <f>Y35</f>
        <v>0</v>
      </c>
      <c r="N35" s="46" t="str">
        <f>SUM(IFERROR(IF(MONTH(Calculations!$C$4:$C$8)=MONTH(Output!N$32),Calculations!$Y$4:$Y$8,0),0)+IFERROR(IF(MONTH(Calculations!$F$4:$F$8)=MONTH(Output!N$32),Calculations!$Y$4:$Y$8,0),0))</f>
        <v>0</v>
      </c>
      <c r="O35" s="46" t="str">
        <f>SUM(IFERROR(IF(MONTH(Calculations!$C$4:$C$8)=MONTH(Output!O$32),Calculations!$Y$4:$Y$8,0),0)+IFERROR(IF(MONTH(Calculations!$F$4:$F$8)=MONTH(Output!O$32),Calculations!$Y$4:$Y$8,0),0))</f>
        <v>0</v>
      </c>
      <c r="P35" s="46" t="str">
        <f>SUM(IFERROR(IF(MONTH(Calculations!$C$4:$C$8)=MONTH(Output!P$32),Calculations!$Y$4:$Y$8,0),0)+IFERROR(IF(MONTH(Calculations!$F$4:$F$8)=MONTH(Output!P$32),Calculations!$Y$4:$Y$8,0),0))</f>
        <v>0</v>
      </c>
      <c r="Q35" s="46" t="str">
        <f>SUM(IFERROR(IF(MONTH(Calculations!$C$4:$C$8)=MONTH(Output!Q$32),Calculations!$Y$4:$Y$8,0),0)+IFERROR(IF(MONTH(Calculations!$F$4:$F$8)=MONTH(Output!Q$32),Calculations!$Y$4:$Y$8,0),0))</f>
        <v>0</v>
      </c>
      <c r="R35" s="46" t="str">
        <f>SUM(IFERROR(IF(MONTH(Calculations!$C$4:$C$8)=MONTH(Output!R$32),Calculations!$Y$4:$Y$8,0),0)+IFERROR(IF(MONTH(Calculations!$F$4:$F$8)=MONTH(Output!R$32),Calculations!$Y$4:$Y$8,0),0))</f>
        <v>0</v>
      </c>
      <c r="S35" s="46" t="str">
        <f>SUM(IFERROR(IF(MONTH(Calculations!$C$4:$C$8)=MONTH(Output!S$32),Calculations!$Y$4:$Y$8,0),0)+IFERROR(IF(MONTH(Calculations!$F$4:$F$8)=MONTH(Output!S$32),Calculations!$Y$4:$Y$8,0),0))</f>
        <v>0</v>
      </c>
      <c r="T35" s="46" t="str">
        <f>SUM(IFERROR(IF(MONTH(Calculations!$C$4:$C$8)=MONTH(Output!T$32),Calculations!$Y$4:$Y$8,0),0)+IFERROR(IF(MONTH(Calculations!$F$4:$F$8)=MONTH(Output!T$32),Calculations!$Y$4:$Y$8,0),0))</f>
        <v>0</v>
      </c>
      <c r="U35" s="46" t="str">
        <f>SUM(IFERROR(IF(MONTH(Calculations!$C$4:$C$8)=MONTH(Output!U$32),Calculations!$Y$4:$Y$8,0),0)+IFERROR(IF(MONTH(Calculations!$F$4:$F$8)=MONTH(Output!U$32),Calculations!$Y$4:$Y$8,0),0))</f>
        <v>0</v>
      </c>
      <c r="V35" s="46" t="str">
        <f>SUM(IFERROR(IF(MONTH(Calculations!$C$4:$C$8)=MONTH(Output!V$32),Calculations!$Y$4:$Y$8,0),0)+IFERROR(IF(MONTH(Calculations!$F$4:$F$8)=MONTH(Output!V$32),Calculations!$Y$4:$Y$8,0),0))</f>
        <v>0</v>
      </c>
      <c r="W35" s="46" t="str">
        <f>SUM(IFERROR(IF(MONTH(Calculations!$C$4:$C$8)=MONTH(Output!W$32),Calculations!$Y$4:$Y$8,0),0)+IFERROR(IF(MONTH(Calculations!$F$4:$F$8)=MONTH(Output!W$32),Calculations!$Y$4:$Y$8,0),0))</f>
        <v>0</v>
      </c>
      <c r="X35" s="46" t="str">
        <f>SUM(IFERROR(IF(MONTH(Calculations!$C$4:$C$8)=MONTH(Output!X$32),Calculations!$Y$4:$Y$8,0),0)+IFERROR(IF(MONTH(Calculations!$F$4:$F$8)=MONTH(Output!X$32),Calculations!$Y$4:$Y$8,0),0))</f>
        <v>0</v>
      </c>
      <c r="Y35" s="46" t="str">
        <f>SUM(IFERROR(IF(MONTH(Calculations!$C$4:$C$8)=MONTH(Output!Y$32),Calculations!$Y$4:$Y$8,0),0)+IFERROR(IF(MONTH(Calculations!$F$4:$F$8)=MONTH(Output!Y$32),Calculations!$Y$4:$Y$8,0),0))</f>
        <v>0</v>
      </c>
      <c r="Z35" s="46" t="str">
        <f>SUM(IF($B$7:$Y$7+$B$8:$Y$8&gt;0,B35:Y35,0))</f>
        <v>0</v>
      </c>
      <c r="AA35" s="46" t="str">
        <f>SUM(B35:M35)</f>
        <v>0</v>
      </c>
      <c r="AB35" s="46" t="str">
        <f>SUM(B35:Y35)</f>
        <v>0</v>
      </c>
    </row>
    <row r="36" spans="1:30">
      <c r="A36" s="16" t="s">
        <v>38</v>
      </c>
      <c r="B36" s="36" t="str">
        <f>N36</f>
        <v>0</v>
      </c>
      <c r="C36" s="36" t="str">
        <f>O36</f>
        <v>0</v>
      </c>
      <c r="D36" s="36" t="str">
        <f>P36</f>
        <v>0</v>
      </c>
      <c r="E36" s="36" t="str">
        <f>Q36</f>
        <v>0</v>
      </c>
      <c r="F36" s="36" t="str">
        <f>R36</f>
        <v>0</v>
      </c>
      <c r="G36" s="36" t="str">
        <f>S36</f>
        <v>0</v>
      </c>
      <c r="H36" s="36" t="str">
        <f>T36</f>
        <v>0</v>
      </c>
      <c r="I36" s="36" t="str">
        <f>U36</f>
        <v>0</v>
      </c>
      <c r="J36" s="36" t="str">
        <f>V36</f>
        <v>0</v>
      </c>
      <c r="K36" s="36" t="str">
        <f>W36</f>
        <v>0</v>
      </c>
      <c r="L36" s="36" t="str">
        <f>X36</f>
        <v>0</v>
      </c>
      <c r="M36" s="36" t="str">
        <f>Y36</f>
        <v>0</v>
      </c>
      <c r="N36" s="46" t="str">
        <f>SUM(IFERROR(IF(MONTH(Calculations!$D$4:$D$8)=MONTH(Output!N$32),Calculations!$AA$4:$AA$8,0),0)+IFERROR(IF(MONTH(Calculations!$G$4:$G$8)=MONTH(Output!N$32),Calculations!$AA$4:$AA$8,0),0))</f>
        <v>0</v>
      </c>
      <c r="O36" s="46" t="str">
        <f>SUM(IFERROR(IF(MONTH(Calculations!$D$4:$D$8)=MONTH(Output!O$32),Calculations!$AA$4:$AA$8,0),0)+IFERROR(IF(MONTH(Calculations!$G$4:$G$8)=MONTH(Output!O$32),Calculations!$AA$4:$AA$8,0),0))</f>
        <v>0</v>
      </c>
      <c r="P36" s="46" t="str">
        <f>SUM(IFERROR(IF(MONTH(Calculations!$D$4:$D$8)=MONTH(Output!P$32),Calculations!$AA$4:$AA$8,0),0)+IFERROR(IF(MONTH(Calculations!$G$4:$G$8)=MONTH(Output!P$32),Calculations!$AA$4:$AA$8,0),0))</f>
        <v>0</v>
      </c>
      <c r="Q36" s="46" t="str">
        <f>SUM(IFERROR(IF(MONTH(Calculations!$D$4:$D$8)=MONTH(Output!Q$32),Calculations!$AA$4:$AA$8,0),0)+IFERROR(IF(MONTH(Calculations!$G$4:$G$8)=MONTH(Output!Q$32),Calculations!$AA$4:$AA$8,0),0))</f>
        <v>0</v>
      </c>
      <c r="R36" s="46" t="str">
        <f>SUM(IFERROR(IF(MONTH(Calculations!$D$4:$D$8)=MONTH(Output!R$32),Calculations!$AA$4:$AA$8,0),0)+IFERROR(IF(MONTH(Calculations!$G$4:$G$8)=MONTH(Output!R$32),Calculations!$AA$4:$AA$8,0),0))</f>
        <v>0</v>
      </c>
      <c r="S36" s="46" t="str">
        <f>SUM(IFERROR(IF(MONTH(Calculations!$D$4:$D$8)=MONTH(Output!S$32),Calculations!$AA$4:$AA$8,0),0)+IFERROR(IF(MONTH(Calculations!$G$4:$G$8)=MONTH(Output!S$32),Calculations!$AA$4:$AA$8,0),0))</f>
        <v>0</v>
      </c>
      <c r="T36" s="46" t="str">
        <f>SUM(IFERROR(IF(MONTH(Calculations!$D$4:$D$8)=MONTH(Output!T$32),Calculations!$AA$4:$AA$8,0),0)+IFERROR(IF(MONTH(Calculations!$G$4:$G$8)=MONTH(Output!T$32),Calculations!$AA$4:$AA$8,0),0))</f>
        <v>0</v>
      </c>
      <c r="U36" s="46" t="str">
        <f>SUM(IFERROR(IF(MONTH(Calculations!$D$4:$D$8)=MONTH(Output!U$32),Calculations!$AA$4:$AA$8,0),0)+IFERROR(IF(MONTH(Calculations!$G$4:$G$8)=MONTH(Output!U$32),Calculations!$AA$4:$AA$8,0),0))</f>
        <v>0</v>
      </c>
      <c r="V36" s="46" t="str">
        <f>SUM(IFERROR(IF(MONTH(Calculations!$D$4:$D$8)=MONTH(Output!V$32),Calculations!$AA$4:$AA$8,0),0)+IFERROR(IF(MONTH(Calculations!$G$4:$G$8)=MONTH(Output!V$32),Calculations!$AA$4:$AA$8,0),0))</f>
        <v>0</v>
      </c>
      <c r="W36" s="46" t="str">
        <f>SUM(IFERROR(IF(MONTH(Calculations!$D$4:$D$8)=MONTH(Output!W$32),Calculations!$AA$4:$AA$8,0),0)+IFERROR(IF(MONTH(Calculations!$G$4:$G$8)=MONTH(Output!W$32),Calculations!$AA$4:$AA$8,0),0))</f>
        <v>0</v>
      </c>
      <c r="X36" s="46" t="str">
        <f>SUM(IFERROR(IF(MONTH(Calculations!$D$4:$D$8)=MONTH(Output!X$32),Calculations!$AA$4:$AA$8,0),0)+IFERROR(IF(MONTH(Calculations!$G$4:$G$8)=MONTH(Output!X$32),Calculations!$AA$4:$AA$8,0),0))</f>
        <v>0</v>
      </c>
      <c r="Y36" s="46" t="str">
        <f>SUM(IFERROR(IF(MONTH(Calculations!$D$4:$D$8)=MONTH(Output!Y$32),Calculations!$AA$4:$AA$8,0),0)+IFERROR(IF(MONTH(Calculations!$G$4:$G$8)=MONTH(Output!Y$32),Calculations!$AA$4:$AA$8,0),0))</f>
        <v>0</v>
      </c>
      <c r="Z36" s="46" t="str">
        <f>SUM(IF($B$7:$Y$7+$B$8:$Y$8&gt;0,B36:Y36,0))</f>
        <v>0</v>
      </c>
      <c r="AA36" s="46" t="str">
        <f>SUM(B36:M36)</f>
        <v>0</v>
      </c>
      <c r="AB36" s="46" t="str">
        <f>SUM(B36:Y36)</f>
        <v>0</v>
      </c>
    </row>
    <row r="37" spans="1:30">
      <c r="A37" s="16" t="s">
        <v>39</v>
      </c>
      <c r="B37" s="36" t="str">
        <f>N37</f>
        <v>0</v>
      </c>
      <c r="C37" s="36" t="str">
        <f>O37</f>
        <v>0</v>
      </c>
      <c r="D37" s="36" t="str">
        <f>P37</f>
        <v>0</v>
      </c>
      <c r="E37" s="36" t="str">
        <f>Q37</f>
        <v>0</v>
      </c>
      <c r="F37" s="36" t="str">
        <f>R37</f>
        <v>0</v>
      </c>
      <c r="G37" s="36" t="str">
        <f>S37</f>
        <v>0</v>
      </c>
      <c r="H37" s="36" t="str">
        <f>T37</f>
        <v>0</v>
      </c>
      <c r="I37" s="36" t="str">
        <f>U37</f>
        <v>0</v>
      </c>
      <c r="J37" s="36" t="str">
        <f>V37</f>
        <v>0</v>
      </c>
      <c r="K37" s="36" t="str">
        <f>W37</f>
        <v>0</v>
      </c>
      <c r="L37" s="36" t="str">
        <f>X37</f>
        <v>0</v>
      </c>
      <c r="M37" s="36" t="str">
        <f>Y37</f>
        <v>0</v>
      </c>
      <c r="N37" s="46" t="str">
        <f>SUM(IF(Calculations!$S$4:$S$8&lt;&gt;0,IFERROR(IF(MOD(MONTH(Output!N32)-MONTH(Calculations!$B$4:$B$8),12)&lt;=Calculations!$T$4:$T$8,Calculations!$Z$4:$Z$8/(Calculations!$T$4:$T$8+1),0),0)+IFERROR(IF(MOD(MONTH(Output!N32)-MONTH(Calculations!$E$4:$E$8),12)&lt;=Calculations!$T$4:$T$8,Calculations!$Z$4:$Z$8/(Calculations!$T$4:$T$8+1),0),0),Calculations!$Z$4:$Z$8/12))</f>
        <v>0</v>
      </c>
      <c r="O37" s="46" t="str">
        <f>SUM(IF(Calculations!$S$4:$S$8&lt;&gt;0,IFERROR(IF(MOD(MONTH(Output!O32)-MONTH(Calculations!$B$4:$B$8),12)&lt;=Calculations!$T$4:$T$8,Calculations!$Z$4:$Z$8/(Calculations!$T$4:$T$8+1),0),0)+IFERROR(IF(MOD(MONTH(Output!O32)-MONTH(Calculations!$E$4:$E$8),12)&lt;=Calculations!$T$4:$T$8,Calculations!$Z$4:$Z$8/(Calculations!$T$4:$T$8+1),0),0),Calculations!$Z$4:$Z$8/12))</f>
        <v>0</v>
      </c>
      <c r="P37" s="46" t="str">
        <f>SUM(IF(Calculations!$S$4:$S$8&lt;&gt;0,IFERROR(IF(MOD(MONTH(Output!P32)-MONTH(Calculations!$B$4:$B$8),12)&lt;=Calculations!$T$4:$T$8,Calculations!$Z$4:$Z$8/(Calculations!$T$4:$T$8+1),0),0)+IFERROR(IF(MOD(MONTH(Output!P32)-MONTH(Calculations!$E$4:$E$8),12)&lt;=Calculations!$T$4:$T$8,Calculations!$Z$4:$Z$8/(Calculations!$T$4:$T$8+1),0),0),Calculations!$Z$4:$Z$8/12))</f>
        <v>0</v>
      </c>
      <c r="Q37" s="46" t="str">
        <f>SUM(IF(Calculations!$S$4:$S$8&lt;&gt;0,IFERROR(IF(MOD(MONTH(Output!Q32)-MONTH(Calculations!$B$4:$B$8),12)&lt;=Calculations!$T$4:$T$8,Calculations!$Z$4:$Z$8/(Calculations!$T$4:$T$8+1),0),0)+IFERROR(IF(MOD(MONTH(Output!Q32)-MONTH(Calculations!$E$4:$E$8),12)&lt;=Calculations!$T$4:$T$8,Calculations!$Z$4:$Z$8/(Calculations!$T$4:$T$8+1),0),0),Calculations!$Z$4:$Z$8/12))</f>
        <v>0</v>
      </c>
      <c r="R37" s="46" t="str">
        <f>SUM(IF(Calculations!$S$4:$S$8&lt;&gt;0,IFERROR(IF(MOD(MONTH(Output!R32)-MONTH(Calculations!$B$4:$B$8),12)&lt;=Calculations!$T$4:$T$8,Calculations!$Z$4:$Z$8/(Calculations!$T$4:$T$8+1),0),0)+IFERROR(IF(MOD(MONTH(Output!R32)-MONTH(Calculations!$E$4:$E$8),12)&lt;=Calculations!$T$4:$T$8,Calculations!$Z$4:$Z$8/(Calculations!$T$4:$T$8+1),0),0),Calculations!$Z$4:$Z$8/12))</f>
        <v>0</v>
      </c>
      <c r="S37" s="46" t="str">
        <f>SUM(IF(Calculations!$S$4:$S$8&lt;&gt;0,IFERROR(IF(MOD(MONTH(Output!S32)-MONTH(Calculations!$B$4:$B$8),12)&lt;=Calculations!$T$4:$T$8,Calculations!$Z$4:$Z$8/(Calculations!$T$4:$T$8+1),0),0)+IFERROR(IF(MOD(MONTH(Output!S32)-MONTH(Calculations!$E$4:$E$8),12)&lt;=Calculations!$T$4:$T$8,Calculations!$Z$4:$Z$8/(Calculations!$T$4:$T$8+1),0),0),Calculations!$Z$4:$Z$8/12))</f>
        <v>0</v>
      </c>
      <c r="T37" s="46" t="str">
        <f>SUM(IF(Calculations!$S$4:$S$8&lt;&gt;0,IFERROR(IF(MOD(MONTH(Output!T32)-MONTH(Calculations!$B$4:$B$8),12)&lt;=Calculations!$T$4:$T$8,Calculations!$Z$4:$Z$8/(Calculations!$T$4:$T$8+1),0),0)+IFERROR(IF(MOD(MONTH(Output!T32)-MONTH(Calculations!$E$4:$E$8),12)&lt;=Calculations!$T$4:$T$8,Calculations!$Z$4:$Z$8/(Calculations!$T$4:$T$8+1),0),0),Calculations!$Z$4:$Z$8/12))</f>
        <v>0</v>
      </c>
      <c r="U37" s="46" t="str">
        <f>SUM(IF(Calculations!$S$4:$S$8&lt;&gt;0,IFERROR(IF(MOD(MONTH(Output!U32)-MONTH(Calculations!$B$4:$B$8),12)&lt;=Calculations!$T$4:$T$8,Calculations!$Z$4:$Z$8/(Calculations!$T$4:$T$8+1),0),0)+IFERROR(IF(MOD(MONTH(Output!U32)-MONTH(Calculations!$E$4:$E$8),12)&lt;=Calculations!$T$4:$T$8,Calculations!$Z$4:$Z$8/(Calculations!$T$4:$T$8+1),0),0),Calculations!$Z$4:$Z$8/12))</f>
        <v>0</v>
      </c>
      <c r="V37" s="46" t="str">
        <f>SUM(IF(Calculations!$S$4:$S$8&lt;&gt;0,IFERROR(IF(MOD(MONTH(Output!V32)-MONTH(Calculations!$B$4:$B$8),12)&lt;=Calculations!$T$4:$T$8,Calculations!$Z$4:$Z$8/(Calculations!$T$4:$T$8+1),0),0)+IFERROR(IF(MOD(MONTH(Output!V32)-MONTH(Calculations!$E$4:$E$8),12)&lt;=Calculations!$T$4:$T$8,Calculations!$Z$4:$Z$8/(Calculations!$T$4:$T$8+1),0),0),Calculations!$Z$4:$Z$8/12))</f>
        <v>0</v>
      </c>
      <c r="W37" s="46" t="str">
        <f>SUM(IF(Calculations!$S$4:$S$8&lt;&gt;0,IFERROR(IF(MOD(MONTH(Output!W32)-MONTH(Calculations!$B$4:$B$8),12)&lt;=Calculations!$T$4:$T$8,Calculations!$Z$4:$Z$8/(Calculations!$T$4:$T$8+1),0),0)+IFERROR(IF(MOD(MONTH(Output!W32)-MONTH(Calculations!$E$4:$E$8),12)&lt;=Calculations!$T$4:$T$8,Calculations!$Z$4:$Z$8/(Calculations!$T$4:$T$8+1),0),0),Calculations!$Z$4:$Z$8/12))</f>
        <v>0</v>
      </c>
      <c r="X37" s="46" t="str">
        <f>SUM(IF(Calculations!$S$4:$S$8&lt;&gt;0,IFERROR(IF(MOD(MONTH(Output!X32)-MONTH(Calculations!$B$4:$B$8),12)&lt;=Calculations!$T$4:$T$8,Calculations!$Z$4:$Z$8/(Calculations!$T$4:$T$8+1),0),0)+IFERROR(IF(MOD(MONTH(Output!X32)-MONTH(Calculations!$E$4:$E$8),12)&lt;=Calculations!$T$4:$T$8,Calculations!$Z$4:$Z$8/(Calculations!$T$4:$T$8+1),0),0),Calculations!$Z$4:$Z$8/12))</f>
        <v>0</v>
      </c>
      <c r="Y37" s="46" t="str">
        <f>SUM(IF(Calculations!$S$4:$S$8&lt;&gt;0,IFERROR(IF(MOD(MONTH(Output!Y32)-MONTH(Calculations!$B$4:$B$8),12)&lt;=Calculations!$T$4:$T$8,Calculations!$Z$4:$Z$8/(Calculations!$T$4:$T$8+1),0),0)+IFERROR(IF(MOD(MONTH(Output!Y32)-MONTH(Calculations!$E$4:$E$8),12)&lt;=Calculations!$T$4:$T$8,Calculations!$Z$4:$Z$8/(Calculations!$T$4:$T$8+1),0),0),Calculations!$Z$4:$Z$8/12))</f>
        <v>0</v>
      </c>
      <c r="Z37" s="46" t="str">
        <f>SUM(IF($B$7:$Y$7+$B$8:$Y$8&gt;0,B37:Y37,0))</f>
        <v>0</v>
      </c>
      <c r="AA37" s="46" t="str">
        <f>SUM(B37:M37)</f>
        <v>0</v>
      </c>
      <c r="AB37" s="46" t="str">
        <f>SUM(B37:Y37)</f>
        <v>0</v>
      </c>
    </row>
    <row r="38" spans="1:30">
      <c r="A38" s="43" t="s">
        <v>40</v>
      </c>
      <c r="B38" s="36" t="str">
        <f>N38</f>
        <v>0</v>
      </c>
      <c r="C38" s="36" t="str">
        <f>O38</f>
        <v>0</v>
      </c>
      <c r="D38" s="36" t="str">
        <f>P38</f>
        <v>0</v>
      </c>
      <c r="E38" s="36" t="str">
        <f>Q38</f>
        <v>0</v>
      </c>
      <c r="F38" s="36" t="str">
        <f>R38</f>
        <v>0</v>
      </c>
      <c r="G38" s="36" t="str">
        <f>S38</f>
        <v>0</v>
      </c>
      <c r="H38" s="36" t="str">
        <f>T38</f>
        <v>0</v>
      </c>
      <c r="I38" s="36" t="str">
        <f>U38</f>
        <v>0</v>
      </c>
      <c r="J38" s="36" t="str">
        <f>V38</f>
        <v>0</v>
      </c>
      <c r="K38" s="36" t="str">
        <f>W38</f>
        <v>0</v>
      </c>
      <c r="L38" s="36" t="str">
        <f>X38</f>
        <v>0</v>
      </c>
      <c r="M38" s="36" t="str">
        <f>Y38</f>
        <v>0</v>
      </c>
      <c r="N38" s="46" t="str">
        <f>SUM(IF(Calculations!$S$4:$S$8&lt;&gt;0,IFERROR(IF(MOD(MONTH(Output!N32)-MONTH(Calculations!$B$4:$B$8),12)&lt;=Calculations!$T$4:$T$8,Calculations!$AB$4:$AB$8/(Calculations!$T$4:$T$8+1),0),0)+IFERROR(IF(MOD(MONTH(Output!N32)-MONTH(Calculations!$E$4:$E$8),12)&lt;=Calculations!$T$4:$T$8,Calculations!$AB$4:$AB$8/(Calculations!$T$4:$T$8+1),0),0),Calculations!$AB$4:$AB$8/12)*(1-Inputs!$B$25/100))</f>
        <v>0</v>
      </c>
      <c r="O38" s="46" t="str">
        <f>SUM(IF(Calculations!$S$4:$S$8&lt;&gt;0,IFERROR(IF(MOD(MONTH(Output!O32)-MONTH(Calculations!$B$4:$B$8),12)&lt;=Calculations!$T$4:$T$8,Calculations!$AB$4:$AB$8/(Calculations!$T$4:$T$8+1),0),0)+IFERROR(IF(MOD(MONTH(Output!O32)-MONTH(Calculations!$E$4:$E$8),12)&lt;=Calculations!$T$4:$T$8,Calculations!$AB$4:$AB$8/(Calculations!$T$4:$T$8+1),0),0),Calculations!$AB$4:$AB$8/12)*(1-Inputs!$B$25/100))</f>
        <v>0</v>
      </c>
      <c r="P38" s="46" t="str">
        <f>SUM(IF(Calculations!$S$4:$S$8&lt;&gt;0,IFERROR(IF(MOD(MONTH(Output!P32)-MONTH(Calculations!$B$4:$B$8),12)&lt;=Calculations!$T$4:$T$8,Calculations!$AB$4:$AB$8/(Calculations!$T$4:$T$8+1),0),0)+IFERROR(IF(MOD(MONTH(Output!P32)-MONTH(Calculations!$E$4:$E$8),12)&lt;=Calculations!$T$4:$T$8,Calculations!$AB$4:$AB$8/(Calculations!$T$4:$T$8+1),0),0),Calculations!$AB$4:$AB$8/12)*(1-Inputs!$B$25/100))</f>
        <v>0</v>
      </c>
      <c r="Q38" s="46" t="str">
        <f>SUM(IF(Calculations!$S$4:$S$8&lt;&gt;0,IFERROR(IF(MOD(MONTH(Output!Q32)-MONTH(Calculations!$B$4:$B$8),12)&lt;=Calculations!$T$4:$T$8,Calculations!$AB$4:$AB$8/(Calculations!$T$4:$T$8+1),0),0)+IFERROR(IF(MOD(MONTH(Output!Q32)-MONTH(Calculations!$E$4:$E$8),12)&lt;=Calculations!$T$4:$T$8,Calculations!$AB$4:$AB$8/(Calculations!$T$4:$T$8+1),0),0),Calculations!$AB$4:$AB$8/12)*(1-Inputs!$B$25/100))</f>
        <v>0</v>
      </c>
      <c r="R38" s="46" t="str">
        <f>SUM(IF(Calculations!$S$4:$S$8&lt;&gt;0,IFERROR(IF(MOD(MONTH(Output!R32)-MONTH(Calculations!$B$4:$B$8),12)&lt;=Calculations!$T$4:$T$8,Calculations!$AB$4:$AB$8/(Calculations!$T$4:$T$8+1),0),0)+IFERROR(IF(MOD(MONTH(Output!R32)-MONTH(Calculations!$E$4:$E$8),12)&lt;=Calculations!$T$4:$T$8,Calculations!$AB$4:$AB$8/(Calculations!$T$4:$T$8+1),0),0),Calculations!$AB$4:$AB$8/12)*(1-Inputs!$B$25/100))</f>
        <v>0</v>
      </c>
      <c r="S38" s="46" t="str">
        <f>SUM(IF(Calculations!$S$4:$S$8&lt;&gt;0,IFERROR(IF(MOD(MONTH(Output!S32)-MONTH(Calculations!$B$4:$B$8),12)&lt;=Calculations!$T$4:$T$8,Calculations!$AB$4:$AB$8/(Calculations!$T$4:$T$8+1),0),0)+IFERROR(IF(MOD(MONTH(Output!S32)-MONTH(Calculations!$E$4:$E$8),12)&lt;=Calculations!$T$4:$T$8,Calculations!$AB$4:$AB$8/(Calculations!$T$4:$T$8+1),0),0),Calculations!$AB$4:$AB$8/12)*(1-Inputs!$B$25/100))</f>
        <v>0</v>
      </c>
      <c r="T38" s="46" t="str">
        <f>SUM(IF(Calculations!$S$4:$S$8&lt;&gt;0,IFERROR(IF(MOD(MONTH(Output!T32)-MONTH(Calculations!$B$4:$B$8),12)&lt;=Calculations!$T$4:$T$8,Calculations!$AB$4:$AB$8/(Calculations!$T$4:$T$8+1),0),0)+IFERROR(IF(MOD(MONTH(Output!T32)-MONTH(Calculations!$E$4:$E$8),12)&lt;=Calculations!$T$4:$T$8,Calculations!$AB$4:$AB$8/(Calculations!$T$4:$T$8+1),0),0),Calculations!$AB$4:$AB$8/12)*(1-Inputs!$B$25/100))</f>
        <v>0</v>
      </c>
      <c r="U38" s="46" t="str">
        <f>SUM(IF(Calculations!$S$4:$S$8&lt;&gt;0,IFERROR(IF(MOD(MONTH(Output!U32)-MONTH(Calculations!$B$4:$B$8),12)&lt;=Calculations!$T$4:$T$8,Calculations!$AB$4:$AB$8/(Calculations!$T$4:$T$8+1),0),0)+IFERROR(IF(MOD(MONTH(Output!U32)-MONTH(Calculations!$E$4:$E$8),12)&lt;=Calculations!$T$4:$T$8,Calculations!$AB$4:$AB$8/(Calculations!$T$4:$T$8+1),0),0),Calculations!$AB$4:$AB$8/12)*(1-Inputs!$B$25/100))</f>
        <v>0</v>
      </c>
      <c r="V38" s="46" t="str">
        <f>SUM(IF(Calculations!$S$4:$S$8&lt;&gt;0,IFERROR(IF(MOD(MONTH(Output!V32)-MONTH(Calculations!$B$4:$B$8),12)&lt;=Calculations!$T$4:$T$8,Calculations!$AB$4:$AB$8/(Calculations!$T$4:$T$8+1),0),0)+IFERROR(IF(MOD(MONTH(Output!V32)-MONTH(Calculations!$E$4:$E$8),12)&lt;=Calculations!$T$4:$T$8,Calculations!$AB$4:$AB$8/(Calculations!$T$4:$T$8+1),0),0),Calculations!$AB$4:$AB$8/12)*(1-Inputs!$B$25/100))</f>
        <v>0</v>
      </c>
      <c r="W38" s="46" t="str">
        <f>SUM(IF(Calculations!$S$4:$S$8&lt;&gt;0,IFERROR(IF(MOD(MONTH(Output!W32)-MONTH(Calculations!$B$4:$B$8),12)&lt;=Calculations!$T$4:$T$8,Calculations!$AB$4:$AB$8/(Calculations!$T$4:$T$8+1),0),0)+IFERROR(IF(MOD(MONTH(Output!W32)-MONTH(Calculations!$E$4:$E$8),12)&lt;=Calculations!$T$4:$T$8,Calculations!$AB$4:$AB$8/(Calculations!$T$4:$T$8+1),0),0),Calculations!$AB$4:$AB$8/12)*(1-Inputs!$B$25/100))</f>
        <v>0</v>
      </c>
      <c r="X38" s="46" t="str">
        <f>SUM(IF(Calculations!$S$4:$S$8&lt;&gt;0,IFERROR(IF(MOD(MONTH(Output!X32)-MONTH(Calculations!$B$4:$B$8),12)&lt;=Calculations!$T$4:$T$8,Calculations!$AB$4:$AB$8/(Calculations!$T$4:$T$8+1),0),0)+IFERROR(IF(MOD(MONTH(Output!X32)-MONTH(Calculations!$E$4:$E$8),12)&lt;=Calculations!$T$4:$T$8,Calculations!$AB$4:$AB$8/(Calculations!$T$4:$T$8+1),0),0),Calculations!$AB$4:$AB$8/12)*(1-Inputs!$B$25/100))</f>
        <v>0</v>
      </c>
      <c r="Y38" s="46" t="str">
        <f>SUM(IF(Calculations!$S$4:$S$8&lt;&gt;0,IFERROR(IF(MOD(MONTH(Output!Y32)-MONTH(Calculations!$B$4:$B$8),12)&lt;=Calculations!$T$4:$T$8,Calculations!$AB$4:$AB$8/(Calculations!$T$4:$T$8+1),0),0)+IFERROR(IF(MOD(MONTH(Output!Y32)-MONTH(Calculations!$E$4:$E$8),12)&lt;=Calculations!$T$4:$T$8,Calculations!$AB$4:$AB$8/(Calculations!$T$4:$T$8+1),0),0),Calculations!$AB$4:$AB$8/12)*(1-Inputs!$B$25/100))</f>
        <v>0</v>
      </c>
      <c r="Z38" s="46" t="str">
        <f>SUM(IF($B$7:$Y$7+$B$8:$Y$8&gt;0,B38:Y38,0))</f>
        <v>0</v>
      </c>
      <c r="AA38" s="46" t="str">
        <f>SUM(B38:M38)</f>
        <v>0</v>
      </c>
      <c r="AB38" s="46" t="str">
        <f>SUM(B38:Y38)</f>
        <v>0</v>
      </c>
    </row>
    <row r="39" spans="1:30">
      <c r="A39" s="16" t="s">
        <v>41</v>
      </c>
      <c r="B39" s="46" t="str">
        <f>IF(Inputs!$B$40="No",IF(Inputs!$B$42=Parameters!$C$75,Inputs!$B$41/12,IF(INDEX(Parameters!$D$76:$D$87,MATCH(Inputs!$B$42,Parameters!$C$76:$C$87,0))=MONTH(Output!B32),Inputs!$B$41,0)),0)</f>
        <v>0</v>
      </c>
      <c r="C39" s="46" t="str">
        <f>IF(Inputs!$B$40="No",IF(Inputs!$B$42=Parameters!$C$75,Inputs!$B$41/12,IF(INDEX(Parameters!$D$76:$D$87,MATCH(Inputs!$B$42,Parameters!$C$76:$C$87,0))=MONTH(Output!C32),Inputs!$B$41,0)),0)</f>
        <v>0</v>
      </c>
      <c r="D39" s="46" t="str">
        <f>IF(Inputs!$B$40="No",IF(Inputs!$B$42=Parameters!$C$75,Inputs!$B$41/12,IF(INDEX(Parameters!$D$76:$D$87,MATCH(Inputs!$B$42,Parameters!$C$76:$C$87,0))=MONTH(Output!D32),Inputs!$B$41,0)),0)</f>
        <v>0</v>
      </c>
      <c r="E39" s="46" t="str">
        <f>IF(Inputs!$B$40="No",IF(Inputs!$B$42=Parameters!$C$75,Inputs!$B$41/12,IF(INDEX(Parameters!$D$76:$D$87,MATCH(Inputs!$B$42,Parameters!$C$76:$C$87,0))=MONTH(Output!E32),Inputs!$B$41,0)),0)</f>
        <v>0</v>
      </c>
      <c r="F39" s="46" t="str">
        <f>IF(Inputs!$B$40="No",IF(Inputs!$B$42=Parameters!$C$75,Inputs!$B$41/12,IF(INDEX(Parameters!$D$76:$D$87,MATCH(Inputs!$B$42,Parameters!$C$76:$C$87,0))=MONTH(Output!F32),Inputs!$B$41,0)),0)</f>
        <v>0</v>
      </c>
      <c r="G39" s="46" t="str">
        <f>IF(Inputs!$B$40="No",IF(Inputs!$B$42=Parameters!$C$75,Inputs!$B$41/12,IF(INDEX(Parameters!$D$76:$D$87,MATCH(Inputs!$B$42,Parameters!$C$76:$C$87,0))=MONTH(Output!G32),Inputs!$B$41,0)),0)</f>
        <v>0</v>
      </c>
      <c r="H39" s="46" t="str">
        <f>IF(Inputs!$B$40="No",IF(Inputs!$B$42=Parameters!$C$75,Inputs!$B$41/12,IF(INDEX(Parameters!$D$76:$D$87,MATCH(Inputs!$B$42,Parameters!$C$76:$C$87,0))=MONTH(Output!H32),Inputs!$B$41,0)),0)</f>
        <v>0</v>
      </c>
      <c r="I39" s="46" t="str">
        <f>IF(Inputs!$B$40="No",IF(Inputs!$B$42=Parameters!$C$75,Inputs!$B$41/12,IF(INDEX(Parameters!$D$76:$D$87,MATCH(Inputs!$B$42,Parameters!$C$76:$C$87,0))=MONTH(Output!I32),Inputs!$B$41,0)),0)</f>
        <v>0</v>
      </c>
      <c r="J39" s="46" t="str">
        <f>IF(Inputs!$B$40="No",IF(Inputs!$B$42=Parameters!$C$75,Inputs!$B$41/12,IF(INDEX(Parameters!$D$76:$D$87,MATCH(Inputs!$B$42,Parameters!$C$76:$C$87,0))=MONTH(Output!J32),Inputs!$B$41,0)),0)</f>
        <v>0</v>
      </c>
      <c r="K39" s="46" t="str">
        <f>IF(Inputs!$B$40="No",IF(Inputs!$B$42=Parameters!$C$75,Inputs!$B$41/12,IF(INDEX(Parameters!$D$76:$D$87,MATCH(Inputs!$B$42,Parameters!$C$76:$C$87,0))=MONTH(Output!K32),Inputs!$B$41,0)),0)</f>
        <v>0</v>
      </c>
      <c r="L39" s="46" t="str">
        <f>IF(Inputs!$B$40="No",IF(Inputs!$B$42=Parameters!$C$75,Inputs!$B$41/12,IF(INDEX(Parameters!$D$76:$D$87,MATCH(Inputs!$B$42,Parameters!$C$76:$C$87,0))=MONTH(Output!L32),Inputs!$B$41,0)),0)</f>
        <v>0</v>
      </c>
      <c r="M39" s="46" t="str">
        <f>IF(Inputs!$B$40="No",IF(Inputs!$B$42=Parameters!$C$75,Inputs!$B$41/12,IF(INDEX(Parameters!$D$76:$D$87,MATCH(Inputs!$B$42,Parameters!$C$76:$C$87,0))=MONTH(Output!M32),Inputs!$B$41,0)),0)</f>
        <v>0</v>
      </c>
      <c r="N39" s="46" t="str">
        <f>IF(Inputs!$B$40="No",IF(Inputs!$B$42=Parameters!$C$75,Inputs!$B$41/12,IF(INDEX(Parameters!$D$76:$D$87,MATCH(Inputs!$B$42,Parameters!$C$76:$C$87,0))=MONTH(Output!N32),Inputs!$B$41,0)),0)</f>
        <v>0</v>
      </c>
      <c r="O39" s="46" t="str">
        <f>IF(Inputs!$B$40="No",IF(Inputs!$B$42=Parameters!$C$75,Inputs!$B$41/12,IF(INDEX(Parameters!$D$76:$D$87,MATCH(Inputs!$B$42,Parameters!$C$76:$C$87,0))=MONTH(Output!O32),Inputs!$B$41,0)),0)</f>
        <v>0</v>
      </c>
      <c r="P39" s="46" t="str">
        <f>IF(Inputs!$B$40="No",IF(Inputs!$B$42=Parameters!$C$75,Inputs!$B$41/12,IF(INDEX(Parameters!$D$76:$D$87,MATCH(Inputs!$B$42,Parameters!$C$76:$C$87,0))=MONTH(Output!P32),Inputs!$B$41,0)),0)</f>
        <v>0</v>
      </c>
      <c r="Q39" s="46" t="str">
        <f>IF(Inputs!$B$40="No",IF(Inputs!$B$42=Parameters!$C$75,Inputs!$B$41/12,IF(INDEX(Parameters!$D$76:$D$87,MATCH(Inputs!$B$42,Parameters!$C$76:$C$87,0))=MONTH(Output!Q32),Inputs!$B$41,0)),0)</f>
        <v>0</v>
      </c>
      <c r="R39" s="46" t="str">
        <f>IF(Inputs!$B$40="No",IF(Inputs!$B$42=Parameters!$C$75,Inputs!$B$41/12,IF(INDEX(Parameters!$D$76:$D$87,MATCH(Inputs!$B$42,Parameters!$C$76:$C$87,0))=MONTH(Output!R32),Inputs!$B$41,0)),0)</f>
        <v>0</v>
      </c>
      <c r="S39" s="46" t="str">
        <f>IF(Inputs!$B$40="No",IF(Inputs!$B$42=Parameters!$C$75,Inputs!$B$41/12,IF(INDEX(Parameters!$D$76:$D$87,MATCH(Inputs!$B$42,Parameters!$C$76:$C$87,0))=MONTH(Output!S32),Inputs!$B$41,0)),0)</f>
        <v>0</v>
      </c>
      <c r="T39" s="46" t="str">
        <f>IF(Inputs!$B$40="No",IF(Inputs!$B$42=Parameters!$C$75,Inputs!$B$41/12,IF(INDEX(Parameters!$D$76:$D$87,MATCH(Inputs!$B$42,Parameters!$C$76:$C$87,0))=MONTH(Output!T32),Inputs!$B$41,0)),0)</f>
        <v>0</v>
      </c>
      <c r="U39" s="46" t="str">
        <f>IF(Inputs!$B$40="No",IF(Inputs!$B$42=Parameters!$C$75,Inputs!$B$41/12,IF(INDEX(Parameters!$D$76:$D$87,MATCH(Inputs!$B$42,Parameters!$C$76:$C$87,0))=MONTH(Output!U32),Inputs!$B$41,0)),0)</f>
        <v>0</v>
      </c>
      <c r="V39" s="46" t="str">
        <f>IF(Inputs!$B$40="No",IF(Inputs!$B$42=Parameters!$C$75,Inputs!$B$41/12,IF(INDEX(Parameters!$D$76:$D$87,MATCH(Inputs!$B$42,Parameters!$C$76:$C$87,0))=MONTH(Output!V32),Inputs!$B$41,0)),0)</f>
        <v>0</v>
      </c>
      <c r="W39" s="46" t="str">
        <f>IF(Inputs!$B$40="No",IF(Inputs!$B$42=Parameters!$C$75,Inputs!$B$41/12,IF(INDEX(Parameters!$D$76:$D$87,MATCH(Inputs!$B$42,Parameters!$C$76:$C$87,0))=MONTH(Output!W32),Inputs!$B$41,0)),0)</f>
        <v>0</v>
      </c>
      <c r="X39" s="46" t="str">
        <f>IF(Inputs!$B$40="No",IF(Inputs!$B$42=Parameters!$C$75,Inputs!$B$41/12,IF(INDEX(Parameters!$D$76:$D$87,MATCH(Inputs!$B$42,Parameters!$C$76:$C$87,0))=MONTH(Output!X32),Inputs!$B$41,0)),0)</f>
        <v>0</v>
      </c>
      <c r="Y39" s="46" t="str">
        <f>IF(Inputs!$B$40="No",IF(Inputs!$B$42=Parameters!$C$75,Inputs!$B$41/12,IF(INDEX(Parameters!$D$76:$D$87,MATCH(Inputs!$B$42,Parameters!$C$76:$C$87,0))=MONTH(Output!Y32),Inputs!$B$41,0)),0)</f>
        <v>0</v>
      </c>
      <c r="Z39" s="46" t="str">
        <f>SUM(IF($B$7:$Y$7+$B$8:$Y$8&gt;0,B39:Y39,0))</f>
        <v>0</v>
      </c>
      <c r="AA39" s="46" t="str">
        <f>SUM(B39:M39)</f>
        <v>0</v>
      </c>
      <c r="AB39" s="46" t="str">
        <f>SUM(B39:Y39)</f>
        <v>0</v>
      </c>
    </row>
    <row r="40" spans="1:30" customHeight="1" ht="5.25">
      <c r="A40" s="43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 t="str">
        <f>SUM(IF($B$7:$S$7+$B$8:$S$8&gt;0,B40:S40,0))</f>
        <v>0</v>
      </c>
      <c r="AA40" s="46"/>
      <c r="AB40" s="46"/>
    </row>
    <row r="41" spans="1:30">
      <c r="A41" s="16" t="s">
        <v>42</v>
      </c>
      <c r="B41" s="46" t="str">
        <f>SUM(Calculations!$Q$14:$Q$16)/12</f>
        <v>0</v>
      </c>
      <c r="C41" s="46" t="str">
        <f>SUM(Calculations!$Q$14:$Q$16)/12</f>
        <v>0</v>
      </c>
      <c r="D41" s="46" t="str">
        <f>SUM(Calculations!$Q$14:$Q$16)/12</f>
        <v>0</v>
      </c>
      <c r="E41" s="46" t="str">
        <f>SUM(Calculations!$Q$14:$Q$16)/12</f>
        <v>0</v>
      </c>
      <c r="F41" s="46" t="str">
        <f>SUM(Calculations!$Q$14:$Q$16)/12</f>
        <v>0</v>
      </c>
      <c r="G41" s="46" t="str">
        <f>SUM(Calculations!$Q$14:$Q$16)/12</f>
        <v>0</v>
      </c>
      <c r="H41" s="46" t="str">
        <f>SUM(Calculations!$Q$14:$Q$16)/12</f>
        <v>0</v>
      </c>
      <c r="I41" s="46" t="str">
        <f>SUM(Calculations!$Q$14:$Q$16)/12</f>
        <v>0</v>
      </c>
      <c r="J41" s="46" t="str">
        <f>SUM(Calculations!$Q$14:$Q$16)/12</f>
        <v>0</v>
      </c>
      <c r="K41" s="46" t="str">
        <f>SUM(Calculations!$Q$14:$Q$16)/12</f>
        <v>0</v>
      </c>
      <c r="L41" s="46" t="str">
        <f>SUM(Calculations!$Q$14:$Q$16)/12</f>
        <v>0</v>
      </c>
      <c r="M41" s="46" t="str">
        <f>SUM(Calculations!$Q$14:$Q$16)/12</f>
        <v>0</v>
      </c>
      <c r="N41" s="46" t="str">
        <f>SUM(Calculations!$Q$14:$Q$16)/12</f>
        <v>0</v>
      </c>
      <c r="O41" s="46" t="str">
        <f>SUM(Calculations!$Q$14:$Q$16)/12</f>
        <v>0</v>
      </c>
      <c r="P41" s="46" t="str">
        <f>SUM(Calculations!$Q$14:$Q$16)/12</f>
        <v>0</v>
      </c>
      <c r="Q41" s="46" t="str">
        <f>SUM(Calculations!$Q$14:$Q$16)/12</f>
        <v>0</v>
      </c>
      <c r="R41" s="46" t="str">
        <f>SUM(Calculations!$Q$14:$Q$16)/12</f>
        <v>0</v>
      </c>
      <c r="S41" s="46" t="str">
        <f>SUM(Calculations!$Q$14:$Q$16)/12</f>
        <v>0</v>
      </c>
      <c r="T41" s="46" t="str">
        <f>SUM(Calculations!$Q$14:$Q$16)/12</f>
        <v>0</v>
      </c>
      <c r="U41" s="46" t="str">
        <f>SUM(Calculations!$Q$14:$Q$16)/12</f>
        <v>0</v>
      </c>
      <c r="V41" s="46" t="str">
        <f>SUM(Calculations!$Q$14:$Q$16)/12</f>
        <v>0</v>
      </c>
      <c r="W41" s="46" t="str">
        <f>SUM(Calculations!$Q$14:$Q$16)/12</f>
        <v>0</v>
      </c>
      <c r="X41" s="46" t="str">
        <f>SUM(Calculations!$Q$14:$Q$16)/12</f>
        <v>0</v>
      </c>
      <c r="Y41" s="46" t="str">
        <f>SUM(Calculations!$Q$14:$Q$16)/12</f>
        <v>0</v>
      </c>
      <c r="Z41" s="46" t="str">
        <f>SUM(IF($B$7:$Y$7+$B$8:$Y$8&gt;0,B41:Y41,0))</f>
        <v>0</v>
      </c>
      <c r="AA41" s="46" t="str">
        <f>SUM(B41:M41)</f>
        <v>0</v>
      </c>
      <c r="AB41" s="46" t="str">
        <f>SUM(B41:Y41)</f>
        <v>0</v>
      </c>
    </row>
    <row r="42" spans="1:30">
      <c r="A42" s="16" t="s">
        <v>43</v>
      </c>
      <c r="B42" s="46" t="str">
        <f>SUM(Calculations!$R$14:$R$16)/12</f>
        <v>0</v>
      </c>
      <c r="C42" s="46" t="str">
        <f>SUM(Calculations!$R$14:$R$16)/12</f>
        <v>0</v>
      </c>
      <c r="D42" s="46" t="str">
        <f>SUM(Calculations!$R$14:$R$16)/12</f>
        <v>0</v>
      </c>
      <c r="E42" s="46" t="str">
        <f>SUM(Calculations!$R$14:$R$16)/12</f>
        <v>0</v>
      </c>
      <c r="F42" s="46" t="str">
        <f>SUM(Calculations!$R$14:$R$16)/12</f>
        <v>0</v>
      </c>
      <c r="G42" s="46" t="str">
        <f>SUM(Calculations!$R$14:$R$16)/12</f>
        <v>0</v>
      </c>
      <c r="H42" s="46" t="str">
        <f>SUM(Calculations!$R$14:$R$16)/12</f>
        <v>0</v>
      </c>
      <c r="I42" s="46" t="str">
        <f>SUM(Calculations!$R$14:$R$16)/12</f>
        <v>0</v>
      </c>
      <c r="J42" s="46" t="str">
        <f>SUM(Calculations!$R$14:$R$16)/12</f>
        <v>0</v>
      </c>
      <c r="K42" s="46" t="str">
        <f>SUM(Calculations!$R$14:$R$16)/12</f>
        <v>0</v>
      </c>
      <c r="L42" s="46" t="str">
        <f>SUM(Calculations!$R$14:$R$16)/12</f>
        <v>0</v>
      </c>
      <c r="M42" s="46" t="str">
        <f>SUM(Calculations!$R$14:$R$16)/12</f>
        <v>0</v>
      </c>
      <c r="N42" s="46" t="str">
        <f>SUM(Calculations!$R$14:$R$16)/12</f>
        <v>0</v>
      </c>
      <c r="O42" s="46" t="str">
        <f>SUM(Calculations!$R$14:$R$16)/12</f>
        <v>0</v>
      </c>
      <c r="P42" s="46" t="str">
        <f>SUM(Calculations!$R$14:$R$16)/12</f>
        <v>0</v>
      </c>
      <c r="Q42" s="46" t="str">
        <f>SUM(Calculations!$R$14:$R$16)/12</f>
        <v>0</v>
      </c>
      <c r="R42" s="46" t="str">
        <f>SUM(Calculations!$R$14:$R$16)/12</f>
        <v>0</v>
      </c>
      <c r="S42" s="46" t="str">
        <f>SUM(Calculations!$R$14:$R$16)/12</f>
        <v>0</v>
      </c>
      <c r="T42" s="46" t="str">
        <f>SUM(Calculations!$R$14:$R$16)/12</f>
        <v>0</v>
      </c>
      <c r="U42" s="46" t="str">
        <f>SUM(Calculations!$R$14:$R$16)/12</f>
        <v>0</v>
      </c>
      <c r="V42" s="46" t="str">
        <f>SUM(Calculations!$R$14:$R$16)/12</f>
        <v>0</v>
      </c>
      <c r="W42" s="46" t="str">
        <f>SUM(Calculations!$R$14:$R$16)/12</f>
        <v>0</v>
      </c>
      <c r="X42" s="46" t="str">
        <f>SUM(Calculations!$R$14:$R$16)/12</f>
        <v>0</v>
      </c>
      <c r="Y42" s="46" t="str">
        <f>SUM(Calculations!$R$14:$R$16)/12</f>
        <v>0</v>
      </c>
      <c r="Z42" s="46" t="str">
        <f>SUM(IF($B$7:$Y$7+$B$8:$Y$8&gt;0,B42:Y42,0))</f>
        <v>0</v>
      </c>
      <c r="AA42" s="46" t="str">
        <f>SUM(B42:M42)</f>
        <v>0</v>
      </c>
      <c r="AB42" s="46" t="str">
        <f>SUM(B42:Y42)</f>
        <v>0</v>
      </c>
    </row>
    <row r="43" spans="1:30">
      <c r="A43" s="16" t="s">
        <v>44</v>
      </c>
      <c r="B43" s="46" t="str">
        <f>SUM(Calculations!$S$14:$S$16)/12</f>
        <v>0</v>
      </c>
      <c r="C43" s="46" t="str">
        <f>SUM(Calculations!$S$14:$S$16)/12</f>
        <v>0</v>
      </c>
      <c r="D43" s="46" t="str">
        <f>SUM(Calculations!$S$14:$S$16)/12</f>
        <v>0</v>
      </c>
      <c r="E43" s="46" t="str">
        <f>SUM(Calculations!$S$14:$S$16)/12</f>
        <v>0</v>
      </c>
      <c r="F43" s="46" t="str">
        <f>SUM(Calculations!$S$14:$S$16)/12</f>
        <v>0</v>
      </c>
      <c r="G43" s="46" t="str">
        <f>SUM(Calculations!$S$14:$S$16)/12</f>
        <v>0</v>
      </c>
      <c r="H43" s="46" t="str">
        <f>SUM(Calculations!$S$14:$S$16)/12</f>
        <v>0</v>
      </c>
      <c r="I43" s="46" t="str">
        <f>SUM(Calculations!$S$14:$S$16)/12</f>
        <v>0</v>
      </c>
      <c r="J43" s="46" t="str">
        <f>SUM(Calculations!$S$14:$S$16)/12</f>
        <v>0</v>
      </c>
      <c r="K43" s="46" t="str">
        <f>SUM(Calculations!$S$14:$S$16)/12</f>
        <v>0</v>
      </c>
      <c r="L43" s="46" t="str">
        <f>SUM(Calculations!$S$14:$S$16)/12</f>
        <v>0</v>
      </c>
      <c r="M43" s="46" t="str">
        <f>SUM(Calculations!$S$14:$S$16)/12</f>
        <v>0</v>
      </c>
      <c r="N43" s="46" t="str">
        <f>SUM(Calculations!$S$14:$S$16)/12</f>
        <v>0</v>
      </c>
      <c r="O43" s="46" t="str">
        <f>SUM(Calculations!$S$14:$S$16)/12</f>
        <v>0</v>
      </c>
      <c r="P43" s="46" t="str">
        <f>SUM(Calculations!$S$14:$S$16)/12</f>
        <v>0</v>
      </c>
      <c r="Q43" s="46" t="str">
        <f>SUM(Calculations!$S$14:$S$16)/12</f>
        <v>0</v>
      </c>
      <c r="R43" s="46" t="str">
        <f>SUM(Calculations!$S$14:$S$16)/12</f>
        <v>0</v>
      </c>
      <c r="S43" s="46" t="str">
        <f>SUM(Calculations!$S$14:$S$16)/12</f>
        <v>0</v>
      </c>
      <c r="T43" s="46" t="str">
        <f>SUM(Calculations!$S$14:$S$16)/12</f>
        <v>0</v>
      </c>
      <c r="U43" s="46" t="str">
        <f>SUM(Calculations!$S$14:$S$16)/12</f>
        <v>0</v>
      </c>
      <c r="V43" s="46" t="str">
        <f>SUM(Calculations!$S$14:$S$16)/12</f>
        <v>0</v>
      </c>
      <c r="W43" s="46" t="str">
        <f>SUM(Calculations!$S$14:$S$16)/12</f>
        <v>0</v>
      </c>
      <c r="X43" s="46" t="str">
        <f>SUM(Calculations!$S$14:$S$16)/12</f>
        <v>0</v>
      </c>
      <c r="Y43" s="46" t="str">
        <f>SUM(Calculations!$S$14:$S$16)/12</f>
        <v>0</v>
      </c>
      <c r="Z43" s="46" t="str">
        <f>SUM(IF($B$7:$Y$7+$B$8:$Y$8&gt;0,B43:Y43,0))</f>
        <v>0</v>
      </c>
      <c r="AA43" s="46" t="str">
        <f>SUM(B43:M43)</f>
        <v>0</v>
      </c>
      <c r="AB43" s="46" t="str">
        <f>SUM(B43:Y43)</f>
        <v>0</v>
      </c>
    </row>
    <row r="44" spans="1:30">
      <c r="A44" s="16" t="s">
        <v>45</v>
      </c>
      <c r="B44" s="46" t="str">
        <f>SUM(Inputs!$H$19:$H$21)</f>
        <v>0</v>
      </c>
      <c r="C44" s="46" t="str">
        <f>SUM(Inputs!$H$19:$H$21)</f>
        <v>0</v>
      </c>
      <c r="D44" s="46" t="str">
        <f>SUM(Inputs!$H$19:$H$21)</f>
        <v>0</v>
      </c>
      <c r="E44" s="46" t="str">
        <f>SUM(Inputs!$H$19:$H$21)</f>
        <v>0</v>
      </c>
      <c r="F44" s="46" t="str">
        <f>SUM(Inputs!$H$19:$H$21)</f>
        <v>0</v>
      </c>
      <c r="G44" s="46" t="str">
        <f>SUM(Inputs!$H$19:$H$21)</f>
        <v>0</v>
      </c>
      <c r="H44" s="46" t="str">
        <f>SUM(Inputs!$H$19:$H$21)</f>
        <v>0</v>
      </c>
      <c r="I44" s="46" t="str">
        <f>SUM(Inputs!$H$19:$H$21)</f>
        <v>0</v>
      </c>
      <c r="J44" s="46" t="str">
        <f>SUM(Inputs!$H$19:$H$21)</f>
        <v>0</v>
      </c>
      <c r="K44" s="46" t="str">
        <f>SUM(Inputs!$H$19:$H$21)</f>
        <v>0</v>
      </c>
      <c r="L44" s="46" t="str">
        <f>SUM(Inputs!$H$19:$H$21)</f>
        <v>0</v>
      </c>
      <c r="M44" s="46" t="str">
        <f>SUM(Inputs!$H$19:$H$21)</f>
        <v>0</v>
      </c>
      <c r="N44" s="46" t="str">
        <f>SUM(Inputs!$H$19:$H$21)</f>
        <v>0</v>
      </c>
      <c r="O44" s="46" t="str">
        <f>SUM(Inputs!$H$19:$H$21)</f>
        <v>0</v>
      </c>
      <c r="P44" s="46" t="str">
        <f>SUM(Inputs!$H$19:$H$21)</f>
        <v>0</v>
      </c>
      <c r="Q44" s="46" t="str">
        <f>SUM(Inputs!$H$19:$H$21)</f>
        <v>0</v>
      </c>
      <c r="R44" s="46" t="str">
        <f>SUM(Inputs!$H$19:$H$21)</f>
        <v>0</v>
      </c>
      <c r="S44" s="46" t="str">
        <f>SUM(Inputs!$H$19:$H$21)</f>
        <v>0</v>
      </c>
      <c r="T44" s="46" t="str">
        <f>SUM(Inputs!$H$19:$H$21)</f>
        <v>0</v>
      </c>
      <c r="U44" s="46" t="str">
        <f>SUM(Inputs!$H$19:$H$21)</f>
        <v>0</v>
      </c>
      <c r="V44" s="46" t="str">
        <f>SUM(Inputs!$H$19:$H$21)</f>
        <v>0</v>
      </c>
      <c r="W44" s="46" t="str">
        <f>SUM(Inputs!$H$19:$H$21)</f>
        <v>0</v>
      </c>
      <c r="X44" s="46" t="str">
        <f>SUM(Inputs!$H$19:$H$21)</f>
        <v>0</v>
      </c>
      <c r="Y44" s="46" t="str">
        <f>SUM(Inputs!$H$19:$H$21)</f>
        <v>0</v>
      </c>
      <c r="Z44" s="46" t="str">
        <f>SUM(IF($B$7:$Y$7+$B$8:$Y$8&gt;0,B44:Y44,0))</f>
        <v>0</v>
      </c>
      <c r="AA44" s="46" t="str">
        <f>SUM(B44:M44)</f>
        <v>0</v>
      </c>
      <c r="AB44" s="46" t="str">
        <f>SUM(B44:Y44)</f>
        <v>0</v>
      </c>
    </row>
    <row r="45" spans="1:30" customHeight="1" ht="5.25">
      <c r="A45" s="1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 t="str">
        <f>SUM(IF($B$7:$Y$7+$B$8:$Y$8&gt;0,B45:Y45,0))</f>
        <v>0</v>
      </c>
      <c r="AA45" s="46"/>
      <c r="AB45" s="46"/>
    </row>
    <row r="46" spans="1:30">
      <c r="A46" s="43" t="s">
        <v>32</v>
      </c>
      <c r="B46" s="46" t="str">
        <f>Inputs!$B$31</f>
        <v>0</v>
      </c>
      <c r="C46" s="46" t="str">
        <f>Inputs!$B$31</f>
        <v>0</v>
      </c>
      <c r="D46" s="46" t="str">
        <f>Inputs!$B$31</f>
        <v>0</v>
      </c>
      <c r="E46" s="46" t="str">
        <f>Inputs!$B$31</f>
        <v>0</v>
      </c>
      <c r="F46" s="46" t="str">
        <f>Inputs!$B$31</f>
        <v>0</v>
      </c>
      <c r="G46" s="46" t="str">
        <f>Inputs!$B$31</f>
        <v>0</v>
      </c>
      <c r="H46" s="46" t="str">
        <f>Inputs!$B$31</f>
        <v>0</v>
      </c>
      <c r="I46" s="46" t="str">
        <f>Inputs!$B$31</f>
        <v>0</v>
      </c>
      <c r="J46" s="46" t="str">
        <f>Inputs!$B$31</f>
        <v>0</v>
      </c>
      <c r="K46" s="46" t="str">
        <f>Inputs!$B$31</f>
        <v>0</v>
      </c>
      <c r="L46" s="46" t="str">
        <f>Inputs!$B$31</f>
        <v>0</v>
      </c>
      <c r="M46" s="46" t="str">
        <f>Inputs!$B$31</f>
        <v>0</v>
      </c>
      <c r="N46" s="46" t="str">
        <f>Inputs!$B$31</f>
        <v>0</v>
      </c>
      <c r="O46" s="46" t="str">
        <f>Inputs!$B$31</f>
        <v>0</v>
      </c>
      <c r="P46" s="46" t="str">
        <f>Inputs!$B$31</f>
        <v>0</v>
      </c>
      <c r="Q46" s="46" t="str">
        <f>Inputs!$B$31</f>
        <v>0</v>
      </c>
      <c r="R46" s="46" t="str">
        <f>Inputs!$B$31</f>
        <v>0</v>
      </c>
      <c r="S46" s="46" t="str">
        <f>Inputs!$B$31</f>
        <v>0</v>
      </c>
      <c r="T46" s="46" t="str">
        <f>Inputs!$B$31</f>
        <v>0</v>
      </c>
      <c r="U46" s="46" t="str">
        <f>Inputs!$B$31</f>
        <v>0</v>
      </c>
      <c r="V46" s="46" t="str">
        <f>Inputs!$B$31</f>
        <v>0</v>
      </c>
      <c r="W46" s="46" t="str">
        <f>Inputs!$B$31</f>
        <v>0</v>
      </c>
      <c r="X46" s="46" t="str">
        <f>Inputs!$B$31</f>
        <v>0</v>
      </c>
      <c r="Y46" s="46" t="str">
        <f>Inputs!$B$31</f>
        <v>0</v>
      </c>
      <c r="Z46" s="46" t="str">
        <f>SUM(IF($B$7:$Y$7+$B$8:$Y$8&gt;0,B46:Y46,0))</f>
        <v>0</v>
      </c>
      <c r="AA46" s="46" t="str">
        <f>SUM(B46:M46)</f>
        <v>0</v>
      </c>
      <c r="AB46" s="46" t="str">
        <f>SUM(B46:Y46)</f>
        <v>0</v>
      </c>
    </row>
    <row r="47" spans="1:30">
      <c r="A47" s="16" t="s">
        <v>46</v>
      </c>
      <c r="B47" s="46" t="str">
        <f>SUMIF(Inputs!$D$35:$D$36,MONTH(Output!B32),Inputs!$B$35:$B$36)</f>
        <v>0</v>
      </c>
      <c r="C47" s="46" t="str">
        <f>SUMIF(Inputs!$D$35:$D$36,MONTH(Output!C32),Inputs!$B$35:$B$36)</f>
        <v>0</v>
      </c>
      <c r="D47" s="46" t="str">
        <f>SUMIF(Inputs!$D$35:$D$36,MONTH(Output!D32),Inputs!$B$35:$B$36)</f>
        <v>0</v>
      </c>
      <c r="E47" s="46" t="str">
        <f>SUMIF(Inputs!$D$35:$D$36,MONTH(Output!E32),Inputs!$B$35:$B$36)</f>
        <v>0</v>
      </c>
      <c r="F47" s="46" t="str">
        <f>SUMIF(Inputs!$D$35:$D$36,MONTH(Output!F32),Inputs!$B$35:$B$36)</f>
        <v>0</v>
      </c>
      <c r="G47" s="46" t="str">
        <f>SUMIF(Inputs!$D$35:$D$36,MONTH(Output!G32),Inputs!$B$35:$B$36)</f>
        <v>0</v>
      </c>
      <c r="H47" s="46" t="str">
        <f>SUMIF(Inputs!$D$35:$D$36,MONTH(Output!H32),Inputs!$B$35:$B$36)</f>
        <v>0</v>
      </c>
      <c r="I47" s="46" t="str">
        <f>SUMIF(Inputs!$D$35:$D$36,MONTH(Output!I32),Inputs!$B$35:$B$36)</f>
        <v>0</v>
      </c>
      <c r="J47" s="46" t="str">
        <f>SUMIF(Inputs!$D$35:$D$36,MONTH(Output!J32),Inputs!$B$35:$B$36)</f>
        <v>0</v>
      </c>
      <c r="K47" s="46" t="str">
        <f>SUMIF(Inputs!$D$35:$D$36,MONTH(Output!K32),Inputs!$B$35:$B$36)</f>
        <v>0</v>
      </c>
      <c r="L47" s="46" t="str">
        <f>SUMIF(Inputs!$D$35:$D$36,MONTH(Output!L32),Inputs!$B$35:$B$36)</f>
        <v>0</v>
      </c>
      <c r="M47" s="46" t="str">
        <f>SUMIF(Inputs!$D$35:$D$36,MONTH(Output!M32),Inputs!$B$35:$B$36)</f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46" t="str">
        <f>SUM(IF($B$7:$Y$7+$B$8:$Y$8&gt;0,B47:Y47,0))</f>
        <v>0</v>
      </c>
      <c r="AA47" s="46" t="str">
        <f>SUM(B47:M47)</f>
        <v>0</v>
      </c>
      <c r="AB47" s="46" t="str">
        <f>SUM(B47:Y47)</f>
        <v>0</v>
      </c>
    </row>
    <row r="48" spans="1:30">
      <c r="A48" s="43" t="s">
        <v>47</v>
      </c>
      <c r="B48" s="46" t="str">
        <f>(SUM($AA$15:$AA$26)-SUM($AA$33:$AA$46))*Parameters!$B$37/12</f>
        <v>0</v>
      </c>
      <c r="C48" s="46" t="str">
        <f>(SUM($AA$15:$AA$26)-SUM($AA$33:$AA$46))*Parameters!$B$37/12</f>
        <v>0</v>
      </c>
      <c r="D48" s="46" t="str">
        <f>(SUM($AA$15:$AA$26)-SUM($AA$33:$AA$46))*Parameters!$B$37/12</f>
        <v>0</v>
      </c>
      <c r="E48" s="46" t="str">
        <f>(SUM($AA$15:$AA$26)-SUM($AA$33:$AA$46))*Parameters!$B$37/12</f>
        <v>0</v>
      </c>
      <c r="F48" s="46" t="str">
        <f>(SUM($AA$15:$AA$26)-SUM($AA$33:$AA$46))*Parameters!$B$37/12</f>
        <v>0</v>
      </c>
      <c r="G48" s="46" t="str">
        <f>(SUM($AA$15:$AA$26)-SUM($AA$33:$AA$46))*Parameters!$B$37/12</f>
        <v>0</v>
      </c>
      <c r="H48" s="46" t="str">
        <f>(SUM($AA$15:$AA$26)-SUM($AA$33:$AA$46))*Parameters!$B$37/12</f>
        <v>0</v>
      </c>
      <c r="I48" s="46" t="str">
        <f>(SUM($AA$15:$AA$26)-SUM($AA$33:$AA$46))*Parameters!$B$37/12</f>
        <v>0</v>
      </c>
      <c r="J48" s="46" t="str">
        <f>(SUM($AA$15:$AA$26)-SUM($AA$33:$AA$46))*Parameters!$B$37/12</f>
        <v>0</v>
      </c>
      <c r="K48" s="46" t="str">
        <f>(SUM($AA$15:$AA$26)-SUM($AA$33:$AA$46))*Parameters!$B$37/12</f>
        <v>0</v>
      </c>
      <c r="L48" s="46" t="str">
        <f>(SUM($AA$15:$AA$26)-SUM($AA$33:$AA$46))*Parameters!$B$37/12</f>
        <v>0</v>
      </c>
      <c r="M48" s="46" t="str">
        <f>(SUM($AA$15:$AA$26)-SUM($AA$33:$AA$46))*Parameters!$B$37/12</f>
        <v>0</v>
      </c>
      <c r="N48" s="46" t="str">
        <f>(SUM($AA$15:$AA$26)-SUM($AA$33:$AA$46))*Parameters!$B$37/12</f>
        <v>0</v>
      </c>
      <c r="O48" s="46" t="str">
        <f>(SUM($AA$15:$AA$26)-SUM($AA$33:$AA$46))*Parameters!$B$37/12</f>
        <v>0</v>
      </c>
      <c r="P48" s="46" t="str">
        <f>(SUM($AA$15:$AA$26)-SUM($AA$33:$AA$46))*Parameters!$B$37/12</f>
        <v>0</v>
      </c>
      <c r="Q48" s="46" t="str">
        <f>(SUM($AA$15:$AA$26)-SUM($AA$33:$AA$46))*Parameters!$B$37/12</f>
        <v>0</v>
      </c>
      <c r="R48" s="46" t="str">
        <f>(SUM($AA$15:$AA$26)-SUM($AA$33:$AA$46))*Parameters!$B$37/12</f>
        <v>0</v>
      </c>
      <c r="S48" s="46" t="str">
        <f>(SUM($AA$15:$AA$26)-SUM($AA$33:$AA$46))*Parameters!$B$37/12</f>
        <v>0</v>
      </c>
      <c r="T48" s="46" t="str">
        <f>(SUM($AA$15:$AA$26)-SUM($AA$33:$AA$46))*Parameters!$B$37/12</f>
        <v>0</v>
      </c>
      <c r="U48" s="46" t="str">
        <f>(SUM($AA$15:$AA$26)-SUM($AA$33:$AA$46))*Parameters!$B$37/12</f>
        <v>0</v>
      </c>
      <c r="V48" s="46" t="str">
        <f>(SUM($AA$15:$AA$26)-SUM($AA$33:$AA$46))*Parameters!$B$37/12</f>
        <v>0</v>
      </c>
      <c r="W48" s="46" t="str">
        <f>(SUM($AA$15:$AA$26)-SUM($AA$33:$AA$46))*Parameters!$B$37/12</f>
        <v>0</v>
      </c>
      <c r="X48" s="46" t="str">
        <f>(SUM($AA$15:$AA$26)-SUM($AA$33:$AA$46))*Parameters!$B$37/12</f>
        <v>0</v>
      </c>
      <c r="Y48" s="46" t="str">
        <f>(SUM($AA$15:$AA$26)-SUM($AA$33:$AA$46))*Parameters!$B$37/12</f>
        <v>0</v>
      </c>
      <c r="Z48" s="46" t="str">
        <f>SUM(IF($B$7:$Y$7+$B$8:$Y$8&gt;0,B48:Y48,0))</f>
        <v>0</v>
      </c>
      <c r="AA48" s="46" t="str">
        <f>SUM(B48:M48)</f>
        <v>0</v>
      </c>
      <c r="AB48" s="46" t="str">
        <f>SUM(B48:Y48)</f>
        <v>0</v>
      </c>
    </row>
    <row r="49" spans="1:30" customHeight="1" ht="15.75">
      <c r="A49" s="85" t="s">
        <v>48</v>
      </c>
      <c r="B49" s="37" t="str">
        <f>SUM(IF(Calculations!$E$23:$E$27&gt;COUNT(Output!$B$32:B32),Calculations!$B$23:$B$27,IF(Calculations!$E$23:$E$27=COUNT(Output!$B$32:B32),Inputs!$B$56:$B$60-Calculations!$C$23:$C$27*(Calculations!$E$23:$E$27-1)+Calculations!$D$23:$D$27)))</f>
        <v>0</v>
      </c>
      <c r="C49" s="37" t="str">
        <f>SUM(IF(Calculations!$E$23:$E$27&gt;COUNT(Output!$B$32:C32),Calculations!$B$23:$B$27,IF(Calculations!$E$23:$E$27=COUNT(Output!$B$32:C32),Inputs!$B$56:$B$60-Calculations!$C$23:$C$27*(Calculations!$E$23:$E$27-1)+Calculations!$D$23:$D$27)))</f>
        <v>0</v>
      </c>
      <c r="D49" s="37" t="str">
        <f>SUM(IF(Calculations!$E$23:$E$27&gt;COUNT(Output!$B$32:D32),Calculations!$B$23:$B$27,IF(Calculations!$E$23:$E$27=COUNT(Output!$B$32:D32),Inputs!$B$56:$B$60-Calculations!$C$23:$C$27*(Calculations!$E$23:$E$27-1)+Calculations!$D$23:$D$27)))</f>
        <v>0</v>
      </c>
      <c r="E49" s="37" t="str">
        <f>SUM(IF(Calculations!$E$23:$E$27&gt;COUNT(Output!$B$32:E32),Calculations!$B$23:$B$27,IF(Calculations!$E$23:$E$27=COUNT(Output!$B$32:E32),Inputs!$B$56:$B$60-Calculations!$C$23:$C$27*(Calculations!$E$23:$E$27-1)+Calculations!$D$23:$D$27)))</f>
        <v>0</v>
      </c>
      <c r="F49" s="37" t="str">
        <f>SUM(IF(Calculations!$E$23:$E$27&gt;COUNT(Output!$B$32:F32),Calculations!$B$23:$B$27,IF(Calculations!$E$23:$E$27=COUNT(Output!$B$32:F32),Inputs!$B$56:$B$60-Calculations!$C$23:$C$27*(Calculations!$E$23:$E$27-1)+Calculations!$D$23:$D$27)))</f>
        <v>0</v>
      </c>
      <c r="G49" s="37" t="str">
        <f>SUM(IF(Calculations!$E$23:$E$27&gt;COUNT(Output!$B$32:G32),Calculations!$B$23:$B$27,IF(Calculations!$E$23:$E$27=COUNT(Output!$B$32:G32),Inputs!$B$56:$B$60-Calculations!$C$23:$C$27*(Calculations!$E$23:$E$27-1)+Calculations!$D$23:$D$27)))</f>
        <v>0</v>
      </c>
      <c r="H49" s="37" t="str">
        <f>SUM(IF(Calculations!$E$23:$E$27&gt;COUNT(Output!$B$32:H32),Calculations!$B$23:$B$27,IF(Calculations!$E$23:$E$27=COUNT(Output!$B$32:H32),Inputs!$B$56:$B$60-Calculations!$C$23:$C$27*(Calculations!$E$23:$E$27-1)+Calculations!$D$23:$D$27)))</f>
        <v>0</v>
      </c>
      <c r="I49" s="37" t="str">
        <f>SUM(IF(Calculations!$E$23:$E$27&gt;COUNT(Output!$B$32:I32),Calculations!$B$23:$B$27,IF(Calculations!$E$23:$E$27=COUNT(Output!$B$32:I32),Inputs!$B$56:$B$60-Calculations!$C$23:$C$27*(Calculations!$E$23:$E$27-1)+Calculations!$D$23:$D$27)))</f>
        <v>0</v>
      </c>
      <c r="J49" s="37" t="str">
        <f>SUM(IF(Calculations!$E$23:$E$27&gt;COUNT(Output!$B$32:J32),Calculations!$B$23:$B$27,IF(Calculations!$E$23:$E$27=COUNT(Output!$B$32:J32),Inputs!$B$56:$B$60-Calculations!$C$23:$C$27*(Calculations!$E$23:$E$27-1)+Calculations!$D$23:$D$27)))</f>
        <v>0</v>
      </c>
      <c r="K49" s="37" t="str">
        <f>SUM(IF(Calculations!$E$23:$E$27&gt;COUNT(Output!$B$32:K32),Calculations!$B$23:$B$27,IF(Calculations!$E$23:$E$27=COUNT(Output!$B$32:K32),Inputs!$B$56:$B$60-Calculations!$C$23:$C$27*(Calculations!$E$23:$E$27-1)+Calculations!$D$23:$D$27)))</f>
        <v>0</v>
      </c>
      <c r="L49" s="37" t="str">
        <f>SUM(IF(Calculations!$E$23:$E$27&gt;COUNT(Output!$B$32:L32),Calculations!$B$23:$B$27,IF(Calculations!$E$23:$E$27=COUNT(Output!$B$32:L32),Inputs!$B$56:$B$60-Calculations!$C$23:$C$27*(Calculations!$E$23:$E$27-1)+Calculations!$D$23:$D$27)))</f>
        <v>0</v>
      </c>
      <c r="M49" s="37" t="str">
        <f>SUM(IF(Calculations!$E$23:$E$27&gt;COUNT(Output!$B$32:M32),Calculations!$B$23:$B$27,IF(Calculations!$E$23:$E$27=COUNT(Output!$B$32:M32),Inputs!$B$56:$B$60-Calculations!$C$23:$C$27*(Calculations!$E$23:$E$27-1)+Calculations!$D$23:$D$27)))</f>
        <v>0</v>
      </c>
      <c r="N49" s="37" t="str">
        <f>SUM(IF(Calculations!$E$23:$E$27&gt;COUNT(Output!$B$32:N32),Calculations!$B$23:$B$27,IF(Calculations!$E$23:$E$27=COUNT(Output!$B$32:N32),Inputs!$B$56:$B$60-Calculations!$C$23:$C$27*(Calculations!$E$23:$E$27-1)+Calculations!$D$23:$D$27)))</f>
        <v>0</v>
      </c>
      <c r="O49" s="37" t="str">
        <f>SUM(IF(Calculations!$E$23:$E$27&gt;COUNT(Output!$B$32:O32),Calculations!$B$23:$B$27,IF(Calculations!$E$23:$E$27=COUNT(Output!$B$32:O32),Inputs!$B$56:$B$60-Calculations!$C$23:$C$27*(Calculations!$E$23:$E$27-1)+Calculations!$D$23:$D$27)))</f>
        <v>0</v>
      </c>
      <c r="P49" s="37" t="str">
        <f>SUM(IF(Calculations!$E$23:$E$27&gt;COUNT(Output!$B$32:P32),Calculations!$B$23:$B$27,IF(Calculations!$E$23:$E$27=COUNT(Output!$B$32:P32),Inputs!$B$56:$B$60-Calculations!$C$23:$C$27*(Calculations!$E$23:$E$27-1)+Calculations!$D$23:$D$27)))</f>
        <v>0</v>
      </c>
      <c r="Q49" s="37" t="str">
        <f>SUM(IF(Calculations!$E$23:$E$27&gt;COUNT(Output!$B$32:Q32),Calculations!$B$23:$B$27,IF(Calculations!$E$23:$E$27=COUNT(Output!$B$32:Q32),Inputs!$B$56:$B$60-Calculations!$C$23:$C$27*(Calculations!$E$23:$E$27-1)+Calculations!$D$23:$D$27)))</f>
        <v>0</v>
      </c>
      <c r="R49" s="37" t="str">
        <f>SUM(IF(Calculations!$E$23:$E$27&gt;COUNT(Output!$B$32:R32),Calculations!$B$23:$B$27,IF(Calculations!$E$23:$E$27=COUNT(Output!$B$32:R32),Inputs!$B$56:$B$60-Calculations!$C$23:$C$27*(Calculations!$E$23:$E$27-1)+Calculations!$D$23:$D$27)))</f>
        <v>0</v>
      </c>
      <c r="S49" s="37" t="str">
        <f>SUM(IF(Calculations!$E$23:$E$27&gt;COUNT(Output!$B$32:S32),Calculations!$B$23:$B$27,IF(Calculations!$E$23:$E$27=COUNT(Output!$B$32:S32),Inputs!$B$56:$B$60-Calculations!$C$23:$C$27*(Calculations!$E$23:$E$27-1)+Calculations!$D$23:$D$27)))</f>
        <v>0</v>
      </c>
      <c r="T49" s="37" t="str">
        <f>SUM(IF(Calculations!$E$23:$E$27&gt;COUNT(Output!$B$32:T32),Calculations!$B$23:$B$27,IF(Calculations!$E$23:$E$27=COUNT(Output!$B$32:T32),Inputs!$B$56:$B$60-Calculations!$C$23:$C$27*(Calculations!$E$23:$E$27-1)+Calculations!$D$23:$D$27)))</f>
        <v>0</v>
      </c>
      <c r="U49" s="37" t="str">
        <f>SUM(IF(Calculations!$E$23:$E$27&gt;COUNT(Output!$B$32:U32),Calculations!$B$23:$B$27,IF(Calculations!$E$23:$E$27=COUNT(Output!$B$32:U32),Inputs!$B$56:$B$60-Calculations!$C$23:$C$27*(Calculations!$E$23:$E$27-1)+Calculations!$D$23:$D$27)))</f>
        <v>0</v>
      </c>
      <c r="V49" s="37" t="str">
        <f>SUM(IF(Calculations!$E$23:$E$27&gt;COUNT(Output!$B$32:V32),Calculations!$B$23:$B$27,IF(Calculations!$E$23:$E$27=COUNT(Output!$B$32:V32),Inputs!$B$56:$B$60-Calculations!$C$23:$C$27*(Calculations!$E$23:$E$27-1)+Calculations!$D$23:$D$27)))</f>
        <v>0</v>
      </c>
      <c r="W49" s="37" t="str">
        <f>SUM(IF(Calculations!$E$23:$E$27&gt;COUNT(Output!$B$32:W32),Calculations!$B$23:$B$27,IF(Calculations!$E$23:$E$27=COUNT(Output!$B$32:W32),Inputs!$B$56:$B$60-Calculations!$C$23:$C$27*(Calculations!$E$23:$E$27-1)+Calculations!$D$23:$D$27)))</f>
        <v>0</v>
      </c>
      <c r="X49" s="37" t="str">
        <f>SUM(IF(Calculations!$E$23:$E$27&gt;COUNT(Output!$B$32:X32),Calculations!$B$23:$B$27,IF(Calculations!$E$23:$E$27=COUNT(Output!$B$32:X32),Inputs!$B$56:$B$60-Calculations!$C$23:$C$27*(Calculations!$E$23:$E$27-1)+Calculations!$D$23:$D$27)))</f>
        <v>0</v>
      </c>
      <c r="Y49" s="37" t="str">
        <f>SUM(IF(Calculations!$E$23:$E$27&gt;COUNT(Output!$B$32:Y32),Calculations!$B$23:$B$27,IF(Calculations!$E$23:$E$27=COUNT(Output!$B$32:Y32),Inputs!$B$56:$B$60-Calculations!$C$23:$C$27*(Calculations!$E$23:$E$27-1)+Calculations!$D$23:$D$27)))</f>
        <v>0</v>
      </c>
      <c r="Z49" s="37" t="str">
        <f>SUM(IF($B$7:$Y$7+$B$8:$Y$8&gt;0,B49:Y49,0))</f>
        <v>0</v>
      </c>
      <c r="AA49" s="37" t="str">
        <f>SUM(B49:M49)</f>
        <v>0</v>
      </c>
      <c r="AB49" s="37" t="str">
        <f>SUM(B49:Y49)</f>
        <v>0</v>
      </c>
    </row>
    <row r="50" spans="1:30" customHeight="1" ht="15.75">
      <c r="A50" s="1" t="s">
        <v>33</v>
      </c>
      <c r="B50" s="19" t="str">
        <f>SUM(B33:B49)</f>
        <v>0</v>
      </c>
      <c r="C50" s="19" t="str">
        <f>SUM(C33:C49)</f>
        <v>0</v>
      </c>
      <c r="D50" s="19" t="str">
        <f>SUM(D33:D49)</f>
        <v>0</v>
      </c>
      <c r="E50" s="19" t="str">
        <f>SUM(E33:E49)</f>
        <v>0</v>
      </c>
      <c r="F50" s="19" t="str">
        <f>SUM(F33:F49)</f>
        <v>0</v>
      </c>
      <c r="G50" s="19" t="str">
        <f>SUM(G33:G49)</f>
        <v>0</v>
      </c>
      <c r="H50" s="19" t="str">
        <f>SUM(H33:H49)</f>
        <v>0</v>
      </c>
      <c r="I50" s="19" t="str">
        <f>SUM(I33:I49)</f>
        <v>0</v>
      </c>
      <c r="J50" s="19" t="str">
        <f>SUM(J33:J49)</f>
        <v>0</v>
      </c>
      <c r="K50" s="19" t="str">
        <f>SUM(K33:K49)</f>
        <v>0</v>
      </c>
      <c r="L50" s="19" t="str">
        <f>SUM(L33:L49)</f>
        <v>0</v>
      </c>
      <c r="M50" s="19" t="str">
        <f>SUM(M33:M49)</f>
        <v>0</v>
      </c>
      <c r="N50" s="19" t="str">
        <f>SUM(N33:N49)</f>
        <v>0</v>
      </c>
      <c r="O50" s="19" t="str">
        <f>SUM(O33:O49)</f>
        <v>0</v>
      </c>
      <c r="P50" s="19" t="str">
        <f>SUM(P33:P49)</f>
        <v>0</v>
      </c>
      <c r="Q50" s="19" t="str">
        <f>SUM(Q33:Q49)</f>
        <v>0</v>
      </c>
      <c r="R50" s="19" t="str">
        <f>SUM(R33:R49)</f>
        <v>0</v>
      </c>
      <c r="S50" s="19" t="str">
        <f>SUM(S33:S49)</f>
        <v>0</v>
      </c>
      <c r="T50" s="19" t="str">
        <f>SUM(T33:T49)</f>
        <v>0</v>
      </c>
      <c r="U50" s="19" t="str">
        <f>SUM(U33:U49)</f>
        <v>0</v>
      </c>
      <c r="V50" s="19" t="str">
        <f>SUM(V33:V49)</f>
        <v>0</v>
      </c>
      <c r="W50" s="19" t="str">
        <f>SUM(W33:W49)</f>
        <v>0</v>
      </c>
      <c r="X50" s="19" t="str">
        <f>SUM(X33:X49)</f>
        <v>0</v>
      </c>
      <c r="Y50" s="19" t="str">
        <f>SUM(Y33:Y49)</f>
        <v>0</v>
      </c>
      <c r="Z50" s="19" t="str">
        <f>SUM(IF($B$7:$Y$7+$B$8:$Y$8&gt;0,B50:Y50,0))</f>
        <v>0</v>
      </c>
      <c r="AA50" s="19" t="str">
        <f>SUM(B50:M50)</f>
        <v>0</v>
      </c>
      <c r="AB50" s="19" t="str">
        <f>SUM(B50:Y50)</f>
        <v>0</v>
      </c>
    </row>
    <row r="51" spans="1:30"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</row>
    <row r="52" spans="1:30">
      <c r="B52" s="77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</row>
    <row r="53" spans="1:30">
      <c r="A53" s="3" t="s">
        <v>49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4"/>
    </row>
    <row r="55" spans="1:30">
      <c r="A55" s="5" t="s">
        <v>50</v>
      </c>
      <c r="B55" s="5"/>
    </row>
    <row r="56" spans="1:30">
      <c r="A56" t="s">
        <v>51</v>
      </c>
      <c r="B56" s="36" t="str">
        <f>Inputs!B49</f>
        <v>0</v>
      </c>
    </row>
    <row r="57" spans="1:30">
      <c r="A57" t="s">
        <v>52</v>
      </c>
      <c r="B57" s="36" t="str">
        <f>Inputs!B47</f>
        <v>0</v>
      </c>
    </row>
    <row r="58" spans="1:30">
      <c r="A58" t="s">
        <v>53</v>
      </c>
      <c r="B58" s="36" t="str">
        <f>SUMPRODUCT(Inputs!C19:C21,Calculations!O14:O16)</f>
        <v>0</v>
      </c>
    </row>
    <row r="59" spans="1:30">
      <c r="A59" t="s">
        <v>54</v>
      </c>
      <c r="B59" s="36" t="str">
        <f>IF(Inputs!B40="Yes",SUM(Inputs!C7:C11)*INDEX(Parameters!$H$54:$I$68,MATCH(Calculations!$I$32,Parameters!$B$54:$B$68,0),MATCH(Inputs!$B$43,Parameters!$H$52:$I$52,0)),0)</f>
        <v>0</v>
      </c>
    </row>
    <row r="60" spans="1:30">
      <c r="A60" t="s">
        <v>55</v>
      </c>
      <c r="B60" s="36" t="str">
        <f>IF(Inputs!B44="Yes",Inputs!B45,0)</f>
        <v>0</v>
      </c>
    </row>
    <row r="61" spans="1:30">
      <c r="A61" t="s">
        <v>56</v>
      </c>
      <c r="B61" s="36" t="str">
        <f>Inputs!B46</f>
        <v>0</v>
      </c>
    </row>
    <row r="62" spans="1:30" customHeight="1" ht="15.75">
      <c r="A62" s="18" t="s">
        <v>57</v>
      </c>
      <c r="B62" s="37" t="str">
        <f>Inputs!B48</f>
        <v>0</v>
      </c>
    </row>
    <row r="63" spans="1:30" customHeight="1" ht="15.75">
      <c r="A63" s="1" t="s">
        <v>58</v>
      </c>
      <c r="B63" s="19" t="str">
        <f>SUM(B56:B62)</f>
        <v>0</v>
      </c>
    </row>
    <row r="65" spans="1:30">
      <c r="A65" s="5" t="s">
        <v>59</v>
      </c>
      <c r="B65" s="5"/>
    </row>
    <row r="66" spans="1:30">
      <c r="A66" t="s">
        <v>60</v>
      </c>
      <c r="B66" s="36" t="str">
        <f>Inputs!B51</f>
        <v>0</v>
      </c>
    </row>
    <row r="67" spans="1:30">
      <c r="A67" t="s">
        <v>61</v>
      </c>
      <c r="B67" s="36" t="str">
        <f>SUM(Inputs!B56:B60)</f>
        <v>0</v>
      </c>
    </row>
    <row r="68" spans="1:30" customHeight="1" ht="15.75">
      <c r="A68" s="18" t="s">
        <v>62</v>
      </c>
      <c r="B68" s="37" t="str">
        <f>Calculations!F35</f>
        <v>0</v>
      </c>
    </row>
    <row r="69" spans="1:30" customHeight="1" ht="15.75">
      <c r="A69" s="1" t="s">
        <v>63</v>
      </c>
      <c r="B69" s="19" t="str">
        <f>SUM(B66:B68)</f>
        <v>0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64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65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10" t="s">
        <v>78</v>
      </c>
      <c r="N6" s="10" t="s">
        <v>79</v>
      </c>
    </row>
    <row r="7" spans="1:48">
      <c r="A7" s="144" t="s">
        <v>80</v>
      </c>
      <c r="B7" s="20"/>
      <c r="C7" s="144">
        <v>50</v>
      </c>
      <c r="D7" s="20"/>
      <c r="E7" s="147" t="s">
        <v>81</v>
      </c>
      <c r="F7" s="148" t="s">
        <v>82</v>
      </c>
      <c r="G7" s="147">
        <v>10</v>
      </c>
      <c r="H7" s="147" t="s">
        <v>83</v>
      </c>
      <c r="I7" s="149" t="s">
        <v>84</v>
      </c>
      <c r="J7" s="150" t="s">
        <v>85</v>
      </c>
      <c r="K7" s="139"/>
      <c r="L7" s="20"/>
      <c r="M7" s="165">
        <v>20</v>
      </c>
      <c r="N7" s="155">
        <v>2</v>
      </c>
      <c r="P7" s="41"/>
    </row>
    <row r="8" spans="1:48">
      <c r="A8" s="145" t="s">
        <v>86</v>
      </c>
      <c r="B8" s="16"/>
      <c r="C8" s="145">
        <v>40</v>
      </c>
      <c r="D8" s="16"/>
      <c r="E8" s="149" t="s">
        <v>87</v>
      </c>
      <c r="F8" s="151" t="s">
        <v>88</v>
      </c>
      <c r="G8" s="149">
        <v>10</v>
      </c>
      <c r="H8" s="149" t="s">
        <v>83</v>
      </c>
      <c r="I8" s="149" t="s">
        <v>84</v>
      </c>
      <c r="J8" s="150" t="s">
        <v>89</v>
      </c>
      <c r="K8" s="140" t="s">
        <v>90</v>
      </c>
      <c r="L8" s="16"/>
      <c r="M8" s="167">
        <v>20</v>
      </c>
      <c r="N8" s="156">
        <v>10</v>
      </c>
    </row>
    <row r="9" spans="1:48">
      <c r="A9" s="145" t="s">
        <v>91</v>
      </c>
      <c r="B9" s="16"/>
      <c r="C9" s="145">
        <v>8</v>
      </c>
      <c r="D9" s="16"/>
      <c r="E9" s="149" t="s">
        <v>92</v>
      </c>
      <c r="F9" s="151" t="s">
        <v>93</v>
      </c>
      <c r="G9" s="149">
        <v>5</v>
      </c>
      <c r="H9" s="149" t="s">
        <v>93</v>
      </c>
      <c r="I9" s="149" t="s">
        <v>94</v>
      </c>
      <c r="J9" s="150" t="s">
        <v>89</v>
      </c>
      <c r="K9" s="140"/>
      <c r="L9" s="16"/>
      <c r="M9" s="167">
        <v>20</v>
      </c>
      <c r="N9" s="156">
        <v>2</v>
      </c>
    </row>
    <row r="10" spans="1:48">
      <c r="A10" s="145" t="s">
        <v>95</v>
      </c>
      <c r="B10" s="16" t="s">
        <v>96</v>
      </c>
      <c r="C10" s="145">
        <v>10</v>
      </c>
      <c r="D10" s="16">
        <v>60</v>
      </c>
      <c r="E10" s="149" t="s">
        <v>97</v>
      </c>
      <c r="F10" s="151" t="s">
        <v>98</v>
      </c>
      <c r="G10" s="149">
        <v>10</v>
      </c>
      <c r="H10" s="149" t="s">
        <v>83</v>
      </c>
      <c r="I10" s="149" t="s">
        <v>94</v>
      </c>
      <c r="J10" s="150" t="s">
        <v>99</v>
      </c>
      <c r="K10" s="140" t="s">
        <v>100</v>
      </c>
      <c r="L10" s="16">
        <v>500</v>
      </c>
      <c r="M10" s="167">
        <v>20</v>
      </c>
      <c r="N10" s="156">
        <v>1</v>
      </c>
    </row>
    <row r="11" spans="1:48">
      <c r="A11" s="146"/>
      <c r="B11" s="23"/>
      <c r="C11" s="146"/>
      <c r="D11" s="23"/>
      <c r="E11" s="152"/>
      <c r="F11" s="153"/>
      <c r="G11" s="152"/>
      <c r="H11" s="152"/>
      <c r="I11" s="152"/>
      <c r="J11" s="154"/>
      <c r="K11" s="121"/>
      <c r="L11" s="23"/>
      <c r="M11" s="169"/>
      <c r="N11" s="157"/>
    </row>
    <row r="14" spans="1:48">
      <c r="A14" s="3" t="s">
        <v>53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4" t="s">
        <v>114</v>
      </c>
      <c r="B19" s="20"/>
      <c r="C19" s="144">
        <v>500</v>
      </c>
      <c r="D19" s="147">
        <v>50</v>
      </c>
      <c r="E19" s="20"/>
      <c r="F19" s="147" t="s">
        <v>83</v>
      </c>
      <c r="G19" s="20"/>
      <c r="H19" s="20"/>
      <c r="I19" s="147" t="s">
        <v>115</v>
      </c>
      <c r="J19" s="147">
        <v>20</v>
      </c>
      <c r="K19" s="147">
        <v>10</v>
      </c>
      <c r="L19" s="25"/>
    </row>
    <row r="20" spans="1:48">
      <c r="A20" s="145" t="s">
        <v>116</v>
      </c>
      <c r="B20" s="16"/>
      <c r="C20" s="145">
        <v>200</v>
      </c>
      <c r="D20" s="149">
        <v>100</v>
      </c>
      <c r="E20" s="16"/>
      <c r="F20" s="149" t="s">
        <v>83</v>
      </c>
      <c r="G20" s="16"/>
      <c r="H20" s="16"/>
      <c r="I20" s="149" t="s">
        <v>117</v>
      </c>
      <c r="J20" s="149">
        <v>10</v>
      </c>
      <c r="K20" s="149"/>
      <c r="L20" s="30"/>
    </row>
    <row r="21" spans="1:48">
      <c r="A21" s="146" t="s">
        <v>118</v>
      </c>
      <c r="B21" s="23" t="s">
        <v>119</v>
      </c>
      <c r="C21" s="146">
        <v>50</v>
      </c>
      <c r="D21" s="152">
        <v>0</v>
      </c>
      <c r="E21" s="23">
        <v>15</v>
      </c>
      <c r="F21" s="152" t="s">
        <v>93</v>
      </c>
      <c r="G21" s="23">
        <v>6000</v>
      </c>
      <c r="H21" s="23">
        <v>1000</v>
      </c>
      <c r="I21" s="152" t="s">
        <v>120</v>
      </c>
      <c r="J21" s="152"/>
      <c r="K21" s="152">
        <v>10</v>
      </c>
      <c r="L21" s="31"/>
    </row>
    <row r="23" spans="1:48">
      <c r="A23" s="3" t="s">
        <v>121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122</v>
      </c>
      <c r="B25" s="179">
        <v>20</v>
      </c>
    </row>
    <row r="27" spans="1:48">
      <c r="A27" s="14" t="s">
        <v>123</v>
      </c>
    </row>
    <row r="29" spans="1:48">
      <c r="A29" s="45" t="s">
        <v>124</v>
      </c>
      <c r="B29" s="158">
        <v>10000</v>
      </c>
    </row>
    <row r="30" spans="1:48">
      <c r="A30" s="44" t="s">
        <v>125</v>
      </c>
      <c r="B30" s="159">
        <v>40000</v>
      </c>
    </row>
    <row r="31" spans="1:48">
      <c r="A31" s="5" t="s">
        <v>126</v>
      </c>
      <c r="B31" s="160">
        <v>2000</v>
      </c>
    </row>
    <row r="33" spans="1:48">
      <c r="A33" s="14" t="s">
        <v>127</v>
      </c>
    </row>
    <row r="34" spans="1:48">
      <c r="A34" s="10" t="s">
        <v>128</v>
      </c>
      <c r="B34" s="10" t="s">
        <v>129</v>
      </c>
      <c r="C34" s="10" t="s">
        <v>130</v>
      </c>
      <c r="D34" s="48" t="s">
        <v>131</v>
      </c>
    </row>
    <row r="35" spans="1:48">
      <c r="A35" s="144" t="s">
        <v>132</v>
      </c>
      <c r="B35" s="161">
        <v>8000</v>
      </c>
      <c r="C35" s="147" t="s">
        <v>133</v>
      </c>
      <c r="D35" s="49" t="str">
        <f>IFERROR(VLOOKUP(C35,Parameters!$C$76:$D$87,2,0),"")</f>
        <v>0</v>
      </c>
    </row>
    <row r="36" spans="1:48">
      <c r="A36" s="146" t="s">
        <v>134</v>
      </c>
      <c r="B36" s="160">
        <v>5000</v>
      </c>
      <c r="C36" s="152" t="s">
        <v>135</v>
      </c>
      <c r="D36" s="49" t="str">
        <f>IFERROR(VLOOKUP(C36,Parameters!$C$76:$D$87,2,0),"")</f>
        <v>0</v>
      </c>
    </row>
    <row r="38" spans="1:48">
      <c r="A38" s="3" t="s">
        <v>136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137</v>
      </c>
      <c r="B40" s="162" t="s">
        <v>83</v>
      </c>
    </row>
    <row r="41" spans="1:48">
      <c r="A41" s="55" t="s">
        <v>138</v>
      </c>
      <c r="B41" s="142"/>
    </row>
    <row r="42" spans="1:48">
      <c r="A42" s="55" t="s">
        <v>139</v>
      </c>
      <c r="B42" s="141"/>
    </row>
    <row r="43" spans="1:48">
      <c r="A43" s="55" t="s">
        <v>140</v>
      </c>
      <c r="B43" s="162" t="s">
        <v>141</v>
      </c>
    </row>
    <row r="44" spans="1:48">
      <c r="A44" s="56" t="s">
        <v>142</v>
      </c>
      <c r="B44" s="162" t="s">
        <v>83</v>
      </c>
    </row>
    <row r="45" spans="1:48">
      <c r="A45" s="56" t="s">
        <v>143</v>
      </c>
      <c r="B45" s="163">
        <v>500000</v>
      </c>
    </row>
    <row r="46" spans="1:48" customHeight="1" ht="30">
      <c r="A46" s="57" t="s">
        <v>144</v>
      </c>
      <c r="B46" s="163">
        <v>300000</v>
      </c>
    </row>
    <row r="47" spans="1:48" customHeight="1" ht="30">
      <c r="A47" s="57" t="s">
        <v>145</v>
      </c>
      <c r="B47" s="163">
        <v>100000</v>
      </c>
    </row>
    <row r="48" spans="1:48" customHeight="1" ht="30">
      <c r="A48" s="57" t="s">
        <v>146</v>
      </c>
      <c r="B48" s="163">
        <v>50000</v>
      </c>
    </row>
    <row r="49" spans="1:48" customHeight="1" ht="30">
      <c r="A49" s="57" t="s">
        <v>147</v>
      </c>
      <c r="B49" s="163">
        <v>10000</v>
      </c>
    </row>
    <row r="50" spans="1:48">
      <c r="A50" s="43"/>
      <c r="B50" s="36"/>
    </row>
    <row r="51" spans="1:48">
      <c r="A51" s="58" t="s">
        <v>148</v>
      </c>
      <c r="B51" s="163">
        <v>5000</v>
      </c>
    </row>
    <row r="52" spans="1:48">
      <c r="A52" s="43"/>
    </row>
    <row r="53" spans="1:48">
      <c r="A53" s="3" t="s">
        <v>149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150</v>
      </c>
      <c r="B55" s="10" t="s">
        <v>151</v>
      </c>
      <c r="C55" s="10" t="s">
        <v>152</v>
      </c>
      <c r="D55" s="10" t="s">
        <v>153</v>
      </c>
      <c r="E55" s="10" t="s">
        <v>154</v>
      </c>
      <c r="F55" s="10" t="s">
        <v>155</v>
      </c>
    </row>
    <row r="56" spans="1:48">
      <c r="A56" s="161">
        <v>10000</v>
      </c>
      <c r="B56" s="161">
        <v>1000</v>
      </c>
      <c r="C56" s="164" t="s">
        <v>156</v>
      </c>
      <c r="D56" s="165" t="s">
        <v>157</v>
      </c>
      <c r="E56" s="165" t="s">
        <v>83</v>
      </c>
      <c r="F56" s="165" t="s">
        <v>158</v>
      </c>
    </row>
    <row r="57" spans="1:48">
      <c r="A57" s="159">
        <v>5000</v>
      </c>
      <c r="B57" s="159">
        <v>500</v>
      </c>
      <c r="C57" s="166" t="s">
        <v>159</v>
      </c>
      <c r="D57" s="167" t="s">
        <v>160</v>
      </c>
      <c r="E57" s="167" t="s">
        <v>83</v>
      </c>
      <c r="F57" s="167" t="s">
        <v>161</v>
      </c>
    </row>
    <row r="58" spans="1:48">
      <c r="A58" s="159">
        <v>50000</v>
      </c>
      <c r="B58" s="159">
        <v>10000</v>
      </c>
      <c r="C58" s="166" t="s">
        <v>162</v>
      </c>
      <c r="D58" s="167" t="s">
        <v>163</v>
      </c>
      <c r="E58" s="167" t="s">
        <v>93</v>
      </c>
      <c r="F58" s="167" t="s">
        <v>164</v>
      </c>
    </row>
    <row r="59" spans="1:48">
      <c r="A59" s="159">
        <v>15000</v>
      </c>
      <c r="B59" s="159">
        <v>2000</v>
      </c>
      <c r="C59" s="166" t="s">
        <v>165</v>
      </c>
      <c r="D59" s="167" t="s">
        <v>166</v>
      </c>
      <c r="E59" s="167" t="s">
        <v>83</v>
      </c>
      <c r="F59" s="167" t="s">
        <v>167</v>
      </c>
    </row>
    <row r="60" spans="1:48">
      <c r="A60" s="160">
        <v>60000</v>
      </c>
      <c r="B60" s="160">
        <v>1000</v>
      </c>
      <c r="C60" s="168" t="s">
        <v>168</v>
      </c>
      <c r="D60" s="169" t="s">
        <v>169</v>
      </c>
      <c r="E60" s="169" t="s">
        <v>83</v>
      </c>
      <c r="F60" s="169" t="s">
        <v>170</v>
      </c>
    </row>
    <row r="63" spans="1:48">
      <c r="A63" s="3" t="s">
        <v>171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131</v>
      </c>
      <c r="B65" s="10" t="s">
        <v>172</v>
      </c>
      <c r="C65" s="10" t="s">
        <v>173</v>
      </c>
    </row>
    <row r="66" spans="1:48">
      <c r="A66" s="144" t="s">
        <v>90</v>
      </c>
      <c r="B66" s="161">
        <v>50000</v>
      </c>
      <c r="C66" s="165">
        <v>10000</v>
      </c>
      <c r="D66" s="49" t="str">
        <f>INDEX(Parameters!$D$76:$D$87,MATCH(Inputs!A66,Parameters!$C$76:$C$87,0))</f>
        <v>0</v>
      </c>
    </row>
    <row r="67" spans="1:48">
      <c r="A67" s="145" t="s">
        <v>99</v>
      </c>
      <c r="B67" s="159">
        <v>90000</v>
      </c>
      <c r="C67" s="167">
        <v>15000</v>
      </c>
      <c r="D67" s="49" t="str">
        <f>INDEX(Parameters!$D$76:$D$87,MATCH(Inputs!A67,Parameters!$C$76:$C$87,0))</f>
        <v>0</v>
      </c>
    </row>
    <row r="68" spans="1:48">
      <c r="A68" s="145" t="s">
        <v>133</v>
      </c>
      <c r="B68" s="159">
        <v>80000</v>
      </c>
      <c r="C68" s="167">
        <v>12000</v>
      </c>
      <c r="D68" s="49" t="str">
        <f>INDEX(Parameters!$D$76:$D$87,MATCH(Inputs!A68,Parameters!$C$76:$C$87,0))</f>
        <v>0</v>
      </c>
    </row>
    <row r="69" spans="1:48">
      <c r="A69" s="145" t="s">
        <v>89</v>
      </c>
      <c r="B69" s="159">
        <v>50000</v>
      </c>
      <c r="C69" s="167">
        <v>5000</v>
      </c>
      <c r="D69" s="49" t="str">
        <f>INDEX(Parameters!$D$76:$D$87,MATCH(Inputs!A69,Parameters!$C$76:$C$87,0))</f>
        <v>0</v>
      </c>
    </row>
    <row r="70" spans="1:48">
      <c r="A70" s="145" t="s">
        <v>135</v>
      </c>
      <c r="B70" s="159">
        <v>50000</v>
      </c>
      <c r="C70" s="167">
        <v>10000</v>
      </c>
      <c r="D70" s="49" t="str">
        <f>INDEX(Parameters!$D$76:$D$87,MATCH(Inputs!A70,Parameters!$C$76:$C$87,0))</f>
        <v>0</v>
      </c>
    </row>
    <row r="71" spans="1:48">
      <c r="A71" s="146" t="s">
        <v>174</v>
      </c>
      <c r="B71" s="160">
        <v>20000</v>
      </c>
      <c r="C71" s="169">
        <v>5000</v>
      </c>
      <c r="D71" s="49" t="str">
        <f>INDEX(Parameters!$D$76:$D$87,MATCH(Inputs!A71,Parameters!$C$76:$C$87,0))</f>
        <v>0</v>
      </c>
    </row>
    <row r="73" spans="1:48">
      <c r="A73" s="3" t="s">
        <v>175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176</v>
      </c>
      <c r="B75" s="163">
        <v>10</v>
      </c>
    </row>
    <row r="76" spans="1:48">
      <c r="A76" t="s">
        <v>177</v>
      </c>
      <c r="B76" s="170" t="s">
        <v>165</v>
      </c>
    </row>
    <row r="78" spans="1:48" customHeight="1" ht="20.25">
      <c r="B78" s="129" t="s">
        <v>178</v>
      </c>
    </row>
    <row r="79" spans="1:48">
      <c r="A79" t="s">
        <v>179</v>
      </c>
      <c r="B79" s="170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180</v>
      </c>
      <c r="B80" s="170" t="s">
        <v>181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182</v>
      </c>
      <c r="B81" s="163">
        <v>10000</v>
      </c>
    </row>
    <row r="82" spans="1:48">
      <c r="A82" t="s">
        <v>183</v>
      </c>
      <c r="B82" s="163">
        <v>18</v>
      </c>
    </row>
    <row r="83" spans="1:48">
      <c r="A83" t="s">
        <v>184</v>
      </c>
      <c r="B83" s="171" t="s">
        <v>185</v>
      </c>
    </row>
    <row r="84" spans="1:48">
      <c r="A84" t="s">
        <v>186</v>
      </c>
      <c r="B84" s="171">
        <v>2</v>
      </c>
    </row>
    <row r="85" spans="1:48">
      <c r="A85" t="s">
        <v>187</v>
      </c>
      <c r="B85" s="171">
        <v>6</v>
      </c>
    </row>
    <row r="86" spans="1:48">
      <c r="A86" t="s">
        <v>188</v>
      </c>
      <c r="B86" s="163"/>
    </row>
    <row r="87" spans="1:48">
      <c r="A87" t="s">
        <v>189</v>
      </c>
      <c r="B87" s="16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F43" sqref="F43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17.140625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64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66</v>
      </c>
      <c r="B3" s="15" t="s">
        <v>190</v>
      </c>
      <c r="C3" s="15" t="s">
        <v>191</v>
      </c>
      <c r="D3" s="15" t="s">
        <v>192</v>
      </c>
      <c r="E3" s="15" t="s">
        <v>193</v>
      </c>
      <c r="F3" s="15" t="s">
        <v>194</v>
      </c>
      <c r="G3" s="15" t="s">
        <v>195</v>
      </c>
      <c r="H3" s="15" t="s">
        <v>196</v>
      </c>
      <c r="I3" s="15" t="s">
        <v>197</v>
      </c>
      <c r="J3" s="15" t="s">
        <v>198</v>
      </c>
      <c r="K3" s="15" t="s">
        <v>199</v>
      </c>
      <c r="L3" s="15" t="s">
        <v>200</v>
      </c>
      <c r="M3" s="15" t="s">
        <v>201</v>
      </c>
      <c r="N3" s="15" t="s">
        <v>202</v>
      </c>
      <c r="O3" s="15" t="s">
        <v>203</v>
      </c>
      <c r="P3" s="15" t="s">
        <v>204</v>
      </c>
      <c r="Q3" s="32" t="s">
        <v>205</v>
      </c>
      <c r="R3" s="15" t="s">
        <v>206</v>
      </c>
      <c r="S3" s="15" t="s">
        <v>207</v>
      </c>
      <c r="T3" s="15" t="s">
        <v>208</v>
      </c>
      <c r="U3" s="180" t="s">
        <v>78</v>
      </c>
      <c r="V3" s="32" t="s">
        <v>209</v>
      </c>
      <c r="W3" s="32" t="s">
        <v>210</v>
      </c>
      <c r="X3" s="32" t="s">
        <v>211</v>
      </c>
      <c r="Y3" s="32" t="s">
        <v>212</v>
      </c>
      <c r="Z3" s="32" t="s">
        <v>39</v>
      </c>
      <c r="AA3" s="32" t="s">
        <v>213</v>
      </c>
      <c r="AB3" s="32" t="s">
        <v>214</v>
      </c>
      <c r="AC3" s="59" t="str">
        <f>Output!B3</f>
        <v>0</v>
      </c>
      <c r="AD3" s="59" t="str">
        <f>Output!C3</f>
        <v>0</v>
      </c>
      <c r="AE3" s="59" t="str">
        <f>Output!D3</f>
        <v>0</v>
      </c>
      <c r="AF3" s="59" t="str">
        <f>Output!E3</f>
        <v>0</v>
      </c>
      <c r="AG3" s="59" t="str">
        <f>Output!F3</f>
        <v>0</v>
      </c>
      <c r="AH3" s="59" t="str">
        <f>Output!G3</f>
        <v>0</v>
      </c>
      <c r="AI3" s="59" t="str">
        <f>Output!H3</f>
        <v>0</v>
      </c>
      <c r="AJ3" s="59" t="str">
        <f>Output!I3</f>
        <v>0</v>
      </c>
      <c r="AK3" s="59" t="str">
        <f>Output!J3</f>
        <v>0</v>
      </c>
      <c r="AL3" s="59" t="str">
        <f>Output!K3</f>
        <v>0</v>
      </c>
      <c r="AM3" s="59" t="str">
        <f>Output!L3</f>
        <v>0</v>
      </c>
      <c r="AN3" s="59" t="str">
        <f>Output!M3</f>
        <v>0</v>
      </c>
      <c r="AO3" s="59" t="str">
        <f>Output!N3</f>
        <v>0</v>
      </c>
      <c r="AP3" s="59" t="str">
        <f>Output!O3</f>
        <v>0</v>
      </c>
      <c r="AQ3" s="59" t="str">
        <f>Output!P3</f>
        <v>0</v>
      </c>
      <c r="AR3" s="59" t="str">
        <f>Output!Q3</f>
        <v>0</v>
      </c>
      <c r="AS3" s="59" t="str">
        <f>Output!R3</f>
        <v>0</v>
      </c>
      <c r="AT3" s="59" t="str">
        <f>Output!S3</f>
        <v>0</v>
      </c>
    </row>
    <row r="4" spans="1:46" s="21" customFormat="1">
      <c r="A4" s="20" t="str">
        <f>Inputs!A7</f>
        <v>0</v>
      </c>
      <c r="B4" s="38" t="str">
        <f>IFERROR(IF(DATE(YEAR(Inputs!$B$76),VLOOKUP(VLOOKUP(A4,Inputs!$A$7:$J$11,MATCH(Inputs!$J$6,Inputs!$A$6:$N$6,0),0),Parameters!$C$76:$D$87,2,0)+1,1)&gt;Inputs!$B$76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>0</v>
      </c>
      <c r="C4" s="38" t="str">
        <f>IFERROR(DATE(YEAR(B4),MONTH(B4)+ROUND(T4/2,0),DAY(B4)),B4)</f>
        <v>0</v>
      </c>
      <c r="D4" s="38" t="str">
        <f>IFERROR(DATE(YEAR(B4),MONTH(B4)+T4,DAY(B4)),"")</f>
        <v>0</v>
      </c>
      <c r="E4" s="38" t="str">
        <f>IFERROR(IF($S4=0,"",IF($S4=2,DATE(YEAR(B4),MONTH(B4)+6,DAY(B4)),IF($S4=1,B4,""))),"")</f>
        <v>0</v>
      </c>
      <c r="F4" s="38" t="str">
        <f>IFERROR(IF($S4=0,"",IF($S4=2,DATE(YEAR(C4),MONTH(C4)+6,DAY(C4)),IF($S4=1,C4,""))),"")</f>
        <v>0</v>
      </c>
      <c r="G4" s="38" t="str">
        <f>IFERROR(IF($S4=0,"",IF($S4=2,DATE(YEAR(D4),MONTH(D4)+6,DAY(D4)),IF($S4=1,D4,""))),"")</f>
        <v>0</v>
      </c>
      <c r="H4" s="20" t="str">
        <f>Inputs!C7</f>
        <v>0</v>
      </c>
      <c r="I4" s="139" t="str">
        <f>IFERROR(VLOOKUP(Inputs!E7,Parameters!$J$74:$K$78,2,0),"")</f>
        <v>0</v>
      </c>
      <c r="J4" s="26" t="str">
        <f>IFERROR(Inputs!G7/Calculations!H4,"")</f>
        <v>0</v>
      </c>
      <c r="K4" s="26" t="str">
        <f>IFERROR(INDEX(Parameters!$A$3:$V$17,MATCH(Calculations!$A4,Parameters!$A$3:$A$17,0),MATCH(Parameters!$I$3,Parameters!$A$3:$V$3,0)),0)</f>
        <v>0</v>
      </c>
      <c r="L4" s="29" t="str">
        <f>IFERROR(IF(A4="Other crops",Inputs!D7/Calculations!H4,IF(NOT(ISERROR(MATCH(Inputs!A7,Parameters!$D$52:$I$52,0))),INDEX(Parameters!$B$53:$I$68,MATCH(Calculations!$I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I$32,Parameters!$B$53:$B$68,0),MATCH(Parameters!$G$53,Parameters!$B$53:$G$53,0))="Yes",OR(Inputs!I7="No",Inputs!I7="")),INDEX(Parameters!$A$3:$AI$17,MATCH(Inputs!A7,Parameters!$A$3:$A$17,0),MATCH(Parameters!$H$3,Parameters!$A$3:$AI$3,0)),1),1),0)</f>
        <v>0</v>
      </c>
      <c r="M4" s="25" t="str">
        <f>L4*H4</f>
        <v>0</v>
      </c>
      <c r="N4" s="22" t="str">
        <f>Calculations!U4</f>
        <v>0</v>
      </c>
      <c r="O4" s="30" t="str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0</v>
      </c>
      <c r="P4" s="22" t="str">
        <f>IFERROR(INDEX(Parameters!$A$3:$V$17,MATCH(Calculations!$A4,Parameters!$A$3:$A$17,0),MATCH($P$3,Parameters!$A$3:$V$3,0)),0)</f>
        <v>0</v>
      </c>
      <c r="Q4" s="33" t="str">
        <f>M4*O4*(1-N4)*MAX(S4,1)</f>
        <v>0</v>
      </c>
      <c r="R4" s="22" t="str">
        <f>IFERROR(INDEX(Parameters!$A$3:$V$17,MATCH(Calculations!$A4,Parameters!$A$3:$A$17,0),MATCH($R$3,Parameters!$A$3:$V$3,0)),0)</f>
        <v>0</v>
      </c>
      <c r="S4" s="25" t="str">
        <f>IF(ISERROR(MATCH(Inputs!A7,Parameters!$D$52:$I$52,0)),IF(T4="","",IF(T4&lt;6,2,IF(T4="N/A",IF(Inputs!J7&lt;&gt;Parameters!$C$75,0,2),1))),INDEX(Parameters!$B$53:$I$68,MATCH(Calculations!$I$32,Parameters!$B$53:$B$68,0),MATCH(Parameters!$E$53,Parameters!$B$53:$I$53,0)))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I$32,Parameters!$B$53:$B$68,0),MATCH(Parameters!$F$53,Parameters!$B$53:$I$53,0)))</f>
        <v>0</v>
      </c>
      <c r="U4" s="60" t="str">
        <f>Inputs!M7/100</f>
        <v>0</v>
      </c>
      <c r="V4" s="33" t="str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 t="str">
        <f>IFERROR(J4*H4*Parameters!$B$35+IF(OR(Inputs!F7=Parameters!$E$75,Inputs!F7=Parameters!$E$77),Calculations!H4*Parameters!$B$36,0),0)</f>
        <v>0</v>
      </c>
      <c r="X4" s="33" t="str">
        <f>IFERROR(IF(J4/K4&gt;0.5,H4*INDEX(Parameters!$A$3:$AI$17,MATCH(Calculations!A4,Parameters!$A$3:$A$17,0),MATCH(Parameters!$J$3,Parameters!$A$3:$AI$3,0)),0),0)</f>
        <v>0</v>
      </c>
      <c r="Y4" s="33" t="str">
        <f>IF(Inputs!H7="Yes",IFERROR(H4*INDEX(Parameters!$A$3:$AI$17,MATCH(Calculations!A4,Parameters!$A$3:$A$17,0),MATCH(Parameters!$P$3,Parameters!$A$3:$AI$3,0)),AVERAGE(Parameters!$P$4:$P$17)),0)</f>
        <v>0</v>
      </c>
      <c r="Z4" s="33" t="str">
        <f>IF(Inputs!I7=Parameters!$F$75,H4*INDEX(Parameters!$A$3:$AI$18,MATCH(Calculations!A4,Parameters!$A$3:$A$18,0),MATCH(Parameters!$Q$3,Parameters!$A$3:$AI$3,0)),0)</f>
        <v>0</v>
      </c>
      <c r="AA4" s="33" t="str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IF($D4="",1/12,IFERROR(INDEX(Parameters!$X$2:$AI$17,MATCH(Calculations!$A4,Parameters!$A$2:$A$17,0),MATCH(MONTH(Calculations!AC$3),Parameters!$X$2:$AI$2,0)),1/12))</f>
        <v>0</v>
      </c>
      <c r="AD4" s="60" t="str">
        <f>IF($D4="",1/12,IFERROR(INDEX(Parameters!$X$2:$AI$17,MATCH(Calculations!$A4,Parameters!$A$2:$A$17,0),MATCH(MONTH(Calculations!AD$3),Parameters!$X$2:$AI$2,0)),1/12))</f>
        <v>0</v>
      </c>
      <c r="AE4" s="60" t="str">
        <f>IF($D4="",1/12,IFERROR(INDEX(Parameters!$X$2:$AI$17,MATCH(Calculations!$A4,Parameters!$A$2:$A$17,0),MATCH(MONTH(Calculations!AE$3),Parameters!$X$2:$AI$2,0)),1/12))</f>
        <v>0</v>
      </c>
      <c r="AF4" s="60" t="str">
        <f>IF($D4="",1/12,IFERROR(INDEX(Parameters!$X$2:$AI$17,MATCH(Calculations!$A4,Parameters!$A$2:$A$17,0),MATCH(MONTH(Calculations!AF$3),Parameters!$X$2:$AI$2,0)),1/12))</f>
        <v>0</v>
      </c>
      <c r="AG4" s="60" t="str">
        <f>IF($D4="",1/12,IFERROR(INDEX(Parameters!$X$2:$AI$17,MATCH(Calculations!$A4,Parameters!$A$2:$A$17,0),MATCH(MONTH(Calculations!AG$3),Parameters!$X$2:$AI$2,0)),1/12))</f>
        <v>0</v>
      </c>
      <c r="AH4" s="60" t="str">
        <f>IF($D4="",1/12,IFERROR(INDEX(Parameters!$X$2:$AI$17,MATCH(Calculations!$A4,Parameters!$A$2:$A$17,0),MATCH(MONTH(Calculations!AH$3),Parameters!$X$2:$AI$2,0)),1/12))</f>
        <v>0</v>
      </c>
      <c r="AI4" s="60" t="str">
        <f>IF($D4="",1/12,IFERROR(INDEX(Parameters!$X$2:$AI$17,MATCH(Calculations!$A4,Parameters!$A$2:$A$17,0),MATCH(MONTH(Calculations!AI$3),Parameters!$X$2:$AI$2,0)),1/12))</f>
        <v>0</v>
      </c>
      <c r="AJ4" s="60" t="str">
        <f>IF($D4="",1/12,IFERROR(INDEX(Parameters!$X$2:$AI$17,MATCH(Calculations!$A4,Parameters!$A$2:$A$17,0),MATCH(MONTH(Calculations!AJ$3),Parameters!$X$2:$AI$2,0)),1/12))</f>
        <v>0</v>
      </c>
      <c r="AK4" s="60" t="str">
        <f>IF($D4="",1/12,IFERROR(INDEX(Parameters!$X$2:$AI$17,MATCH(Calculations!$A4,Parameters!$A$2:$A$17,0),MATCH(MONTH(Calculations!AK$3),Parameters!$X$2:$AI$2,0)),1/12))</f>
        <v>0</v>
      </c>
      <c r="AL4" s="60" t="str">
        <f>IF($D4="",1/12,IFERROR(INDEX(Parameters!$X$2:$AI$17,MATCH(Calculations!$A4,Parameters!$A$2:$A$17,0),MATCH(MONTH(Calculations!AL$3),Parameters!$X$2:$AI$2,0)),1/12))</f>
        <v>0</v>
      </c>
      <c r="AM4" s="60" t="str">
        <f>IF($D4="",1/12,IFERROR(INDEX(Parameters!$X$2:$AI$17,MATCH(Calculations!$A4,Parameters!$A$2:$A$17,0),MATCH(MONTH(Calculations!AM$3),Parameters!$X$2:$AI$2,0)),1/12))</f>
        <v>0</v>
      </c>
      <c r="AN4" s="60" t="str">
        <f>IF($D4="",1/12,IFERROR(INDEX(Parameters!$X$2:$AI$17,MATCH(Calculations!$A4,Parameters!$A$2:$A$17,0),MATCH(MONTH(Calculations!AN$3),Parameters!$X$2:$AI$2,0)),1/12))</f>
        <v>0</v>
      </c>
      <c r="AO4" s="60" t="str">
        <f>IF($D4="",1/12,IFERROR(INDEX(Parameters!$X$2:$AI$17,MATCH(Calculations!$A4,Parameters!$A$2:$A$17,0),MATCH(MONTH(Calculations!AO$3),Parameters!$X$2:$AI$2,0)),1/12))</f>
        <v>0</v>
      </c>
      <c r="AP4" s="60" t="str">
        <f>IF($D4="",1/12,IFERROR(INDEX(Parameters!$X$2:$AI$17,MATCH(Calculations!$A4,Parameters!$A$2:$A$17,0),MATCH(MONTH(Calculations!AP$3),Parameters!$X$2:$AI$2,0)),1/12))</f>
        <v>0</v>
      </c>
      <c r="AQ4" s="60" t="str">
        <f>IF($D4="",1/12,IFERROR(INDEX(Parameters!$X$2:$AI$17,MATCH(Calculations!$A4,Parameters!$A$2:$A$17,0),MATCH(MONTH(Calculations!AQ$3),Parameters!$X$2:$AI$2,0)),1/12))</f>
        <v>0</v>
      </c>
      <c r="AR4" s="60" t="str">
        <f>IF($D4="",1/12,IFERROR(INDEX(Parameters!$X$2:$AI$17,MATCH(Calculations!$A4,Parameters!$A$2:$A$17,0),MATCH(MONTH(Calculations!AR$3),Parameters!$X$2:$AI$2,0)),1/12))</f>
        <v>0</v>
      </c>
      <c r="AS4" s="60" t="str">
        <f>IF($D4="",1/12,IFERROR(INDEX(Parameters!$X$2:$AI$17,MATCH(Calculations!$A4,Parameters!$A$2:$A$17,0),MATCH(MONTH(Calculations!AS$3),Parameters!$X$2:$AI$2,0)),1/12))</f>
        <v>0</v>
      </c>
      <c r="AT4" s="60" t="str">
        <f>IF($D4="",1/12,IFERROR(INDEX(Parameters!$X$2:$AI$17,MATCH(Calculations!$A4,Parameters!$A$2:$A$17,0),MATCH(MONTH(Calculations!AT$3),Parameters!$X$2:$AI$2,0)),1/12))</f>
        <v>0</v>
      </c>
    </row>
    <row r="5" spans="1:46" s="21" customFormat="1">
      <c r="A5" s="16" t="str">
        <f>Inputs!A8</f>
        <v>0</v>
      </c>
      <c r="B5" s="39" t="str">
        <f>IFERROR(IF(DATE(YEAR(Inputs!$B$76),VLOOKUP(VLOOKUP(A5,Inputs!$A$7:$J$11,MATCH(Inputs!$J$6,Inputs!$A$6:$N$6,0),0),Parameters!$C$76:$D$87,2,0)+1,1)&gt;Inputs!$B$76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>0</v>
      </c>
      <c r="C5" s="39" t="str">
        <f>IFERROR(DATE(YEAR(B5),MONTH(B5)+ROUND(T5/2,0),DAY(B5)),B5)</f>
        <v>0</v>
      </c>
      <c r="D5" s="39" t="str">
        <f>IFERROR(DATE(YEAR(B5),MONTH(B5)+T5,DAY(B5)),"")</f>
        <v>0</v>
      </c>
      <c r="E5" s="39" t="str">
        <f>IFERROR(IF($S5=0,"",IF($S5=2,DATE(YEAR(B5),MONTH(B5)+6,DAY(B5)),IF($S5=1,B5,""))),"")</f>
        <v>0</v>
      </c>
      <c r="F5" s="39" t="str">
        <f>IFERROR(IF($S5=0,"",IF($S5=2,DATE(YEAR(C5),MONTH(C5)+6,DAY(C5)),IF($S5=1,C5,""))),"")</f>
        <v>0</v>
      </c>
      <c r="G5" s="39" t="str">
        <f>IFERROR(IF($S5=0,"",IF($S5=2,DATE(YEAR(D5),MONTH(D5)+6,DAY(D5)),IF($S5=1,D5,""))),"")</f>
        <v>0</v>
      </c>
      <c r="H5" s="16" t="str">
        <f>Inputs!C8</f>
        <v>0</v>
      </c>
      <c r="I5" s="140" t="str">
        <f>IFERROR(VLOOKUP(Inputs!E8,Parameters!$J$74:$K$78,2,0),"")</f>
        <v>0</v>
      </c>
      <c r="J5" s="27" t="str">
        <f>IFERROR(Inputs!G8/Calculations!H5,"")</f>
        <v>0</v>
      </c>
      <c r="K5" s="27" t="str">
        <f>IFERROR(INDEX(Parameters!$A$3:$V$17,MATCH(Calculations!$A5,Parameters!$A$3:$A$17,0),MATCH(Parameters!$I$3,Parameters!$A$3:$V$3,0)),0)</f>
        <v>0</v>
      </c>
      <c r="L5" s="93" t="str">
        <f>IFERROR(IF(A5="Other crops",Inputs!D8/Calculations!H5,IF(NOT(ISERROR(MATCH(Inputs!A8,Parameters!$D$52:$I$52,0))),INDEX(Parameters!$B$53:$I$68,MATCH(Calculations!$I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I$32,Parameters!$B$53:$B$68,0),MATCH(Parameters!$G$53,Parameters!$B$53:$G$53,0))="Yes",OR(Inputs!I8="No",Inputs!I8="")),INDEX(Parameters!$A$3:$AI$17,MATCH(Inputs!A8,Parameters!$A$3:$A$17,0),MATCH(Parameters!$H$3,Parameters!$A$3:$AI$3,0)),1),1),0)</f>
        <v>0</v>
      </c>
      <c r="M5" s="30" t="str">
        <f>L5*H5</f>
        <v>0</v>
      </c>
      <c r="N5" s="22" t="str">
        <f>Calculations!U5</f>
        <v>0</v>
      </c>
      <c r="O5" s="30" t="str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0</v>
      </c>
      <c r="P5" s="22" t="str">
        <f>IFERROR(INDEX(Parameters!$A$3:$V$17,MATCH(Calculations!$A5,Parameters!$A$3:$A$17,0),MATCH($P$3,Parameters!$A$3:$V$3,0)),0)</f>
        <v>0</v>
      </c>
      <c r="Q5" s="34" t="str">
        <f>M5*O5*(1-N5)*MAX(S5,1)</f>
        <v>0</v>
      </c>
      <c r="R5" s="22" t="str">
        <f>IFERROR(INDEX(Parameters!$A$3:$V$17,MATCH(Calculations!$A5,Parameters!$A$3:$A$17,0),MATCH($R$3,Parameters!$A$3:$V$3,0)),0)</f>
        <v>0</v>
      </c>
      <c r="S5" s="30" t="str">
        <f>IF(ISERROR(MATCH(Inputs!A8,Parameters!$D$52:$I$52,0)),IF(T5="","",IF(T5&lt;6,2,IF(T5="N/A",IF(Inputs!J8&lt;&gt;Parameters!$C$75,0,2),1))),INDEX(Parameters!$B$53:$I$68,MATCH(Calculations!$I$32,Parameters!$B$53:$B$68,0),MATCH(Parameters!$E$53,Parameters!$B$53:$I$53,0)))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I$32,Parameters!$B$53:$B$68,0),MATCH(Parameters!$F$53,Parameters!$B$53:$I$53,0)))</f>
        <v>0</v>
      </c>
      <c r="U5" s="22" t="str">
        <f>Inputs!M8/100</f>
        <v>0</v>
      </c>
      <c r="V5" s="34" t="str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 t="str">
        <f>IFERROR(J5*H5*Parameters!$B$35+IF(OR(Inputs!F8=Parameters!$E$75,Inputs!F8=Parameters!$E$77),Calculations!H5*Parameters!$B$36,0),0)</f>
        <v>0</v>
      </c>
      <c r="X5" s="34" t="str">
        <f>IFERROR(IF(J5/K5&gt;0.5,H5*INDEX(Parameters!$A$3:$AI$17,MATCH(Calculations!A5,Parameters!$A$3:$A$17,0),MATCH(Parameters!$J$3,Parameters!$A$3:$AI$3,0)),0),0)</f>
        <v>0</v>
      </c>
      <c r="Y5" s="34" t="str">
        <f>IF(Inputs!H8="Yes",IFERROR(H5*INDEX(Parameters!$A$3:$AI$17,MATCH(Calculations!A5,Parameters!$A$3:$A$17,0),MATCH(Parameters!$P$3,Parameters!$A$3:$AI$3,0)),AVERAGE(Parameters!$P$4:$P$17)),0)</f>
        <v>0</v>
      </c>
      <c r="Z5" s="34" t="str">
        <f>IF(Inputs!I8=Parameters!$F$75,H5*INDEX(Parameters!$A$3:$AI$18,MATCH(Calculations!A5,Parameters!$A$3:$A$18,0),MATCH(Parameters!$Q$3,Parameters!$A$3:$AI$3,0)),0)</f>
        <v>0</v>
      </c>
      <c r="AA5" s="34" t="str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IF($D5="",1/12,IFERROR(INDEX(Parameters!$X$2:$AI$17,MATCH(Calculations!$A5,Parameters!$A$2:$A$17,0),MATCH(MONTH(Calculations!AC$3),Parameters!$X$2:$AI$2,0)),1/12))</f>
        <v>0</v>
      </c>
      <c r="AD5" s="22" t="str">
        <f>IF($D5="",1/12,IFERROR(INDEX(Parameters!$X$2:$AI$17,MATCH(Calculations!$A5,Parameters!$A$2:$A$17,0),MATCH(MONTH(Calculations!AD$3),Parameters!$X$2:$AI$2,0)),1/12))</f>
        <v>0</v>
      </c>
      <c r="AE5" s="22" t="str">
        <f>IF($D5="",1/12,IFERROR(INDEX(Parameters!$X$2:$AI$17,MATCH(Calculations!$A5,Parameters!$A$2:$A$17,0),MATCH(MONTH(Calculations!AE$3),Parameters!$X$2:$AI$2,0)),1/12))</f>
        <v>0</v>
      </c>
      <c r="AF5" s="22" t="str">
        <f>IF($D5="",1/12,IFERROR(INDEX(Parameters!$X$2:$AI$17,MATCH(Calculations!$A5,Parameters!$A$2:$A$17,0),MATCH(MONTH(Calculations!AF$3),Parameters!$X$2:$AI$2,0)),1/12))</f>
        <v>0</v>
      </c>
      <c r="AG5" s="22" t="str">
        <f>IF($D5="",1/12,IFERROR(INDEX(Parameters!$X$2:$AI$17,MATCH(Calculations!$A5,Parameters!$A$2:$A$17,0),MATCH(MONTH(Calculations!AG$3),Parameters!$X$2:$AI$2,0)),1/12))</f>
        <v>0</v>
      </c>
      <c r="AH5" s="22" t="str">
        <f>IF($D5="",1/12,IFERROR(INDEX(Parameters!$X$2:$AI$17,MATCH(Calculations!$A5,Parameters!$A$2:$A$17,0),MATCH(MONTH(Calculations!AH$3),Parameters!$X$2:$AI$2,0)),1/12))</f>
        <v>0</v>
      </c>
      <c r="AI5" s="22" t="str">
        <f>IF($D5="",1/12,IFERROR(INDEX(Parameters!$X$2:$AI$17,MATCH(Calculations!$A5,Parameters!$A$2:$A$17,0),MATCH(MONTH(Calculations!AI$3),Parameters!$X$2:$AI$2,0)),1/12))</f>
        <v>0</v>
      </c>
      <c r="AJ5" s="22" t="str">
        <f>IF($D5="",1/12,IFERROR(INDEX(Parameters!$X$2:$AI$17,MATCH(Calculations!$A5,Parameters!$A$2:$A$17,0),MATCH(MONTH(Calculations!AJ$3),Parameters!$X$2:$AI$2,0)),1/12))</f>
        <v>0</v>
      </c>
      <c r="AK5" s="22" t="str">
        <f>IF($D5="",1/12,IFERROR(INDEX(Parameters!$X$2:$AI$17,MATCH(Calculations!$A5,Parameters!$A$2:$A$17,0),MATCH(MONTH(Calculations!AK$3),Parameters!$X$2:$AI$2,0)),1/12))</f>
        <v>0</v>
      </c>
      <c r="AL5" s="22" t="str">
        <f>IF($D5="",1/12,IFERROR(INDEX(Parameters!$X$2:$AI$17,MATCH(Calculations!$A5,Parameters!$A$2:$A$17,0),MATCH(MONTH(Calculations!AL$3),Parameters!$X$2:$AI$2,0)),1/12))</f>
        <v>0</v>
      </c>
      <c r="AM5" s="22" t="str">
        <f>IF($D5="",1/12,IFERROR(INDEX(Parameters!$X$2:$AI$17,MATCH(Calculations!$A5,Parameters!$A$2:$A$17,0),MATCH(MONTH(Calculations!AM$3),Parameters!$X$2:$AI$2,0)),1/12))</f>
        <v>0</v>
      </c>
      <c r="AN5" s="22" t="str">
        <f>IF($D5="",1/12,IFERROR(INDEX(Parameters!$X$2:$AI$17,MATCH(Calculations!$A5,Parameters!$A$2:$A$17,0),MATCH(MONTH(Calculations!AN$3),Parameters!$X$2:$AI$2,0)),1/12))</f>
        <v>0</v>
      </c>
      <c r="AO5" s="22" t="str">
        <f>IF($D5="",1/12,IFERROR(INDEX(Parameters!$X$2:$AI$17,MATCH(Calculations!$A5,Parameters!$A$2:$A$17,0),MATCH(MONTH(Calculations!AO$3),Parameters!$X$2:$AI$2,0)),1/12))</f>
        <v>0</v>
      </c>
      <c r="AP5" s="22" t="str">
        <f>IF($D5="",1/12,IFERROR(INDEX(Parameters!$X$2:$AI$17,MATCH(Calculations!$A5,Parameters!$A$2:$A$17,0),MATCH(MONTH(Calculations!AP$3),Parameters!$X$2:$AI$2,0)),1/12))</f>
        <v>0</v>
      </c>
      <c r="AQ5" s="22" t="str">
        <f>IF($D5="",1/12,IFERROR(INDEX(Parameters!$X$2:$AI$17,MATCH(Calculations!$A5,Parameters!$A$2:$A$17,0),MATCH(MONTH(Calculations!AQ$3),Parameters!$X$2:$AI$2,0)),1/12))</f>
        <v>0</v>
      </c>
      <c r="AR5" s="22" t="str">
        <f>IF($D5="",1/12,IFERROR(INDEX(Parameters!$X$2:$AI$17,MATCH(Calculations!$A5,Parameters!$A$2:$A$17,0),MATCH(MONTH(Calculations!AR$3),Parameters!$X$2:$AI$2,0)),1/12))</f>
        <v>0</v>
      </c>
      <c r="AS5" s="22" t="str">
        <f>IF($D5="",1/12,IFERROR(INDEX(Parameters!$X$2:$AI$17,MATCH(Calculations!$A5,Parameters!$A$2:$A$17,0),MATCH(MONTH(Calculations!AS$3),Parameters!$X$2:$AI$2,0)),1/12))</f>
        <v>0</v>
      </c>
      <c r="AT5" s="22" t="str">
        <f>IF($D5="",1/12,IFERROR(INDEX(Parameters!$X$2:$AI$17,MATCH(Calculations!$A5,Parameters!$A$2:$A$17,0),MATCH(MONTH(Calculations!AT$3),Parameters!$X$2:$AI$2,0)),1/12))</f>
        <v>0</v>
      </c>
    </row>
    <row r="6" spans="1:46" s="21" customFormat="1">
      <c r="A6" s="16" t="str">
        <f>Inputs!A9</f>
        <v>0</v>
      </c>
      <c r="B6" s="39" t="str">
        <f>IFERROR(IF(DATE(YEAR(Inputs!$B$76),VLOOKUP(VLOOKUP(A6,Inputs!$A$7:$J$11,MATCH(Inputs!$J$6,Inputs!$A$6:$N$6,0),0),Parameters!$C$76:$D$87,2,0)+1,1)&gt;Inputs!$B$76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>0</v>
      </c>
      <c r="C6" s="39" t="str">
        <f>IFERROR(DATE(YEAR(B6),MONTH(B6)+ROUND(T6/2,0),DAY(B6)),B6)</f>
        <v>0</v>
      </c>
      <c r="D6" s="39" t="str">
        <f>IFERROR(DATE(YEAR(B6),MONTH(B6)+T6,DAY(B6)),"")</f>
        <v>0</v>
      </c>
      <c r="E6" s="39" t="str">
        <f>IFERROR(IF($S6=0,"",IF($S6=2,DATE(YEAR(B6),MONTH(B6)+6,DAY(B6)),IF($S6=1,B6,""))),"")</f>
        <v>0</v>
      </c>
      <c r="F6" s="39" t="str">
        <f>IFERROR(IF($S6=0,"",IF($S6=2,DATE(YEAR(C6),MONTH(C6)+6,DAY(C6)),IF($S6=1,C6,""))),"")</f>
        <v>0</v>
      </c>
      <c r="G6" s="39" t="str">
        <f>IFERROR(IF($S6=0,"",IF($S6=2,DATE(YEAR(D6),MONTH(D6)+6,DAY(D6)),IF($S6=1,D6,""))),"")</f>
        <v>0</v>
      </c>
      <c r="H6" s="16" t="str">
        <f>Inputs!C9</f>
        <v>0</v>
      </c>
      <c r="I6" s="140" t="str">
        <f>IFERROR(VLOOKUP(Inputs!E9,Parameters!$J$74:$K$78,2,0),"")</f>
        <v>0</v>
      </c>
      <c r="J6" s="27" t="str">
        <f>IFERROR(Inputs!G9/Calculations!H6,"")</f>
        <v>0</v>
      </c>
      <c r="K6" s="27" t="str">
        <f>IFERROR(INDEX(Parameters!$A$3:$V$17,MATCH(Calculations!$A6,Parameters!$A$3:$A$17,0),MATCH(Parameters!$I$3,Parameters!$A$3:$V$3,0)),0)</f>
        <v>0</v>
      </c>
      <c r="L6" s="93" t="str">
        <f>IFERROR(IF(A6="Other crops",Inputs!D9/Calculations!H6,IF(NOT(ISERROR(MATCH(Inputs!A9,Parameters!$D$52:$I$52,0))),INDEX(Parameters!$B$53:$I$68,MATCH(Calculations!$I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I$32,Parameters!$B$53:$B$68,0),MATCH(Parameters!$G$53,Parameters!$B$53:$G$53,0))="Yes",OR(Inputs!I9="No",Inputs!I9="")),INDEX(Parameters!$A$3:$AI$17,MATCH(Inputs!A9,Parameters!$A$3:$A$17,0),MATCH(Parameters!$H$3,Parameters!$A$3:$AI$3,0)),1),1),0)</f>
        <v>0</v>
      </c>
      <c r="M6" s="30" t="str">
        <f>L6*H6</f>
        <v>0</v>
      </c>
      <c r="N6" s="22" t="str">
        <f>Calculations!U6</f>
        <v>0</v>
      </c>
      <c r="O6" s="30" t="str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0</v>
      </c>
      <c r="P6" s="22" t="str">
        <f>IFERROR(INDEX(Parameters!$A$3:$V$17,MATCH(Calculations!$A6,Parameters!$A$3:$A$17,0),MATCH($P$3,Parameters!$A$3:$V$3,0)),0)</f>
        <v>0</v>
      </c>
      <c r="Q6" s="34" t="str">
        <f>M6*O6*(1-N6)*MAX(S6,1)</f>
        <v>0</v>
      </c>
      <c r="R6" s="22" t="str">
        <f>IFERROR(INDEX(Parameters!$A$3:$V$17,MATCH(Calculations!$A6,Parameters!$A$3:$A$17,0),MATCH($R$3,Parameters!$A$3:$V$3,0)),0)</f>
        <v>0</v>
      </c>
      <c r="S6" s="30" t="str">
        <f>IF(ISERROR(MATCH(Inputs!A9,Parameters!$D$52:$I$52,0)),IF(T6="","",IF(T6&lt;6,2,IF(T6="N/A",IF(Inputs!J9&lt;&gt;Parameters!$C$75,0,2),1))),INDEX(Parameters!$B$53:$I$68,MATCH(Calculations!$I$32,Parameters!$B$53:$B$68,0),MATCH(Parameters!$E$53,Parameters!$B$53:$I$53,0)))</f>
        <v>0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I$32,Parameters!$B$53:$B$68,0),MATCH(Parameters!$F$53,Parameters!$B$53:$I$53,0)))</f>
        <v>0</v>
      </c>
      <c r="U6" s="22" t="str">
        <f>Inputs!M9/100</f>
        <v>0</v>
      </c>
      <c r="V6" s="34" t="str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 t="str">
        <f>IFERROR(J6*H6*Parameters!$B$35+IF(OR(Inputs!F9=Parameters!$E$75,Inputs!F9=Parameters!$E$77),Calculations!H6*Parameters!$B$36,0),0)</f>
        <v>0</v>
      </c>
      <c r="X6" s="34" t="str">
        <f>IFERROR(IF(J6/K6&gt;0.5,H6*INDEX(Parameters!$A$3:$AI$17,MATCH(Calculations!A6,Parameters!$A$3:$A$17,0),MATCH(Parameters!$J$3,Parameters!$A$3:$AI$3,0)),0),0)</f>
        <v>0</v>
      </c>
      <c r="Y6" s="34" t="str">
        <f>IF(Inputs!H9="Yes",IFERROR(H6*INDEX(Parameters!$A$3:$AI$17,MATCH(Calculations!A6,Parameters!$A$3:$A$17,0),MATCH(Parameters!$P$3,Parameters!$A$3:$AI$3,0)),AVERAGE(Parameters!$P$4:$P$17)),0)</f>
        <v>0</v>
      </c>
      <c r="Z6" s="34" t="str">
        <f>IF(Inputs!I9=Parameters!$F$75,H6*INDEX(Parameters!$A$3:$AI$18,MATCH(Calculations!A6,Parameters!$A$3:$A$18,0),MATCH(Parameters!$Q$3,Parameters!$A$3:$AI$3,0)),0)</f>
        <v>0</v>
      </c>
      <c r="AA6" s="34" t="str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IF($D6="",1/12,IFERROR(INDEX(Parameters!$X$2:$AI$17,MATCH(Calculations!$A6,Parameters!$A$2:$A$17,0),MATCH(MONTH(Calculations!AC$3),Parameters!$X$2:$AI$2,0)),1/12))</f>
        <v>0</v>
      </c>
      <c r="AD6" s="22" t="str">
        <f>IF($D6="",1/12,IFERROR(INDEX(Parameters!$X$2:$AI$17,MATCH(Calculations!$A6,Parameters!$A$2:$A$17,0),MATCH(MONTH(Calculations!AD$3),Parameters!$X$2:$AI$2,0)),1/12))</f>
        <v>0</v>
      </c>
      <c r="AE6" s="22" t="str">
        <f>IF($D6="",1/12,IFERROR(INDEX(Parameters!$X$2:$AI$17,MATCH(Calculations!$A6,Parameters!$A$2:$A$17,0),MATCH(MONTH(Calculations!AE$3),Parameters!$X$2:$AI$2,0)),1/12))</f>
        <v>0</v>
      </c>
      <c r="AF6" s="22" t="str">
        <f>IF($D6="",1/12,IFERROR(INDEX(Parameters!$X$2:$AI$17,MATCH(Calculations!$A6,Parameters!$A$2:$A$17,0),MATCH(MONTH(Calculations!AF$3),Parameters!$X$2:$AI$2,0)),1/12))</f>
        <v>0</v>
      </c>
      <c r="AG6" s="22" t="str">
        <f>IF($D6="",1/12,IFERROR(INDEX(Parameters!$X$2:$AI$17,MATCH(Calculations!$A6,Parameters!$A$2:$A$17,0),MATCH(MONTH(Calculations!AG$3),Parameters!$X$2:$AI$2,0)),1/12))</f>
        <v>0</v>
      </c>
      <c r="AH6" s="22" t="str">
        <f>IF($D6="",1/12,IFERROR(INDEX(Parameters!$X$2:$AI$17,MATCH(Calculations!$A6,Parameters!$A$2:$A$17,0),MATCH(MONTH(Calculations!AH$3),Parameters!$X$2:$AI$2,0)),1/12))</f>
        <v>0</v>
      </c>
      <c r="AI6" s="22" t="str">
        <f>IF($D6="",1/12,IFERROR(INDEX(Parameters!$X$2:$AI$17,MATCH(Calculations!$A6,Parameters!$A$2:$A$17,0),MATCH(MONTH(Calculations!AI$3),Parameters!$X$2:$AI$2,0)),1/12))</f>
        <v>0</v>
      </c>
      <c r="AJ6" s="22" t="str">
        <f>IF($D6="",1/12,IFERROR(INDEX(Parameters!$X$2:$AI$17,MATCH(Calculations!$A6,Parameters!$A$2:$A$17,0),MATCH(MONTH(Calculations!AJ$3),Parameters!$X$2:$AI$2,0)),1/12))</f>
        <v>0</v>
      </c>
      <c r="AK6" s="22" t="str">
        <f>IF($D6="",1/12,IFERROR(INDEX(Parameters!$X$2:$AI$17,MATCH(Calculations!$A6,Parameters!$A$2:$A$17,0),MATCH(MONTH(Calculations!AK$3),Parameters!$X$2:$AI$2,0)),1/12))</f>
        <v>0</v>
      </c>
      <c r="AL6" s="22" t="str">
        <f>IF($D6="",1/12,IFERROR(INDEX(Parameters!$X$2:$AI$17,MATCH(Calculations!$A6,Parameters!$A$2:$A$17,0),MATCH(MONTH(Calculations!AL$3),Parameters!$X$2:$AI$2,0)),1/12))</f>
        <v>0</v>
      </c>
      <c r="AM6" s="22" t="str">
        <f>IF($D6="",1/12,IFERROR(INDEX(Parameters!$X$2:$AI$17,MATCH(Calculations!$A6,Parameters!$A$2:$A$17,0),MATCH(MONTH(Calculations!AM$3),Parameters!$X$2:$AI$2,0)),1/12))</f>
        <v>0</v>
      </c>
      <c r="AN6" s="22" t="str">
        <f>IF($D6="",1/12,IFERROR(INDEX(Parameters!$X$2:$AI$17,MATCH(Calculations!$A6,Parameters!$A$2:$A$17,0),MATCH(MONTH(Calculations!AN$3),Parameters!$X$2:$AI$2,0)),1/12))</f>
        <v>0</v>
      </c>
      <c r="AO6" s="22" t="str">
        <f>IF($D6="",1/12,IFERROR(INDEX(Parameters!$X$2:$AI$17,MATCH(Calculations!$A6,Parameters!$A$2:$A$17,0),MATCH(MONTH(Calculations!AO$3),Parameters!$X$2:$AI$2,0)),1/12))</f>
        <v>0</v>
      </c>
      <c r="AP6" s="22" t="str">
        <f>IF($D6="",1/12,IFERROR(INDEX(Parameters!$X$2:$AI$17,MATCH(Calculations!$A6,Parameters!$A$2:$A$17,0),MATCH(MONTH(Calculations!AP$3),Parameters!$X$2:$AI$2,0)),1/12))</f>
        <v>0</v>
      </c>
      <c r="AQ6" s="22" t="str">
        <f>IF($D6="",1/12,IFERROR(INDEX(Parameters!$X$2:$AI$17,MATCH(Calculations!$A6,Parameters!$A$2:$A$17,0),MATCH(MONTH(Calculations!AQ$3),Parameters!$X$2:$AI$2,0)),1/12))</f>
        <v>0</v>
      </c>
      <c r="AR6" s="22" t="str">
        <f>IF($D6="",1/12,IFERROR(INDEX(Parameters!$X$2:$AI$17,MATCH(Calculations!$A6,Parameters!$A$2:$A$17,0),MATCH(MONTH(Calculations!AR$3),Parameters!$X$2:$AI$2,0)),1/12))</f>
        <v>0</v>
      </c>
      <c r="AS6" s="22" t="str">
        <f>IF($D6="",1/12,IFERROR(INDEX(Parameters!$X$2:$AI$17,MATCH(Calculations!$A6,Parameters!$A$2:$A$17,0),MATCH(MONTH(Calculations!AS$3),Parameters!$X$2:$AI$2,0)),1/12))</f>
        <v>0</v>
      </c>
      <c r="AT6" s="22" t="str">
        <f>IF($D6="",1/12,IFERROR(INDEX(Parameters!$X$2:$AI$17,MATCH(Calculations!$A6,Parameters!$A$2:$A$17,0),MATCH(MONTH(Calculations!AT$3),Parameters!$X$2:$AI$2,0)),1/12))</f>
        <v>0</v>
      </c>
    </row>
    <row r="7" spans="1:46" s="21" customFormat="1">
      <c r="A7" s="16" t="str">
        <f>Inputs!A10</f>
        <v>0</v>
      </c>
      <c r="B7" s="39" t="str">
        <f>IFERROR(IF(DATE(YEAR(Inputs!$B$76),VLOOKUP(VLOOKUP(A7,Inputs!$A$7:$J$11,MATCH(Inputs!$J$6,Inputs!$A$6:$N$6,0),0),Parameters!$C$76:$D$87,2,0)+1,1)&gt;Inputs!$B$76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>0</v>
      </c>
      <c r="C7" s="39" t="str">
        <f>IFERROR(DATE(YEAR(B7),MONTH(B7)+ROUND(T7/2,0),DAY(B7)),B7)</f>
        <v>0</v>
      </c>
      <c r="D7" s="39" t="str">
        <f>IFERROR(DATE(YEAR(B7),MONTH(B7)+T7,DAY(B7)),"")</f>
        <v>0</v>
      </c>
      <c r="E7" s="39" t="str">
        <f>IFERROR(IF($S7=0,"",IF($S7=2,DATE(YEAR(B7),MONTH(B7)+6,DAY(B7)),IF($S7=1,B7,""))),"")</f>
        <v>0</v>
      </c>
      <c r="F7" s="39" t="str">
        <f>IFERROR(IF($S7=0,"",IF($S7=2,DATE(YEAR(C7),MONTH(C7)+6,DAY(C7)),IF($S7=1,C7,""))),"")</f>
        <v>0</v>
      </c>
      <c r="G7" s="39" t="str">
        <f>IFERROR(IF($S7=0,"",IF($S7=2,DATE(YEAR(D7),MONTH(D7)+6,DAY(D7)),IF($S7=1,D7,""))),"")</f>
        <v>0</v>
      </c>
      <c r="H7" s="16" t="str">
        <f>Inputs!C10</f>
        <v>0</v>
      </c>
      <c r="I7" s="140" t="str">
        <f>IFERROR(VLOOKUP(Inputs!E10,Parameters!$J$74:$K$78,2,0),"")</f>
        <v>0</v>
      </c>
      <c r="J7" s="27" t="str">
        <f>IFERROR(Inputs!G10/Calculations!H7,"")</f>
        <v>0</v>
      </c>
      <c r="K7" s="27" t="str">
        <f>IFERROR(INDEX(Parameters!$A$3:$V$17,MATCH(Calculations!$A7,Parameters!$A$3:$A$17,0),MATCH(Parameters!$I$3,Parameters!$A$3:$V$3,0)),0)</f>
        <v>0</v>
      </c>
      <c r="L7" s="93" t="str">
        <f>IFERROR(IF(A7="Other crops",Inputs!D10/Calculations!H7,IF(NOT(ISERROR(MATCH(Inputs!A10,Parameters!$D$52:$I$52,0))),INDEX(Parameters!$B$53:$I$68,MATCH(Calculations!$I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I$32,Parameters!$B$53:$B$68,0),MATCH(Parameters!$G$53,Parameters!$B$53:$G$53,0))="Yes",OR(Inputs!I10="No",Inputs!I10="")),INDEX(Parameters!$A$3:$AI$17,MATCH(Inputs!A10,Parameters!$A$3:$A$17,0),MATCH(Parameters!$H$3,Parameters!$A$3:$AI$3,0)),1),1),0)</f>
        <v>0</v>
      </c>
      <c r="M7" s="30" t="str">
        <f>L7*H7</f>
        <v>0</v>
      </c>
      <c r="N7" s="22" t="str">
        <f>Calculations!U7</f>
        <v>0</v>
      </c>
      <c r="O7" s="30" t="str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>0</v>
      </c>
      <c r="P7" s="22" t="str">
        <f>IFERROR(INDEX(Parameters!$A$3:$V$17,MATCH(Calculations!$A7,Parameters!$A$3:$A$17,0),MATCH($P$3,Parameters!$A$3:$V$3,0)),0)</f>
        <v>0</v>
      </c>
      <c r="Q7" s="34" t="str">
        <f>M7*O7*(1-N7)*MAX(S7,1)</f>
        <v>0</v>
      </c>
      <c r="R7" s="22" t="str">
        <f>IFERROR(INDEX(Parameters!$A$3:$V$17,MATCH(Calculations!$A7,Parameters!$A$3:$A$17,0),MATCH($R$3,Parameters!$A$3:$V$3,0)),0)</f>
        <v>0</v>
      </c>
      <c r="S7" s="30" t="str">
        <f>IF(ISERROR(MATCH(Inputs!A10,Parameters!$D$52:$I$52,0)),IF(T7="","",IF(T7&lt;6,2,IF(T7="N/A",IF(Inputs!J10&lt;&gt;Parameters!$C$75,0,2),1))),INDEX(Parameters!$B$53:$I$68,MATCH(Calculations!$I$32,Parameters!$B$53:$B$68,0),MATCH(Parameters!$E$53,Parameters!$B$53:$I$53,0)))</f>
        <v>0</v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I$32,Parameters!$B$53:$B$68,0),MATCH(Parameters!$F$53,Parameters!$B$53:$I$53,0)))</f>
        <v>0</v>
      </c>
      <c r="U7" s="22" t="str">
        <f>Inputs!M10/100</f>
        <v>0</v>
      </c>
      <c r="V7" s="34" t="str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 t="str">
        <f>IFERROR(J7*H7*Parameters!$B$35+IF(OR(Inputs!F10=Parameters!$E$75,Inputs!F10=Parameters!$E$77),Calculations!H7*Parameters!$B$36,0),0)</f>
        <v>0</v>
      </c>
      <c r="X7" s="34" t="str">
        <f>IFERROR(IF(J7/K7&gt;0.5,H7*INDEX(Parameters!$A$3:$AI$17,MATCH(Calculations!A7,Parameters!$A$3:$A$17,0),MATCH(Parameters!$J$3,Parameters!$A$3:$AI$3,0)),0),0)</f>
        <v>0</v>
      </c>
      <c r="Y7" s="34" t="str">
        <f>IF(Inputs!H10="Yes",IFERROR(H7*INDEX(Parameters!$A$3:$AI$17,MATCH(Calculations!A7,Parameters!$A$3:$A$17,0),MATCH(Parameters!$P$3,Parameters!$A$3:$AI$3,0)),AVERAGE(Parameters!$P$4:$P$17)),0)</f>
        <v>0</v>
      </c>
      <c r="Z7" s="34" t="str">
        <f>IF(Inputs!I10=Parameters!$F$75,H7*INDEX(Parameters!$A$3:$AI$18,MATCH(Calculations!A7,Parameters!$A$3:$A$18,0),MATCH(Parameters!$Q$3,Parameters!$A$3:$AI$3,0)),0)</f>
        <v>0</v>
      </c>
      <c r="AA7" s="34" t="str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IF($D7="",1/12,IFERROR(INDEX(Parameters!$X$2:$AI$17,MATCH(Calculations!$A7,Parameters!$A$2:$A$17,0),MATCH(MONTH(Calculations!AC$3),Parameters!$X$2:$AI$2,0)),1/12))</f>
        <v>0</v>
      </c>
      <c r="AD7" s="22" t="str">
        <f>IF($D7="",1/12,IFERROR(INDEX(Parameters!$X$2:$AI$17,MATCH(Calculations!$A7,Parameters!$A$2:$A$17,0),MATCH(MONTH(Calculations!AD$3),Parameters!$X$2:$AI$2,0)),1/12))</f>
        <v>0</v>
      </c>
      <c r="AE7" s="22" t="str">
        <f>IF($D7="",1/12,IFERROR(INDEX(Parameters!$X$2:$AI$17,MATCH(Calculations!$A7,Parameters!$A$2:$A$17,0),MATCH(MONTH(Calculations!AE$3),Parameters!$X$2:$AI$2,0)),1/12))</f>
        <v>0</v>
      </c>
      <c r="AF7" s="22" t="str">
        <f>IF($D7="",1/12,IFERROR(INDEX(Parameters!$X$2:$AI$17,MATCH(Calculations!$A7,Parameters!$A$2:$A$17,0),MATCH(MONTH(Calculations!AF$3),Parameters!$X$2:$AI$2,0)),1/12))</f>
        <v>0</v>
      </c>
      <c r="AG7" s="22" t="str">
        <f>IF($D7="",1/12,IFERROR(INDEX(Parameters!$X$2:$AI$17,MATCH(Calculations!$A7,Parameters!$A$2:$A$17,0),MATCH(MONTH(Calculations!AG$3),Parameters!$X$2:$AI$2,0)),1/12))</f>
        <v>0</v>
      </c>
      <c r="AH7" s="22" t="str">
        <f>IF($D7="",1/12,IFERROR(INDEX(Parameters!$X$2:$AI$17,MATCH(Calculations!$A7,Parameters!$A$2:$A$17,0),MATCH(MONTH(Calculations!AH$3),Parameters!$X$2:$AI$2,0)),1/12))</f>
        <v>0</v>
      </c>
      <c r="AI7" s="22" t="str">
        <f>IF($D7="",1/12,IFERROR(INDEX(Parameters!$X$2:$AI$17,MATCH(Calculations!$A7,Parameters!$A$2:$A$17,0),MATCH(MONTH(Calculations!AI$3),Parameters!$X$2:$AI$2,0)),1/12))</f>
        <v>0</v>
      </c>
      <c r="AJ7" s="22" t="str">
        <f>IF($D7="",1/12,IFERROR(INDEX(Parameters!$X$2:$AI$17,MATCH(Calculations!$A7,Parameters!$A$2:$A$17,0),MATCH(MONTH(Calculations!AJ$3),Parameters!$X$2:$AI$2,0)),1/12))</f>
        <v>0</v>
      </c>
      <c r="AK7" s="22" t="str">
        <f>IF($D7="",1/12,IFERROR(INDEX(Parameters!$X$2:$AI$17,MATCH(Calculations!$A7,Parameters!$A$2:$A$17,0),MATCH(MONTH(Calculations!AK$3),Parameters!$X$2:$AI$2,0)),1/12))</f>
        <v>0</v>
      </c>
      <c r="AL7" s="22" t="str">
        <f>IF($D7="",1/12,IFERROR(INDEX(Parameters!$X$2:$AI$17,MATCH(Calculations!$A7,Parameters!$A$2:$A$17,0),MATCH(MONTH(Calculations!AL$3),Parameters!$X$2:$AI$2,0)),1/12))</f>
        <v>0</v>
      </c>
      <c r="AM7" s="22" t="str">
        <f>IF($D7="",1/12,IFERROR(INDEX(Parameters!$X$2:$AI$17,MATCH(Calculations!$A7,Parameters!$A$2:$A$17,0),MATCH(MONTH(Calculations!AM$3),Parameters!$X$2:$AI$2,0)),1/12))</f>
        <v>0</v>
      </c>
      <c r="AN7" s="22" t="str">
        <f>IF($D7="",1/12,IFERROR(INDEX(Parameters!$X$2:$AI$17,MATCH(Calculations!$A7,Parameters!$A$2:$A$17,0),MATCH(MONTH(Calculations!AN$3),Parameters!$X$2:$AI$2,0)),1/12))</f>
        <v>0</v>
      </c>
      <c r="AO7" s="22" t="str">
        <f>IF($D7="",1/12,IFERROR(INDEX(Parameters!$X$2:$AI$17,MATCH(Calculations!$A7,Parameters!$A$2:$A$17,0),MATCH(MONTH(Calculations!AO$3),Parameters!$X$2:$AI$2,0)),1/12))</f>
        <v>0</v>
      </c>
      <c r="AP7" s="22" t="str">
        <f>IF($D7="",1/12,IFERROR(INDEX(Parameters!$X$2:$AI$17,MATCH(Calculations!$A7,Parameters!$A$2:$A$17,0),MATCH(MONTH(Calculations!AP$3),Parameters!$X$2:$AI$2,0)),1/12))</f>
        <v>0</v>
      </c>
      <c r="AQ7" s="22" t="str">
        <f>IF($D7="",1/12,IFERROR(INDEX(Parameters!$X$2:$AI$17,MATCH(Calculations!$A7,Parameters!$A$2:$A$17,0),MATCH(MONTH(Calculations!AQ$3),Parameters!$X$2:$AI$2,0)),1/12))</f>
        <v>0</v>
      </c>
      <c r="AR7" s="22" t="str">
        <f>IF($D7="",1/12,IFERROR(INDEX(Parameters!$X$2:$AI$17,MATCH(Calculations!$A7,Parameters!$A$2:$A$17,0),MATCH(MONTH(Calculations!AR$3),Parameters!$X$2:$AI$2,0)),1/12))</f>
        <v>0</v>
      </c>
      <c r="AS7" s="22" t="str">
        <f>IF($D7="",1/12,IFERROR(INDEX(Parameters!$X$2:$AI$17,MATCH(Calculations!$A7,Parameters!$A$2:$A$17,0),MATCH(MONTH(Calculations!AS$3),Parameters!$X$2:$AI$2,0)),1/12))</f>
        <v>0</v>
      </c>
      <c r="AT7" s="22" t="str">
        <f>IF($D7="",1/12,IFERROR(INDEX(Parameters!$X$2:$AI$17,MATCH(Calculations!$A7,Parameters!$A$2:$A$17,0),MATCH(MONTH(Calculations!AT$3),Parameters!$X$2:$AI$2,0)),1/12))</f>
        <v>0</v>
      </c>
    </row>
    <row r="8" spans="1:46" s="21" customFormat="1">
      <c r="A8" s="23" t="str">
        <f>Inputs!A11</f>
        <v>0</v>
      </c>
      <c r="B8" s="40" t="str">
        <f>IFERROR(IF(DATE(YEAR(Inputs!$B$76),VLOOKUP(VLOOKUP(A8,Inputs!$A$7:$J$11,MATCH(Inputs!$J$6,Inputs!$A$6:$N$6,0),0),Parameters!$C$76:$D$87,2,0)+1,1)&gt;Inputs!$B$76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>0</v>
      </c>
      <c r="C8" s="40" t="str">
        <f>IFERROR(DATE(YEAR(B8),MONTH(B8)+ROUND(T8/2,0),DAY(B8)),B8)</f>
        <v>0</v>
      </c>
      <c r="D8" s="40" t="str">
        <f>IFERROR(DATE(YEAR(B8),MONTH(B8)+T8,DAY(B8)),"")</f>
        <v>0</v>
      </c>
      <c r="E8" s="40" t="str">
        <f>IFERROR(IF($S8=0,"",IF($S8=2,DATE(YEAR(B8),MONTH(B8)+6,DAY(B8)),IF($S8=1,B8,""))),"")</f>
        <v>0</v>
      </c>
      <c r="F8" s="40" t="str">
        <f>IFERROR(IF($S8=0,"",IF($S8=2,DATE(YEAR(C8),MONTH(C8)+6,DAY(C8)),IF($S8=1,C8,""))),"")</f>
        <v>0</v>
      </c>
      <c r="G8" s="40" t="str">
        <f>IFERROR(IF($S8=0,"",IF($S8=2,DATE(YEAR(D8),MONTH(D8)+6,DAY(D8)),IF($S8=1,D8,""))),"")</f>
        <v>0</v>
      </c>
      <c r="H8" s="23" t="str">
        <f>Inputs!C11</f>
        <v>0</v>
      </c>
      <c r="I8" s="121" t="str">
        <f>IFERROR(VLOOKUP(Inputs!E11,Parameters!$J$74:$K$78,2,0),"")</f>
        <v>0</v>
      </c>
      <c r="J8" s="28" t="str">
        <f>IFERROR(Inputs!G11/Calculations!H8,"")</f>
        <v>0</v>
      </c>
      <c r="K8" s="28" t="str">
        <f>IFERROR(INDEX(Parameters!$A$3:$V$17,MATCH(Calculations!$A8,Parameters!$A$3:$A$17,0),MATCH(Parameters!$I$3,Parameters!$A$3:$V$3,0)),0)</f>
        <v>0</v>
      </c>
      <c r="L8" s="94" t="str">
        <f>IFERROR(IF(A8="Other crops",Inputs!D11/Calculations!H8,IF(NOT(ISERROR(MATCH(Inputs!A11,Parameters!$D$52:$I$52,0))),INDEX(Parameters!$B$53:$I$68,MATCH(Calculations!$I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I$32,Parameters!$B$53:$B$68,0),MATCH(Parameters!$G$53,Parameters!$B$53:$G$53,0))="Yes",OR(Inputs!I11="No",Inputs!I11="")),INDEX(Parameters!$A$3:$AI$17,MATCH(Inputs!A11,Parameters!$A$3:$A$17,0),MATCH(Parameters!$H$3,Parameters!$A$3:$AI$3,0)),1),1),0)</f>
        <v>0</v>
      </c>
      <c r="M8" s="31" t="str">
        <f>L8*H8</f>
        <v>0</v>
      </c>
      <c r="N8" s="24" t="str">
        <f>Calculations!U8</f>
        <v>0</v>
      </c>
      <c r="O8" s="31" t="str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>0</v>
      </c>
      <c r="P8" s="24" t="str">
        <f>IFERROR(INDEX(Parameters!$A$3:$V$17,MATCH(Calculations!$A8,Parameters!$A$3:$A$17,0),MATCH($P$3,Parameters!$A$3:$V$3,0)),0)</f>
        <v>0</v>
      </c>
      <c r="Q8" s="35" t="str">
        <f>M8*O8*(1-N8)*MAX(S8,1)</f>
        <v>0</v>
      </c>
      <c r="R8" s="24" t="str">
        <f>IFERROR(INDEX(Parameters!$A$3:$V$17,MATCH(Calculations!$A8,Parameters!$A$3:$A$17,0),MATCH($R$3,Parameters!$A$3:$V$3,0)),0)</f>
        <v>0</v>
      </c>
      <c r="S8" s="31" t="str">
        <f>IF(ISERROR(MATCH(Inputs!A11,Parameters!$D$52:$I$52,0)),IF(T8="","",IF(T8&lt;6,2,IF(T8="N/A",IF(Inputs!J11&lt;&gt;Parameters!$C$75,0,2),1))),INDEX(Parameters!$B$53:$I$68,MATCH(Calculations!$I$32,Parameters!$B$53:$B$68,0),MATCH(Parameters!$E$53,Parameters!$B$53:$I$53,0)))</f>
        <v>0</v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I$32,Parameters!$B$53:$B$68,0),MATCH(Parameters!$F$53,Parameters!$B$53:$I$53,0)))</f>
        <v>0</v>
      </c>
      <c r="U8" s="24" t="str">
        <f>Inputs!M11/100</f>
        <v>0</v>
      </c>
      <c r="V8" s="35" t="str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 t="str">
        <f>IFERROR(J8*H8*Parameters!$B$35+IF(OR(Inputs!F11=Parameters!$E$75,Inputs!F11=Parameters!$E$77),Calculations!H8*Parameters!$B$36,0),0)</f>
        <v>0</v>
      </c>
      <c r="X8" s="35" t="str">
        <f>IFERROR(IF(J8/K8&gt;0.5,H8*INDEX(Parameters!$A$3:$AI$17,MATCH(Calculations!A8,Parameters!$A$3:$A$17,0),MATCH(Parameters!$J$3,Parameters!$A$3:$AI$3,0)),0),0)</f>
        <v>0</v>
      </c>
      <c r="Y8" s="35" t="str">
        <f>IF(Inputs!H11="Yes",IFERROR(H8*INDEX(Parameters!$A$3:$AI$17,MATCH(Calculations!A8,Parameters!$A$3:$A$17,0),MATCH(Parameters!$P$3,Parameters!$A$3:$AI$3,0)),AVERAGE(Parameters!$P$4:$P$17)),0)</f>
        <v>0</v>
      </c>
      <c r="Z8" s="35" t="str">
        <f>IF(Inputs!I11=Parameters!$F$75,H8*INDEX(Parameters!$A$3:$AI$18,MATCH(Calculations!A8,Parameters!$A$3:$A$18,0),MATCH(Parameters!$Q$3,Parameters!$A$3:$AI$3,0)),0)</f>
        <v>0</v>
      </c>
      <c r="AA8" s="35" t="str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IF($D8="",1/12,IFERROR(INDEX(Parameters!$X$2:$AI$17,MATCH(Calculations!$A8,Parameters!$A$2:$A$17,0),MATCH(MONTH(Calculations!AC$3),Parameters!$X$2:$AI$2,0)),1/12))</f>
        <v>0</v>
      </c>
      <c r="AD8" s="24" t="str">
        <f>IF($D8="",1/12,IFERROR(INDEX(Parameters!$X$2:$AI$17,MATCH(Calculations!$A8,Parameters!$A$2:$A$17,0),MATCH(MONTH(Calculations!AD$3),Parameters!$X$2:$AI$2,0)),1/12))</f>
        <v>0</v>
      </c>
      <c r="AE8" s="24" t="str">
        <f>IF($D8="",1/12,IFERROR(INDEX(Parameters!$X$2:$AI$17,MATCH(Calculations!$A8,Parameters!$A$2:$A$17,0),MATCH(MONTH(Calculations!AE$3),Parameters!$X$2:$AI$2,0)),1/12))</f>
        <v>0</v>
      </c>
      <c r="AF8" s="24" t="str">
        <f>IF($D8="",1/12,IFERROR(INDEX(Parameters!$X$2:$AI$17,MATCH(Calculations!$A8,Parameters!$A$2:$A$17,0),MATCH(MONTH(Calculations!AF$3),Parameters!$X$2:$AI$2,0)),1/12))</f>
        <v>0</v>
      </c>
      <c r="AG8" s="24" t="str">
        <f>IF($D8="",1/12,IFERROR(INDEX(Parameters!$X$2:$AI$17,MATCH(Calculations!$A8,Parameters!$A$2:$A$17,0),MATCH(MONTH(Calculations!AG$3),Parameters!$X$2:$AI$2,0)),1/12))</f>
        <v>0</v>
      </c>
      <c r="AH8" s="24" t="str">
        <f>IF($D8="",1/12,IFERROR(INDEX(Parameters!$X$2:$AI$17,MATCH(Calculations!$A8,Parameters!$A$2:$A$17,0),MATCH(MONTH(Calculations!AH$3),Parameters!$X$2:$AI$2,0)),1/12))</f>
        <v>0</v>
      </c>
      <c r="AI8" s="24" t="str">
        <f>IF($D8="",1/12,IFERROR(INDEX(Parameters!$X$2:$AI$17,MATCH(Calculations!$A8,Parameters!$A$2:$A$17,0),MATCH(MONTH(Calculations!AI$3),Parameters!$X$2:$AI$2,0)),1/12))</f>
        <v>0</v>
      </c>
      <c r="AJ8" s="24" t="str">
        <f>IF($D8="",1/12,IFERROR(INDEX(Parameters!$X$2:$AI$17,MATCH(Calculations!$A8,Parameters!$A$2:$A$17,0),MATCH(MONTH(Calculations!AJ$3),Parameters!$X$2:$AI$2,0)),1/12))</f>
        <v>0</v>
      </c>
      <c r="AK8" s="24" t="str">
        <f>IF($D8="",1/12,IFERROR(INDEX(Parameters!$X$2:$AI$17,MATCH(Calculations!$A8,Parameters!$A$2:$A$17,0),MATCH(MONTH(Calculations!AK$3),Parameters!$X$2:$AI$2,0)),1/12))</f>
        <v>0</v>
      </c>
      <c r="AL8" s="24" t="str">
        <f>IF($D8="",1/12,IFERROR(INDEX(Parameters!$X$2:$AI$17,MATCH(Calculations!$A8,Parameters!$A$2:$A$17,0),MATCH(MONTH(Calculations!AL$3),Parameters!$X$2:$AI$2,0)),1/12))</f>
        <v>0</v>
      </c>
      <c r="AM8" s="24" t="str">
        <f>IF($D8="",1/12,IFERROR(INDEX(Parameters!$X$2:$AI$17,MATCH(Calculations!$A8,Parameters!$A$2:$A$17,0),MATCH(MONTH(Calculations!AM$3),Parameters!$X$2:$AI$2,0)),1/12))</f>
        <v>0</v>
      </c>
      <c r="AN8" s="24" t="str">
        <f>IF($D8="",1/12,IFERROR(INDEX(Parameters!$X$2:$AI$17,MATCH(Calculations!$A8,Parameters!$A$2:$A$17,0),MATCH(MONTH(Calculations!AN$3),Parameters!$X$2:$AI$2,0)),1/12))</f>
        <v>0</v>
      </c>
      <c r="AO8" s="24" t="str">
        <f>IF($D8="",1/12,IFERROR(INDEX(Parameters!$X$2:$AI$17,MATCH(Calculations!$A8,Parameters!$A$2:$A$17,0),MATCH(MONTH(Calculations!AO$3),Parameters!$X$2:$AI$2,0)),1/12))</f>
        <v>0</v>
      </c>
      <c r="AP8" s="24" t="str">
        <f>IF($D8="",1/12,IFERROR(INDEX(Parameters!$X$2:$AI$17,MATCH(Calculations!$A8,Parameters!$A$2:$A$17,0),MATCH(MONTH(Calculations!AP$3),Parameters!$X$2:$AI$2,0)),1/12))</f>
        <v>0</v>
      </c>
      <c r="AQ8" s="24" t="str">
        <f>IF($D8="",1/12,IFERROR(INDEX(Parameters!$X$2:$AI$17,MATCH(Calculations!$A8,Parameters!$A$2:$A$17,0),MATCH(MONTH(Calculations!AQ$3),Parameters!$X$2:$AI$2,0)),1/12))</f>
        <v>0</v>
      </c>
      <c r="AR8" s="24" t="str">
        <f>IF($D8="",1/12,IFERROR(INDEX(Parameters!$X$2:$AI$17,MATCH(Calculations!$A8,Parameters!$A$2:$A$17,0),MATCH(MONTH(Calculations!AR$3),Parameters!$X$2:$AI$2,0)),1/12))</f>
        <v>0</v>
      </c>
      <c r="AS8" s="24" t="str">
        <f>IF($D8="",1/12,IFERROR(INDEX(Parameters!$X$2:$AI$17,MATCH(Calculations!$A8,Parameters!$A$2:$A$17,0),MATCH(MONTH(Calculations!AS$3),Parameters!$X$2:$AI$2,0)),1/12))</f>
        <v>0</v>
      </c>
      <c r="AT8" s="24" t="str">
        <f>IF($D8="",1/12,IFERROR(INDEX(Parameters!$X$2:$AI$17,MATCH(Calculations!$A8,Parameters!$A$2:$A$17,0),MATCH(MONTH(Calculations!AT$3),Parameters!$X$2:$AI$2,0)),1/12))</f>
        <v>0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102</v>
      </c>
      <c r="B13" s="15" t="s">
        <v>31</v>
      </c>
      <c r="C13" s="15" t="s">
        <v>215</v>
      </c>
      <c r="D13" s="15" t="s">
        <v>216</v>
      </c>
      <c r="E13" s="15" t="s">
        <v>217</v>
      </c>
      <c r="F13" s="15" t="s">
        <v>218</v>
      </c>
      <c r="G13" s="15" t="s">
        <v>219</v>
      </c>
      <c r="H13" s="15" t="s">
        <v>220</v>
      </c>
      <c r="I13" s="15" t="s">
        <v>221</v>
      </c>
      <c r="J13" s="15" t="s">
        <v>222</v>
      </c>
      <c r="K13" s="15" t="s">
        <v>223</v>
      </c>
      <c r="L13" s="15" t="s">
        <v>224</v>
      </c>
      <c r="M13" s="180" t="s">
        <v>225</v>
      </c>
      <c r="N13" s="180" t="s">
        <v>226</v>
      </c>
      <c r="O13" s="62" t="s">
        <v>227</v>
      </c>
      <c r="P13" s="62" t="s">
        <v>228</v>
      </c>
      <c r="Q13" s="62" t="s">
        <v>229</v>
      </c>
      <c r="R13" s="62" t="s">
        <v>230</v>
      </c>
      <c r="S13" s="62" t="s">
        <v>231</v>
      </c>
    </row>
    <row r="14" spans="1:46">
      <c r="A14" s="20" t="str">
        <f>Inputs!A19</f>
        <v>0</v>
      </c>
      <c r="B14" s="20" t="str">
        <f>IFERROR(VLOOKUP(A14,Parameters!$A$23:$B$30,2,0),"")</f>
        <v>0</v>
      </c>
      <c r="C14" s="20" t="str">
        <f>IF(Inputs!A19=Parameters!$A$30,Inputs!B19,A14&amp;": "&amp;B14)</f>
        <v>0</v>
      </c>
      <c r="D14" s="16" t="str">
        <f>Inputs!C19</f>
        <v>0</v>
      </c>
      <c r="E14" s="16" t="str">
        <f>Inputs!D19</f>
        <v>0</v>
      </c>
      <c r="F14" t="str">
        <f>IFERROR(INDEX(Parameters!$A$22:$P$29,MATCH(Calculations!$A14,Parameters!$A$22:$A$29,0),MATCH(Parameters!$P$22,Parameters!$A$22:$P$22,0)),"")</f>
        <v>0</v>
      </c>
      <c r="G14" s="67" t="str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0</v>
      </c>
      <c r="H14" s="123" t="str">
        <f>IFERROR(IF(B14="meat",INDEX(Parameters!$A$22:$P$29,MATCH(Calculations!A14,Parameters!$A$22:$A$29,0),MATCH(Parameters!$I$22,Parameters!$A$22:$P$22,0))*G14,""),"")</f>
        <v>0</v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0</v>
      </c>
      <c r="J14" s="127" t="str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>0</v>
      </c>
      <c r="L14" s="172"/>
      <c r="M14" s="60" t="str">
        <f>Inputs!J19/100</f>
        <v>0</v>
      </c>
      <c r="N14" s="181" t="str">
        <f>Inputs!K19/100</f>
        <v>0</v>
      </c>
      <c r="O14" s="63" t="str">
        <f>IFERROR(INDEX(Parameters!$A$41:$C$48,MATCH(Calculations!A14,Parameters!$A$41:$A$48,0),MATCH(Inputs!F19,Parameters!$A$41:$C$41,0)),0)</f>
        <v>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 t="str">
        <f>IFERROR(D14*INDEX(Parameters!$A$22:$P$29,MATCH(Calculations!$A14,Parameters!$A$22:$A$29,0),MATCH(Parameters!$L$22,Parameters!$A$22:$P$22,0))*IF(Inputs!I19="Always",1,IF(Inputs!I19="Sometimes",0.5,0))*365,"")</f>
        <v>0</v>
      </c>
      <c r="R14" s="63" t="str">
        <f>IFERROR(D14*INDEX(Parameters!$A$22:$P$29,MATCH(Calculations!$A14,Parameters!$A$22:$A$29,0),MATCH(Parameters!$M$22,Parameters!$A$22:$P$22,0)),"")</f>
        <v>0</v>
      </c>
      <c r="S14" s="63" t="str">
        <f>IFERROR(D14*INDEX(Parameters!$A$22:$P$29,MATCH(Calculations!$A14,Parameters!$A$22:$A$29,0),MATCH(Parameters!$N$22,Parameters!$A$22:$P$22,0)),"")</f>
        <v>0</v>
      </c>
    </row>
    <row r="15" spans="1:46">
      <c r="A15" s="16" t="str">
        <f>Inputs!A20</f>
        <v>0</v>
      </c>
      <c r="B15" s="16" t="str">
        <f>IFERROR(VLOOKUP(A15,Parameters!$A$23:$B$30,2,0),"")</f>
        <v>0</v>
      </c>
      <c r="C15" s="16" t="str">
        <f>IF(Inputs!A20=Parameters!$A$30,Inputs!B20,A15&amp;": "&amp;B15)</f>
        <v>0</v>
      </c>
      <c r="D15" s="16" t="str">
        <f>Inputs!C20</f>
        <v>0</v>
      </c>
      <c r="E15" s="16" t="str">
        <f>Inputs!D20</f>
        <v>0</v>
      </c>
      <c r="F15" t="str">
        <f>IFERROR(INDEX(Parameters!$A$22:$P$29,MATCH(Calculations!$A15,Parameters!$A$22:$A$29,0),MATCH(Parameters!$P$22,Parameters!$A$22:$P$22,0)),"")</f>
        <v>0</v>
      </c>
      <c r="G15" s="67" t="str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0</v>
      </c>
      <c r="H15" s="123" t="str">
        <f>IFERROR(IF(B15="meat",INDEX(Parameters!$A$22:$P$29,MATCH(Calculations!A15,Parameters!$A$22:$A$29,0),MATCH(Parameters!$I$22,Parameters!$A$22:$P$22,0))*G15,""),"")</f>
        <v>0</v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0</v>
      </c>
      <c r="J15" s="126" t="str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>0</v>
      </c>
      <c r="L15" s="173"/>
      <c r="M15" s="22" t="str">
        <f>Inputs!J20/100</f>
        <v>0</v>
      </c>
      <c r="N15" s="132" t="str">
        <f>Inputs!K20/100</f>
        <v>0</v>
      </c>
      <c r="O15" s="64" t="str">
        <f>IFERROR(INDEX(Parameters!$A$41:$C$48,MATCH(Calculations!A15,Parameters!$A$41:$A$48,0),MATCH(Inputs!F20,Parameters!$A$41:$C$41,0)),0)</f>
        <v>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 t="str">
        <f>IFERROR(D15*INDEX(Parameters!$A$22:$P$29,MATCH(Calculations!$A15,Parameters!$A$22:$A$29,0),MATCH(Parameters!$L$22,Parameters!$A$22:$P$22,0))*IF(Inputs!I20="Always",1,IF(Inputs!I20="Sometimes",0.5,0))*365,"")</f>
        <v>0</v>
      </c>
      <c r="R15" s="64" t="str">
        <f>IFERROR(D15*INDEX(Parameters!$A$22:$P$29,MATCH(Calculations!$A15,Parameters!$A$22:$A$29,0),MATCH(Parameters!$M$22,Parameters!$A$22:$P$22,0)),"")</f>
        <v>0</v>
      </c>
      <c r="S15" s="64" t="str">
        <f>IFERROR(D15*INDEX(Parameters!$A$22:$P$29,MATCH(Calculations!$A15,Parameters!$A$22:$A$29,0),MATCH(Parameters!$N$22,Parameters!$A$22:$P$22,0)),"")</f>
        <v>0</v>
      </c>
    </row>
    <row r="16" spans="1:46">
      <c r="A16" s="16" t="str">
        <f>Inputs!A21</f>
        <v>0</v>
      </c>
      <c r="B16" s="16" t="str">
        <f>IFERROR(VLOOKUP(A16,Parameters!$A$23:$B$30,2,0),"")</f>
        <v>0</v>
      </c>
      <c r="C16" s="16" t="str">
        <f>IF(Inputs!A21=Parameters!$A$30,Inputs!B21,A16&amp;": "&amp;B16)</f>
        <v>0</v>
      </c>
      <c r="D16" s="16" t="str">
        <f>Inputs!C21</f>
        <v>0</v>
      </c>
      <c r="E16" s="16" t="str">
        <f>Inputs!D21</f>
        <v>0</v>
      </c>
      <c r="F16" s="43" t="str">
        <f>IFERROR(INDEX(Parameters!$A$22:$P$29,MATCH(Calculations!$A16,Parameters!$A$22:$A$29,0),MATCH(Parameters!$P$22,Parameters!$A$22:$P$22,0)),"")</f>
        <v>0</v>
      </c>
      <c r="G16" s="67" t="str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0</v>
      </c>
      <c r="H16" s="124" t="str">
        <f>IFERROR(IF(B16="meat",INDEX(Parameters!$A$22:$P$29,MATCH(Calculations!A16,Parameters!$A$22:$A$29,0),MATCH(Parameters!$I$22,Parameters!$A$22:$P$22,0))*G16,""),"")</f>
        <v>0</v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0</v>
      </c>
      <c r="J16" s="126" t="str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>0</v>
      </c>
      <c r="L16" s="173"/>
      <c r="M16" s="22" t="str">
        <f>Inputs!J21/100</f>
        <v>0</v>
      </c>
      <c r="N16" s="132" t="str">
        <f>Inputs!K21/100</f>
        <v>0</v>
      </c>
      <c r="O16" s="64" t="str">
        <f>IFERROR(INDEX(Parameters!$A$41:$C$48,MATCH(Calculations!A16,Parameters!$A$41:$A$48,0),MATCH(Inputs!F21,Parameters!$A$41:$C$41,0)),0)</f>
        <v>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 t="str">
        <f>IFERROR(D16*INDEX(Parameters!$A$22:$P$29,MATCH(Calculations!$A16,Parameters!$A$22:$A$29,0),MATCH(Parameters!$L$22,Parameters!$A$22:$P$22,0))*IF(Inputs!I21="Always",1,IF(Inputs!I21="Sometimes",0.5,0))*365,"")</f>
        <v>0</v>
      </c>
      <c r="R16" s="64" t="str">
        <f>IFERROR(D16*INDEX(Parameters!$A$22:$P$29,MATCH(Calculations!$A16,Parameters!$A$22:$A$29,0),MATCH(Parameters!$M$22,Parameters!$A$22:$P$22,0)),"")</f>
        <v>0</v>
      </c>
      <c r="S16" s="64" t="str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0</v>
      </c>
      <c r="B17" s="23" t="str">
        <f>IF(A17="","","meat")</f>
        <v>0</v>
      </c>
      <c r="C17" s="23" t="str">
        <f>IF(A17="","","Chicken: sale of ex layers")</f>
        <v>0</v>
      </c>
      <c r="D17" s="23" t="str">
        <f>IFERROR(INDEX($D$14:$D$16,MATCH(Parameters!$B$23,Calculations!$B$14:$B$16,0)),"")</f>
        <v>0</v>
      </c>
      <c r="E17" s="23"/>
      <c r="F17" s="6" t="str">
        <f>IFERROR(INDEX(Parameters!$A$22:$P$29,MATCH(Calculations!$A17,Parameters!$A$22:$A$29,0),MATCH(Parameters!$P$22,Parameters!$A$22:$P$22,0)),"")</f>
        <v>0</v>
      </c>
      <c r="G17" s="122" t="str">
        <f>IF(A17="","",INDEX(G14:G16,MATCH(Parameters!B23,B14:B16,0)))</f>
        <v>0</v>
      </c>
      <c r="H17" s="125" t="str">
        <f>IFERROR(IF(B17="meat",INDEX(Parameters!$A$22:$P$29,MATCH(Calculations!A17,Parameters!$A$22:$A$29,0),MATCH(Parameters!$I$22,Parameters!$A$22:$P$22,0))*G17,""),"")</f>
        <v>0</v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0</v>
      </c>
      <c r="J17" s="128"/>
      <c r="K17" s="61"/>
      <c r="L17" s="174" t="str">
        <f>IF(A17="","",DATE(YEAR(Inputs!$B$76),MONTH(Inputs!$B$76)+Parameters!O23-INDEX(Inputs!$L$19:$L$21,MATCH(Parameters!$A$23,Inputs!$A$19:$A$21,0)),1))</f>
        <v>0</v>
      </c>
      <c r="M17" s="24"/>
      <c r="N17" s="182"/>
      <c r="O17" s="65"/>
      <c r="P17" s="65" t="str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150</v>
      </c>
      <c r="B22" s="75" t="s">
        <v>232</v>
      </c>
      <c r="C22" s="75" t="s">
        <v>233</v>
      </c>
      <c r="D22" s="75" t="s">
        <v>234</v>
      </c>
      <c r="E22" s="75" t="s">
        <v>235</v>
      </c>
    </row>
    <row r="23" spans="1:46">
      <c r="A23" s="76" t="str">
        <f>Inputs!A56</f>
        <v>0</v>
      </c>
      <c r="B23" s="76" t="str">
        <f>SUM(C23:D23)</f>
        <v>0</v>
      </c>
      <c r="C23" s="76" t="str">
        <f>IF(Inputs!B56&gt;0,(Inputs!A56-Inputs!B56)/(Inputs!$B$76-Inputs!C56)*30,0)</f>
        <v>0</v>
      </c>
      <c r="D23" s="76" t="str">
        <f>IF(Inputs!B56&gt;0,Inputs!A56*0.22/12,0)</f>
        <v>0</v>
      </c>
      <c r="E23" s="76" t="str">
        <f>IFERROR(ROUNDUP(Inputs!B56/C23,0),0)</f>
        <v>0</v>
      </c>
    </row>
    <row r="24" spans="1:46">
      <c r="A24" s="46" t="str">
        <f>Inputs!A57</f>
        <v>0</v>
      </c>
      <c r="B24" s="46" t="str">
        <f>SUM(C24:D24)</f>
        <v>0</v>
      </c>
      <c r="C24" s="46" t="str">
        <f>IF(Inputs!B57&gt;0,(Inputs!A57-Inputs!B57)/(Inputs!$B$76-Inputs!C57)*30,0)</f>
        <v>0</v>
      </c>
      <c r="D24" s="46" t="str">
        <f>IF(Inputs!B57&gt;0,Inputs!A57*0.22/12,0)</f>
        <v>0</v>
      </c>
      <c r="E24" s="46" t="str">
        <f>IFERROR(ROUNDUP(Inputs!B57/B24,0),0)</f>
        <v>0</v>
      </c>
      <c r="H24" s="1"/>
    </row>
    <row r="25" spans="1:46">
      <c r="A25" s="46" t="str">
        <f>Inputs!A58</f>
        <v>0</v>
      </c>
      <c r="B25" s="46" t="str">
        <f>SUM(C25:D25)</f>
        <v>0</v>
      </c>
      <c r="C25" s="46" t="str">
        <f>IF(Inputs!B58&gt;0,(Inputs!A58-Inputs!B58)/(Inputs!$B$76-Inputs!C58)*30,0)</f>
        <v>0</v>
      </c>
      <c r="D25" s="46" t="str">
        <f>IF(Inputs!B58&gt;0,Inputs!A58*0.22/12,0)</f>
        <v>0</v>
      </c>
      <c r="E25" s="46" t="str">
        <f>IFERROR(ROUNDUP(Inputs!B58/B25,0),0)</f>
        <v>0</v>
      </c>
    </row>
    <row r="26" spans="1:46">
      <c r="A26" s="46" t="str">
        <f>Inputs!A59</f>
        <v>0</v>
      </c>
      <c r="B26" s="46" t="str">
        <f>SUM(C26:D26)</f>
        <v>0</v>
      </c>
      <c r="C26" s="46" t="str">
        <f>IF(Inputs!B59&gt;0,(Inputs!A59-Inputs!B59)/(Inputs!$B$76-Inputs!C59)*30,0)</f>
        <v>0</v>
      </c>
      <c r="D26" s="46" t="str">
        <f>IF(Inputs!B59&gt;0,Inputs!A59*0.22/12,0)</f>
        <v>0</v>
      </c>
      <c r="E26" s="46" t="str">
        <f>IFERROR(ROUNDUP(Inputs!B59/B26,0),0)</f>
        <v>0</v>
      </c>
    </row>
    <row r="27" spans="1:46">
      <c r="A27" s="61" t="str">
        <f>Inputs!A60</f>
        <v>0</v>
      </c>
      <c r="B27" s="61" t="str">
        <f>SUM(C27:D27)</f>
        <v>0</v>
      </c>
      <c r="C27" s="61" t="str">
        <f>IF(Inputs!B60&gt;0,(Inputs!A60-Inputs!B60)/(Inputs!$B$76-Inputs!C60)*30,0)</f>
        <v>0</v>
      </c>
      <c r="D27" s="61" t="str">
        <f>IF(Inputs!B60&gt;0,Inputs!A60*0.22/12,0)</f>
        <v>0</v>
      </c>
      <c r="E27" s="61" t="str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236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1" t="s">
        <v>237</v>
      </c>
      <c r="B32" s="131" t="s">
        <v>238</v>
      </c>
      <c r="C32" s="131" t="s">
        <v>239</v>
      </c>
      <c r="E32" s="134" t="s">
        <v>240</v>
      </c>
      <c r="F32" s="134" t="s">
        <v>241</v>
      </c>
      <c r="H32" s="176" t="s">
        <v>242</v>
      </c>
      <c r="I32" s="177" t="str">
        <f>VLOOKUP(VALUE(Inputs!B75),Parameters!A54:B68,2,0)</f>
        <v>0</v>
      </c>
    </row>
    <row r="33" spans="1:46">
      <c r="A33">
        <v>1</v>
      </c>
      <c r="B33" s="130" t="str">
        <f>F34</f>
        <v>0</v>
      </c>
      <c r="C33" s="27" t="str">
        <f>IF(B33&lt;&gt;"",IF(COUNT($A$33:A33)&lt;=$F$39,0,$F$41)+IF(COUNT($A$33:A33)&lt;=$F$40,0,$F$42),"")</f>
        <v>0</v>
      </c>
      <c r="E33" t="s">
        <v>179</v>
      </c>
      <c r="F33" s="130" t="str">
        <f>IF(Inputs!B79="","",Inputs!B79)</f>
        <v>0</v>
      </c>
      <c r="I33" s="43"/>
    </row>
    <row r="34" spans="1:46">
      <c r="A34" t="str">
        <f>A33+1</f>
        <v>0</v>
      </c>
      <c r="B34" s="130" t="str">
        <f>IFERROR(IF(COUNT($A$33:A34)&lt;=$F$38,IF($F$37="Monthly",DATE(YEAR(B33),MONTH(B33)+1,MIN(DAY(B33),28)),B33+14),""),"")</f>
        <v>0</v>
      </c>
      <c r="C34" s="27" t="str">
        <f>IF(B34&lt;&gt;"",IF(COUNT($A$33:A34)&lt;=$F$39,0,$F$41)+IF(COUNT($A$33:A34)&lt;=$F$40,0,$F$42),"")</f>
        <v>0</v>
      </c>
      <c r="E34" t="s">
        <v>180</v>
      </c>
      <c r="F34" s="130" t="str">
        <f>IF(Inputs!B80="","",Inputs!B80)</f>
        <v>0</v>
      </c>
    </row>
    <row r="35" spans="1:46">
      <c r="A35" t="str">
        <f>A34+1</f>
        <v>0</v>
      </c>
      <c r="B35" s="130" t="str">
        <f>IFERROR(IF(COUNT($A$33:A35)&lt;=$F$38,IF($F$37="Monthly",DATE(YEAR(B34),MONTH(B34)+1,MIN(DAY(B34),28)),B34+14),""),"")</f>
        <v>0</v>
      </c>
      <c r="C35" s="27" t="str">
        <f>IF(B35&lt;&gt;"",IF(COUNT($A$33:A35)&lt;=$F$39,0,$F$41)+IF(COUNT($A$33:A35)&lt;=$F$40,0,$F$42),"")</f>
        <v>0</v>
      </c>
      <c r="E35" t="s">
        <v>182</v>
      </c>
      <c r="F35" s="27" t="str">
        <f>Inputs!B81</f>
        <v>0</v>
      </c>
    </row>
    <row r="36" spans="1:46">
      <c r="A36" t="str">
        <f>A35+1</f>
        <v>0</v>
      </c>
      <c r="B36" s="130" t="str">
        <f>IFERROR(IF(COUNT($A$33:A36)&lt;=$F$38,IF($F$37="Monthly",DATE(YEAR(B35),MONTH(B35)+1,MIN(DAY(B35),28)),B35+14),""),"")</f>
        <v>0</v>
      </c>
      <c r="C36" s="27" t="str">
        <f>IF(B36&lt;&gt;"",IF(COUNT($A$33:A36)&lt;=$F$39,0,$F$41)+IF(COUNT($A$33:A36)&lt;=$F$40,0,$F$42),"")</f>
        <v>0</v>
      </c>
      <c r="E36" t="s">
        <v>183</v>
      </c>
      <c r="F36" s="132" t="str">
        <f>Inputs!B82/100</f>
        <v>0</v>
      </c>
    </row>
    <row r="37" spans="1:46">
      <c r="A37" t="str">
        <f>A36+1</f>
        <v>0</v>
      </c>
      <c r="B37" s="130" t="str">
        <f>IFERROR(IF(COUNT($A$33:A37)&lt;=$F$38,IF($F$37="Monthly",DATE(YEAR(B36),MONTH(B36)+1,MIN(DAY(B36),28)),B36+14),""),"")</f>
        <v>0</v>
      </c>
      <c r="C37" s="27" t="str">
        <f>IF(B37&lt;&gt;"",IF(COUNT($A$33:A37)&lt;=$F$39,0,$F$41)+IF(COUNT($A$33:A37)&lt;=$F$40,0,$F$42),"")</f>
        <v>0</v>
      </c>
      <c r="E37" t="s">
        <v>243</v>
      </c>
      <c r="F37" s="133" t="str">
        <f>IF(Inputs!B83="Months","Monthly",IF(Inputs!B83="Weeks",IF(Inputs!B84=1,"Weekly",IF(Inputs!B84=2,"Fortnightly",IF(Inputs!B84=4,"Four weeks","ERROR"))),""))</f>
        <v>0</v>
      </c>
    </row>
    <row r="38" spans="1:46">
      <c r="A38" t="str">
        <f>A37+1</f>
        <v>0</v>
      </c>
      <c r="B38" s="130" t="str">
        <f>IFERROR(IF(COUNT($A$33:A38)&lt;=$F$38,IF($F$37="Monthly",DATE(YEAR(B37),MONTH(B37)+1,MIN(DAY(B37),28)),B37+14),""),"")</f>
        <v>0</v>
      </c>
      <c r="C38" s="27" t="str">
        <f>IF(B38&lt;&gt;"",IF(COUNT($A$33:A38)&lt;=$F$39,0,$F$41)+IF(COUNT($A$33:A38)&lt;=$F$40,0,$F$42),"")</f>
        <v>0</v>
      </c>
      <c r="E38" t="s">
        <v>244</v>
      </c>
      <c r="F38" s="27" t="str">
        <f>IFERROR(Inputs!B85/Inputs!B84,"")</f>
        <v>0</v>
      </c>
    </row>
    <row r="39" spans="1:46">
      <c r="A39" t="str">
        <f>A38+1</f>
        <v>0</v>
      </c>
      <c r="B39" s="130" t="str">
        <f>IFERROR(IF(COUNT($A$33:A39)&lt;=$F$38,IF($F$37="Monthly",DATE(YEAR(B38),MONTH(B38)+1,MIN(DAY(B38),28)),B38+14),""),"")</f>
        <v>0</v>
      </c>
      <c r="C39" s="27" t="str">
        <f>IF(B39&lt;&gt;"",IF(COUNT($A$33:A39)&lt;=$F$39,0,$F$41)+IF(COUNT($A$33:A39)&lt;=$F$40,0,$F$42),"")</f>
        <v>0</v>
      </c>
      <c r="E39" t="s">
        <v>188</v>
      </c>
      <c r="F39" s="27" t="str">
        <f>Inputs!B86</f>
        <v>0</v>
      </c>
    </row>
    <row r="40" spans="1:46">
      <c r="A40" t="str">
        <f>A39+1</f>
        <v>0</v>
      </c>
      <c r="B40" s="130" t="str">
        <f>IFERROR(IF(COUNT($A$33:A40)&lt;=$F$38,IF($F$37="Monthly",DATE(YEAR(B39),MONTH(B39)+1,MIN(DAY(B39),28)),B39+14),""),"")</f>
        <v>0</v>
      </c>
      <c r="C40" s="27" t="str">
        <f>IF(B40&lt;&gt;"",IF(COUNT($A$33:A40)&lt;=$F$39,0,$F$41)+IF(COUNT($A$33:A40)&lt;=$F$40,0,$F$42),"")</f>
        <v>0</v>
      </c>
      <c r="E40" t="s">
        <v>189</v>
      </c>
      <c r="F40" s="27" t="str">
        <f>Inputs!B87</f>
        <v>0</v>
      </c>
    </row>
    <row r="41" spans="1:46">
      <c r="A41" t="str">
        <f>A40+1</f>
        <v>0</v>
      </c>
      <c r="B41" s="130" t="str">
        <f>IFERROR(IF(COUNT($A$33:A41)&lt;=$F$38,IF($F$37="Monthly",DATE(YEAR(B40),MONTH(B40)+1,MIN(DAY(B40),28)),B40+14),""),"")</f>
        <v>0</v>
      </c>
      <c r="C41" s="27" t="str">
        <f>IF(B41&lt;&gt;"",IF(COUNT($A$33:A41)&lt;=$F$39,0,$F$41)+IF(COUNT($A$33:A41)&lt;=$F$40,0,$F$42),"")</f>
        <v>0</v>
      </c>
      <c r="E41" t="s">
        <v>245</v>
      </c>
      <c r="F41" s="74" t="str">
        <f>IFERROR(F35/(F38-F39),"")</f>
        <v>0</v>
      </c>
      <c r="G41" s="74"/>
    </row>
    <row r="42" spans="1:46">
      <c r="A42" t="str">
        <f>A41+1</f>
        <v>0</v>
      </c>
      <c r="B42" s="130" t="str">
        <f>IFERROR(IF(COUNT($A$33:A42)&lt;=$F$38,IF($F$37="Monthly",DATE(YEAR(B41),MONTH(B41)+1,MIN(DAY(B41),28)),B41+14),""),"")</f>
        <v>0</v>
      </c>
      <c r="C42" s="27" t="str">
        <f>IF(B42&lt;&gt;"",IF(COUNT($A$33:A42)&lt;=$F$39,0,$F$41)+IF(COUNT($A$33:A42)&lt;=$F$40,0,$F$42),"")</f>
        <v>0</v>
      </c>
      <c r="E42" t="s">
        <v>246</v>
      </c>
      <c r="F42" s="74" t="str">
        <f>IFERROR(F35*F36*IF(F37="Monthly",F38/12,IF(F37="Fortnightly",F38/(365/14),F38/(365/28)))/(F38-F40),"")</f>
        <v>0</v>
      </c>
    </row>
    <row r="43" spans="1:46">
      <c r="A43" t="str">
        <f>A42+1</f>
        <v>0</v>
      </c>
      <c r="B43" s="130" t="str">
        <f>IFERROR(IF(COUNT($A$33:A43)&lt;=$F$38,IF($F$37="Monthly",DATE(YEAR(B42),MONTH(B42)+1,MIN(DAY(B42),28)),B42+14),""),"")</f>
        <v>0</v>
      </c>
      <c r="C43" s="27" t="str">
        <f>IF(B43&lt;&gt;"",IF(COUNT($A$33:A43)&lt;=$F$39,0,$F$41)+IF(COUNT($A$33:A43)&lt;=$F$40,0,$F$42),"")</f>
        <v>0</v>
      </c>
    </row>
    <row r="44" spans="1:46">
      <c r="A44" t="str">
        <f>A43+1</f>
        <v>0</v>
      </c>
      <c r="B44" s="130" t="str">
        <f>IFERROR(IF(COUNT($A$33:A44)&lt;=$F$38,IF($F$37="Monthly",DATE(YEAR(B43),MONTH(B43)+1,MIN(DAY(B43),28)),B43+14),""),"")</f>
        <v>0</v>
      </c>
      <c r="C44" s="27" t="str">
        <f>IF(B44&lt;&gt;"",IF(COUNT($A$33:A44)&lt;=$F$39,0,$F$41)+IF(COUNT($A$33:A44)&lt;=$F$40,0,$F$42),"")</f>
        <v>0</v>
      </c>
    </row>
    <row r="45" spans="1:46">
      <c r="A45" t="str">
        <f>A44+1</f>
        <v>0</v>
      </c>
      <c r="B45" s="130" t="str">
        <f>IFERROR(IF(COUNT($A$33:A45)&lt;=$F$38,IF($F$37="Monthly",DATE(YEAR(B44),MONTH(B44)+1,MIN(DAY(B44),28)),B44+14),""),"")</f>
        <v>0</v>
      </c>
      <c r="C45" s="27" t="str">
        <f>IF(B45&lt;&gt;"",IF(COUNT($A$33:A45)&lt;=$F$39,0,$F$41)+IF(COUNT($A$33:A45)&lt;=$F$40,0,$F$42),"")</f>
        <v>0</v>
      </c>
    </row>
    <row r="46" spans="1:46">
      <c r="A46" t="str">
        <f>A45+1</f>
        <v>0</v>
      </c>
      <c r="B46" s="130" t="str">
        <f>IFERROR(IF(COUNT($A$33:A46)&lt;=$F$38,IF($F$37="Monthly",DATE(YEAR(B45),MONTH(B45)+1,MIN(DAY(B45),28)),B45+14),""),"")</f>
        <v>0</v>
      </c>
      <c r="C46" s="27" t="str">
        <f>IF(B46&lt;&gt;"",IF(COUNT($A$33:A46)&lt;=$F$39,0,$F$41)+IF(COUNT($A$33:A46)&lt;=$F$40,0,$F$42),"")</f>
        <v>0</v>
      </c>
    </row>
    <row r="47" spans="1:46">
      <c r="A47" t="str">
        <f>A46+1</f>
        <v>0</v>
      </c>
      <c r="B47" s="130" t="str">
        <f>IFERROR(IF(COUNT($A$33:A47)&lt;=$F$38,IF($F$37="Monthly",DATE(YEAR(B46),MONTH(B46)+1,MIN(DAY(B46),28)),B46+14),""),"")</f>
        <v>0</v>
      </c>
      <c r="C47" s="27" t="str">
        <f>IF(B47&lt;&gt;"",IF(COUNT($A$33:A47)&lt;=$F$39,0,$F$41)+IF(COUNT($A$33:A47)&lt;=$F$40,0,$F$42),"")</f>
        <v>0</v>
      </c>
    </row>
    <row r="48" spans="1:46">
      <c r="A48" t="str">
        <f>A47+1</f>
        <v>0</v>
      </c>
      <c r="B48" s="130" t="str">
        <f>IFERROR(IF(COUNT($A$33:A48)&lt;=$F$38,IF($F$37="Monthly",DATE(YEAR(B47),MONTH(B47)+1,MIN(DAY(B47),28)),B47+14),""),"")</f>
        <v>0</v>
      </c>
      <c r="C48" s="27" t="str">
        <f>IF(B48&lt;&gt;"",IF(COUNT($A$33:A48)&lt;=$F$39,0,$F$41)+IF(COUNT($A$33:A48)&lt;=$F$40,0,$F$42),"")</f>
        <v>0</v>
      </c>
    </row>
    <row r="49" spans="1:46">
      <c r="A49" t="str">
        <f>A48+1</f>
        <v>0</v>
      </c>
      <c r="B49" s="130" t="str">
        <f>IFERROR(IF(COUNT($A$33:A49)&lt;=$F$38,IF($F$37="Monthly",DATE(YEAR(B48),MONTH(B48)+1,MIN(DAY(B48),28)),B48+14),""),"")</f>
        <v>0</v>
      </c>
      <c r="C49" s="27" t="str">
        <f>IF(B49&lt;&gt;"",IF(COUNT($A$33:A49)&lt;=$F$39,0,$F$41)+IF(COUNT($A$33:A49)&lt;=$F$40,0,$F$42),"")</f>
        <v>0</v>
      </c>
    </row>
    <row r="50" spans="1:46">
      <c r="A50" t="str">
        <f>A49+1</f>
        <v>0</v>
      </c>
      <c r="B50" s="130" t="str">
        <f>IFERROR(IF(COUNT($A$33:A50)&lt;=$F$38,IF($F$37="Monthly",DATE(YEAR(B49),MONTH(B49)+1,MIN(DAY(B49),28)),B49+14),""),"")</f>
        <v>0</v>
      </c>
      <c r="C50" s="27" t="str">
        <f>IF(B50&lt;&gt;"",IF(COUNT($A$33:A50)&lt;=$F$39,0,$F$41)+IF(COUNT($A$33:A50)&lt;=$F$40,0,$F$42),"")</f>
        <v>0</v>
      </c>
    </row>
    <row r="51" spans="1:46">
      <c r="A51" t="str">
        <f>A50+1</f>
        <v>0</v>
      </c>
      <c r="B51" s="130" t="str">
        <f>IFERROR(IF(COUNT($A$33:A51)&lt;=$F$38,IF($F$37="Monthly",DATE(YEAR(B50),MONTH(B50)+1,MIN(DAY(B50),28)),B50+14),""),"")</f>
        <v>0</v>
      </c>
      <c r="C51" s="27" t="str">
        <f>IF(B51&lt;&gt;"",IF(COUNT($A$33:A51)&lt;=$F$39,0,$F$41)+IF(COUNT($A$33:A51)&lt;=$F$40,0,$F$42),"")</f>
        <v>0</v>
      </c>
    </row>
    <row r="52" spans="1:46">
      <c r="A52" t="str">
        <f>A51+1</f>
        <v>0</v>
      </c>
      <c r="B52" s="130" t="str">
        <f>IFERROR(IF(COUNT($A$33:A52)&lt;=$F$38,IF($F$37="Monthly",DATE(YEAR(B51),MONTH(B51)+1,MIN(DAY(B51),28)),B51+14),""),"")</f>
        <v>0</v>
      </c>
      <c r="C52" s="27" t="str">
        <f>IF(B52&lt;&gt;"",IF(COUNT($A$33:A52)&lt;=$F$39,0,$F$41)+IF(COUNT($A$33:A52)&lt;=$F$40,0,$F$42),"")</f>
        <v>0</v>
      </c>
    </row>
    <row r="53" spans="1:46">
      <c r="A53" t="str">
        <f>A52+1</f>
        <v>0</v>
      </c>
      <c r="B53" s="130" t="str">
        <f>IFERROR(IF(COUNT($A$33:A53)&lt;=$F$38,IF($F$37="Monthly",DATE(YEAR(B52),MONTH(B52)+1,MIN(DAY(B52),28)),B52+14),""),"")</f>
        <v>0</v>
      </c>
      <c r="C53" s="27" t="str">
        <f>IF(B53&lt;&gt;"",IF(COUNT($A$33:A53)&lt;=$F$39,0,$F$41)+IF(COUNT($A$33:A53)&lt;=$F$40,0,$F$42),"")</f>
        <v>0</v>
      </c>
    </row>
    <row r="54" spans="1:46">
      <c r="A54" t="str">
        <f>A53+1</f>
        <v>0</v>
      </c>
      <c r="B54" s="130" t="str">
        <f>IFERROR(IF(COUNT($A$33:A54)&lt;=$F$38,IF($F$37="Monthly",DATE(YEAR(B53),MONTH(B53)+1,MIN(DAY(B53),28)),B53+14),""),"")</f>
        <v>0</v>
      </c>
      <c r="C54" s="27" t="str">
        <f>IF(B54&lt;&gt;"",IF(COUNT($A$33:A54)&lt;=$F$39,0,$F$41)+IF(COUNT($A$33:A54)&lt;=$F$40,0,$F$42),"")</f>
        <v>0</v>
      </c>
    </row>
    <row r="55" spans="1:46">
      <c r="A55" t="str">
        <f>A54+1</f>
        <v>0</v>
      </c>
      <c r="B55" s="130" t="str">
        <f>IFERROR(IF(COUNT($A$33:A55)&lt;=$F$38,IF($F$37="Monthly",DATE(YEAR(B54),MONTH(B54)+1,MIN(DAY(B54),28)),B54+14),""),"")</f>
        <v>0</v>
      </c>
      <c r="C55" s="27" t="str">
        <f>IF(B55&lt;&gt;"",IF(COUNT($A$33:A55)&lt;=$F$39,0,$F$41)+IF(COUNT($A$33:A55)&lt;=$F$40,0,$F$42),"")</f>
        <v>0</v>
      </c>
    </row>
    <row r="56" spans="1:46">
      <c r="A56" t="str">
        <f>A55+1</f>
        <v>0</v>
      </c>
      <c r="B56" s="130" t="str">
        <f>IFERROR(IF(COUNT($A$33:A56)&lt;=$F$38,IF($F$37="Monthly",DATE(YEAR(B55),MONTH(B55)+1,MIN(DAY(B55),28)),B55+14),""),"")</f>
        <v>0</v>
      </c>
      <c r="C56" s="27" t="str">
        <f>IF(B56&lt;&gt;"",IF(COUNT($A$33:A56)&lt;=$F$39,0,$F$41)+IF(COUNT($A$33:A56)&lt;=$F$40,0,$F$42),"")</f>
        <v>0</v>
      </c>
    </row>
    <row r="57" spans="1:46">
      <c r="A57" t="str">
        <f>A56+1</f>
        <v>0</v>
      </c>
      <c r="B57" s="130" t="str">
        <f>IFERROR(IF(COUNT($A$33:A57)&lt;=$F$38,IF($F$37="Monthly",DATE(YEAR(B56),MONTH(B56)+1,MIN(DAY(B56),28)),B56+14),""),"")</f>
        <v>0</v>
      </c>
      <c r="C57" s="27" t="str">
        <f>IF(B57&lt;&gt;"",IF(COUNT($A$33:A57)&lt;=$F$39,0,$F$41)+IF(COUNT($A$33:A57)&lt;=$F$40,0,$F$42),"")</f>
        <v>0</v>
      </c>
    </row>
    <row r="58" spans="1:46">
      <c r="A58" t="str">
        <f>A57+1</f>
        <v>0</v>
      </c>
      <c r="B58" s="130" t="str">
        <f>IFERROR(IF(COUNT($A$33:A58)&lt;=$F$38,IF($F$37="Monthly",DATE(YEAR(B57),MONTH(B57)+1,MIN(DAY(B57),28)),B57+14),""),"")</f>
        <v>0</v>
      </c>
      <c r="C58" s="27" t="str">
        <f>IF(B58&lt;&gt;"",IF(COUNT($A$33:A58)&lt;=$F$39,0,$F$41)+IF(COUNT($A$33:A58)&lt;=$F$40,0,$F$42),"")</f>
        <v>0</v>
      </c>
    </row>
    <row r="59" spans="1:46">
      <c r="A59" t="str">
        <f>A58+1</f>
        <v>0</v>
      </c>
      <c r="B59" s="130" t="str">
        <f>IFERROR(IF(COUNT($A$33:A59)&lt;=$F$38,IF($F$37="Monthly",DATE(YEAR(B58),MONTH(B58)+1,MIN(DAY(B58),28)),B58+14),""),"")</f>
        <v>0</v>
      </c>
      <c r="C59" s="27" t="str">
        <f>IF(B59&lt;&gt;"",IF(COUNT($A$33:A59)&lt;=$F$39,0,$F$41)+IF(COUNT($A$33:A59)&lt;=$F$40,0,$F$42),"")</f>
        <v>0</v>
      </c>
    </row>
    <row r="60" spans="1:46">
      <c r="A60" t="str">
        <f>A59+1</f>
        <v>0</v>
      </c>
      <c r="B60" s="130" t="str">
        <f>IFERROR(IF(COUNT($A$33:A60)&lt;=$F$38,IF($F$37="Monthly",DATE(YEAR(B59),MONTH(B59)+1,MIN(DAY(B59),28)),B59+14),""),"")</f>
        <v>0</v>
      </c>
      <c r="C60" s="27" t="str">
        <f>IF(B60&lt;&gt;"",IF(COUNT($A$33:A60)&lt;=$F$39,0,$F$41)+IF(COUNT($A$33:A60)&lt;=$F$40,0,$F$42),"")</f>
        <v>0</v>
      </c>
    </row>
    <row r="61" spans="1:46">
      <c r="A61" t="str">
        <f>A60+1</f>
        <v>0</v>
      </c>
      <c r="B61" s="130" t="str">
        <f>IFERROR(IF(COUNT($A$33:A61)&lt;=$F$38,IF($F$37="Monthly",DATE(YEAR(B60),MONTH(B60)+1,MIN(DAY(B60),28)),B60+14),""),"")</f>
        <v>0</v>
      </c>
      <c r="C61" s="27" t="str">
        <f>IF(B61&lt;&gt;"",IF(COUNT($A$33:A61)&lt;=$F$39,0,$F$41)+IF(COUNT($A$33:A61)&lt;=$F$40,0,$F$42),"")</f>
        <v>0</v>
      </c>
    </row>
    <row r="62" spans="1:46">
      <c r="A62" t="str">
        <f>A61+1</f>
        <v>0</v>
      </c>
      <c r="B62" s="130" t="str">
        <f>IFERROR(IF(COUNT($A$33:A62)&lt;=$F$38,IF($F$37="Monthly",DATE(YEAR(B61),MONTH(B61)+1,MIN(DAY(B61),28)),B61+14),""),"")</f>
        <v>0</v>
      </c>
      <c r="C62" s="27" t="str">
        <f>IF(B62&lt;&gt;"",IF(COUNT($A$33:A62)&lt;=$F$39,0,$F$41)+IF(COUNT($A$33:A62)&lt;=$F$40,0,$F$42),"")</f>
        <v>0</v>
      </c>
    </row>
    <row r="63" spans="1:46">
      <c r="A63" t="str">
        <f>A62+1</f>
        <v>0</v>
      </c>
      <c r="B63" s="130" t="str">
        <f>IFERROR(IF(COUNT($A$33:A63)&lt;=$F$38,IF($F$37="Monthly",DATE(YEAR(B62),MONTH(B62)+1,MIN(DAY(B62),28)),B62+14),""),"")</f>
        <v>0</v>
      </c>
      <c r="C63" s="27" t="str">
        <f>IF(B63&lt;&gt;"",IF(COUNT($A$33:A63)&lt;=$F$39,0,$F$41)+IF(COUNT($A$33:A63)&lt;=$F$40,0,$F$42),"")</f>
        <v>0</v>
      </c>
    </row>
    <row r="64" spans="1:46">
      <c r="A64" t="str">
        <f>A63+1</f>
        <v>0</v>
      </c>
      <c r="B64" s="130" t="str">
        <f>IFERROR(IF(COUNT($A$33:A64)&lt;=$F$38,IF($F$37="Monthly",DATE(YEAR(B63),MONTH(B63)+1,MIN(DAY(B63),28)),B63+14),""),"")</f>
        <v>0</v>
      </c>
      <c r="C64" s="27" t="str">
        <f>IF(B64&lt;&gt;"",IF(COUNT($A$33:A64)&lt;=$F$39,0,$F$41)+IF(COUNT($A$33:A64)&lt;=$F$40,0,$F$42),"")</f>
        <v>0</v>
      </c>
    </row>
    <row r="65" spans="1:46">
      <c r="A65" t="str">
        <f>A64+1</f>
        <v>0</v>
      </c>
      <c r="B65" s="130" t="str">
        <f>IFERROR(IF(COUNT($A$33:A65)&lt;=$F$38,IF($F$37="Monthly",DATE(YEAR(B64),MONTH(B64)+1,MIN(DAY(B64),28)),B64+14),""),"")</f>
        <v>0</v>
      </c>
      <c r="C65" s="27" t="str">
        <f>IF(B65&lt;&gt;"",IF(COUNT($A$33:A65)&lt;=$F$39,0,$F$41)+IF(COUNT($A$33:A65)&lt;=$F$40,0,$F$42),"")</f>
        <v>0</v>
      </c>
    </row>
    <row r="66" spans="1:46">
      <c r="A66" t="str">
        <f>A65+1</f>
        <v>0</v>
      </c>
      <c r="B66" s="130" t="str">
        <f>IFERROR(IF(COUNT($A$33:A66)&lt;=$F$38,IF($F$37="Monthly",DATE(YEAR(B65),MONTH(B65)+1,MIN(DAY(B65),28)),B65+14),""),"")</f>
        <v>0</v>
      </c>
      <c r="C66" s="27" t="str">
        <f>IF(B66&lt;&gt;"",IF(COUNT($A$33:A66)&lt;=$F$39,0,$F$41)+IF(COUNT($A$33:A66)&lt;=$F$40,0,$F$42),"")</f>
        <v>0</v>
      </c>
    </row>
    <row r="67" spans="1:46">
      <c r="A67" t="str">
        <f>A66+1</f>
        <v>0</v>
      </c>
      <c r="B67" s="130" t="str">
        <f>IFERROR(IF(COUNT($A$33:A67)&lt;=$F$38,IF($F$37="Monthly",DATE(YEAR(B66),MONTH(B66)+1,MIN(DAY(B66),28)),B66+14),""),"")</f>
        <v>0</v>
      </c>
      <c r="C67" s="27" t="str">
        <f>IF(B67&lt;&gt;"",IF(COUNT($A$33:A67)&lt;=$F$39,0,$F$41)+IF(COUNT($A$33:A67)&lt;=$F$40,0,$F$42),"")</f>
        <v>0</v>
      </c>
    </row>
    <row r="68" spans="1:46">
      <c r="A68" t="str">
        <f>A67+1</f>
        <v>0</v>
      </c>
      <c r="B68" s="130" t="str">
        <f>IFERROR(IF(COUNT($A$33:A68)&lt;=$F$38,IF($F$37="Monthly",DATE(YEAR(B67),MONTH(B67)+1,MIN(DAY(B67),28)),B67+14),""),"")</f>
        <v>0</v>
      </c>
      <c r="C68" s="27" t="str">
        <f>IF(B68&lt;&gt;"",IF(COUNT($A$33:A68)&lt;=$F$39,0,$F$41)+IF(COUNT($A$33:A68)&lt;=$F$40,0,$F$42),"")</f>
        <v>0</v>
      </c>
    </row>
    <row r="69" spans="1:46">
      <c r="A69" t="str">
        <f>A68+1</f>
        <v>0</v>
      </c>
      <c r="B69" s="130" t="str">
        <f>IFERROR(IF(COUNT($A$33:A69)&lt;=$F$38,IF($F$37="Monthly",DATE(YEAR(B68),MONTH(B68)+1,MIN(DAY(B68),28)),B68+14),""),"")</f>
        <v>0</v>
      </c>
      <c r="C69" s="27" t="str">
        <f>IF(B69&lt;&gt;"",IF(COUNT($A$33:A69)&lt;=$F$39,0,$F$41)+IF(COUNT($A$33:A69)&lt;=$F$40,0,$F$42),"")</f>
        <v>0</v>
      </c>
    </row>
    <row r="70" spans="1:46">
      <c r="A70" t="str">
        <f>A69+1</f>
        <v>0</v>
      </c>
      <c r="B70" s="130" t="str">
        <f>IFERROR(IF(COUNT($A$33:A70)&lt;=$F$38,IF($F$37="Monthly",DATE(YEAR(B69),MONTH(B69)+1,MIN(DAY(B69),28)),B69+14),""),"")</f>
        <v>0</v>
      </c>
      <c r="C70" s="27" t="str">
        <f>IF(B70&lt;&gt;"",IF(COUNT($A$33:A70)&lt;=$F$39,0,$F$41)+IF(COUNT($A$33:A70)&lt;=$F$40,0,$F$42),"")</f>
        <v>0</v>
      </c>
    </row>
    <row r="71" spans="1:46">
      <c r="A71" t="str">
        <f>A70+1</f>
        <v>0</v>
      </c>
      <c r="B71" s="130" t="str">
        <f>IFERROR(IF(COUNT($A$33:A71)&lt;=$F$38,IF($F$37="Monthly",DATE(YEAR(B70),MONTH(B70)+1,MIN(DAY(B70),28)),B70+14),""),"")</f>
        <v>0</v>
      </c>
      <c r="C71" s="27" t="str">
        <f>IF(B71&lt;&gt;"",IF(COUNT($A$33:A71)&lt;=$F$39,0,$F$41)+IF(COUNT($A$33:A71)&lt;=$F$40,0,$F$42),"")</f>
        <v>0</v>
      </c>
    </row>
    <row r="72" spans="1:46">
      <c r="A72" t="str">
        <f>A71+1</f>
        <v>0</v>
      </c>
      <c r="B72" s="130" t="str">
        <f>IFERROR(IF(COUNT($A$33:A72)&lt;=$F$38,IF($F$37="Monthly",DATE(YEAR(B71),MONTH(B71)+1,MIN(DAY(B71),28)),B71+14),""),"")</f>
        <v>0</v>
      </c>
      <c r="C72" s="27" t="str">
        <f>IF(B72&lt;&gt;"",IF(COUNT($A$33:A72)&lt;=$F$39,0,$F$41)+IF(COUNT($A$33:A72)&lt;=$F$40,0,$F$42),"")</f>
        <v>0</v>
      </c>
    </row>
    <row r="73" spans="1:46">
      <c r="A73" t="str">
        <f>A72+1</f>
        <v>0</v>
      </c>
      <c r="B73" s="130" t="str">
        <f>IFERROR(IF(COUNT($A$33:A73)&lt;=$F$38,IF($F$37="Monthly",DATE(YEAR(B72),MONTH(B72)+1,MIN(DAY(B72),28)),B72+14),""),"")</f>
        <v>0</v>
      </c>
      <c r="C73" s="27" t="str">
        <f>IF(B73&lt;&gt;"",IF(COUNT($A$33:A73)&lt;=$F$39,0,$F$41)+IF(COUNT($A$33:A73)&lt;=$F$40,0,$F$42),"")</f>
        <v>0</v>
      </c>
    </row>
    <row r="74" spans="1:46">
      <c r="A74" t="str">
        <f>A73+1</f>
        <v>0</v>
      </c>
      <c r="B74" s="130" t="str">
        <f>IFERROR(IF(COUNT($A$33:A74)&lt;=$F$38,IF($F$37="Monthly",DATE(YEAR(B73),MONTH(B73)+1,MIN(DAY(B73),28)),B73+14),""),"")</f>
        <v>0</v>
      </c>
      <c r="C74" s="27" t="str">
        <f>IF(B74&lt;&gt;"",IF(COUNT($A$33:A74)&lt;=$F$39,0,$F$41)+IF(COUNT($A$33:A74)&lt;=$F$40,0,$F$42),"")</f>
        <v>0</v>
      </c>
    </row>
    <row r="75" spans="1:46">
      <c r="A75" t="str">
        <f>A74+1</f>
        <v>0</v>
      </c>
      <c r="B75" s="130" t="str">
        <f>IFERROR(IF(COUNT($A$33:A75)&lt;=$F$38,IF($F$37="Monthly",DATE(YEAR(B74),MONTH(B74)+1,MIN(DAY(B74),28)),B74+14),""),"")</f>
        <v>0</v>
      </c>
      <c r="C75" s="27" t="str">
        <f>IF(B75&lt;&gt;"",IF(COUNT($A$33:A75)&lt;=$F$39,0,$F$41)+IF(COUNT($A$33:A75)&lt;=$F$40,0,$F$42),"")</f>
        <v>0</v>
      </c>
    </row>
    <row r="76" spans="1:46">
      <c r="A76" t="str">
        <f>A75+1</f>
        <v>0</v>
      </c>
      <c r="B76" s="130" t="str">
        <f>IFERROR(IF(COUNT($A$33:A76)&lt;=$F$38,IF($F$37="Monthly",DATE(YEAR(B75),MONTH(B75)+1,MIN(DAY(B75),28)),B75+14),""),"")</f>
        <v>0</v>
      </c>
      <c r="C76" s="27" t="str">
        <f>IF(B76&lt;&gt;"",IF(COUNT($A$33:A76)&lt;=$F$39,0,$F$41)+IF(COUNT($A$33:A76)&lt;=$F$40,0,$F$42),"")</f>
        <v>0</v>
      </c>
    </row>
    <row r="77" spans="1:46">
      <c r="A77" t="str">
        <f>A76+1</f>
        <v>0</v>
      </c>
      <c r="B77" s="130" t="str">
        <f>IFERROR(IF(COUNT($A$33:A77)&lt;=$F$38,IF($F$37="Monthly",DATE(YEAR(B76),MONTH(B76)+1,MIN(DAY(B76),28)),B76+14),""),"")</f>
        <v>0</v>
      </c>
      <c r="C77" s="27" t="str">
        <f>IF(B77&lt;&gt;"",IF(COUNT($A$33:A77)&lt;=$F$39,0,$F$41)+IF(COUNT($A$33:A77)&lt;=$F$40,0,$F$42),"")</f>
        <v>0</v>
      </c>
    </row>
    <row r="78" spans="1:46">
      <c r="A78" t="str">
        <f>A77+1</f>
        <v>0</v>
      </c>
      <c r="B78" s="130" t="str">
        <f>IFERROR(IF(COUNT($A$33:A78)&lt;=$F$38,IF($F$37="Monthly",DATE(YEAR(B77),MONTH(B77)+1,MIN(DAY(B77),28)),B77+14),""),"")</f>
        <v>0</v>
      </c>
      <c r="C78" s="27" t="str">
        <f>IF(B78&lt;&gt;"",IF(COUNT($A$33:A78)&lt;=$F$39,0,$F$41)+IF(COUNT($A$33:A78)&lt;=$F$40,0,$F$42),"")</f>
        <v>0</v>
      </c>
    </row>
    <row r="79" spans="1:46">
      <c r="A79" t="str">
        <f>A78+1</f>
        <v>0</v>
      </c>
      <c r="B79" s="130" t="str">
        <f>IFERROR(IF(COUNT($A$33:A79)&lt;=$F$38,IF($F$37="Monthly",DATE(YEAR(B78),MONTH(B78)+1,MIN(DAY(B78),28)),B78+14),""),"")</f>
        <v>0</v>
      </c>
      <c r="C79" s="27" t="str">
        <f>IF(B79&lt;&gt;"",IF(COUNT($A$33:A79)&lt;=$F$39,0,$F$41)+IF(COUNT($A$33:A79)&lt;=$F$40,0,$F$42),"")</f>
        <v>0</v>
      </c>
    </row>
    <row r="80" spans="1:46">
      <c r="A80" t="str">
        <f>A79+1</f>
        <v>0</v>
      </c>
      <c r="B80" s="130" t="str">
        <f>IFERROR(IF(COUNT($A$33:A80)&lt;=$F$38,IF($F$37="Monthly",DATE(YEAR(B79),MONTH(B79)+1,MIN(DAY(B79),28)),B79+14),""),"")</f>
        <v>0</v>
      </c>
      <c r="C80" s="27" t="str">
        <f>IF(B80&lt;&gt;"",IF(COUNT($A$33:A80)&lt;=$F$39,0,$F$41)+IF(COUNT($A$33:A80)&lt;=$F$40,0,$F$42),"")</f>
        <v>0</v>
      </c>
    </row>
    <row r="81" spans="1:46">
      <c r="A81" t="str">
        <f>A80+1</f>
        <v>0</v>
      </c>
      <c r="B81" s="130" t="str">
        <f>IFERROR(IF(COUNT($A$33:A81)&lt;=$F$38,IF($F$37="Monthly",DATE(YEAR(B80),MONTH(B80)+1,MIN(DAY(B80),28)),B80+14),""),"")</f>
        <v>0</v>
      </c>
      <c r="C81" s="27" t="str">
        <f>IF(B81&lt;&gt;"",IF(COUNT($A$33:A81)&lt;=$F$39,0,$F$41)+IF(COUNT($A$33:A81)&lt;=$F$40,0,$F$42),"")</f>
        <v>0</v>
      </c>
    </row>
    <row r="82" spans="1:46">
      <c r="A82" t="str">
        <f>A81+1</f>
        <v>0</v>
      </c>
      <c r="B82" s="130" t="str">
        <f>IFERROR(IF(COUNT($A$33:A82)&lt;=$F$38,IF($F$37="Monthly",DATE(YEAR(B81),MONTH(B81)+1,MIN(DAY(B81),28)),B81+14),""),"")</f>
        <v>0</v>
      </c>
      <c r="C82" s="27" t="str">
        <f>IF(B82&lt;&gt;"",IF(COUNT($A$33:A82)&lt;=$F$39,0,$F$41)+IF(COUNT($A$33:A82)&lt;=$F$40,0,$F$42),"")</f>
        <v>0</v>
      </c>
    </row>
    <row r="83" spans="1:46">
      <c r="A83" t="str">
        <f>A82+1</f>
        <v>0</v>
      </c>
      <c r="B83" s="130" t="str">
        <f>IFERROR(IF(COUNT($A$33:A83)&lt;=$F$38,IF($F$37="Monthly",DATE(YEAR(B82),MONTH(B82)+1,MIN(DAY(B82),28)),B82+14),""),"")</f>
        <v>0</v>
      </c>
      <c r="C83" s="27" t="str">
        <f>IF(B83&lt;&gt;"",IF(COUNT($A$33:A83)&lt;=$F$39,0,$F$41)+IF(COUNT($A$33:A83)&lt;=$F$40,0,$F$42),"")</f>
        <v>0</v>
      </c>
    </row>
    <row r="84" spans="1:46">
      <c r="A84" t="str">
        <f>A83+1</f>
        <v>0</v>
      </c>
      <c r="B84" s="130" t="str">
        <f>IFERROR(IF(COUNT($A$33:A84)&lt;=$F$38,IF($F$37="Monthly",DATE(YEAR(B83),MONTH(B83)+1,MIN(DAY(B83),28)),B83+14),""),"")</f>
        <v>0</v>
      </c>
      <c r="C84" s="27" t="str">
        <f>IF(B84&lt;&gt;"",IF(COUNT($A$33:A84)&lt;=$F$39,0,$F$41)+IF(COUNT($A$33:A84)&lt;=$F$40,0,$F$42),"")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1" topLeftCell="B1" activePane="topRight" state="frozen"/>
      <selection pane="topRight" activeCell="A53" sqref="A53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64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2"/>
      <c r="D2" s="9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66</v>
      </c>
      <c r="B3" s="10" t="s">
        <v>247</v>
      </c>
      <c r="C3" s="10" t="s">
        <v>248</v>
      </c>
      <c r="D3" s="10" t="s">
        <v>249</v>
      </c>
      <c r="E3" s="10" t="s">
        <v>250</v>
      </c>
      <c r="F3" s="10" t="s">
        <v>251</v>
      </c>
      <c r="G3" s="10" t="s">
        <v>252</v>
      </c>
      <c r="H3" s="10" t="s">
        <v>253</v>
      </c>
      <c r="I3" s="10" t="s">
        <v>254</v>
      </c>
      <c r="J3" s="10" t="s">
        <v>255</v>
      </c>
      <c r="K3" s="10" t="s">
        <v>256</v>
      </c>
      <c r="L3" s="10" t="s">
        <v>257</v>
      </c>
      <c r="M3" s="10" t="s">
        <v>258</v>
      </c>
      <c r="N3" s="10" t="s">
        <v>259</v>
      </c>
      <c r="O3" s="10" t="s">
        <v>260</v>
      </c>
      <c r="P3" s="10" t="s">
        <v>261</v>
      </c>
      <c r="Q3" s="10" t="s">
        <v>262</v>
      </c>
      <c r="R3" s="10" t="s">
        <v>263</v>
      </c>
      <c r="S3" s="10" t="s">
        <v>264</v>
      </c>
      <c r="T3" s="10" t="s">
        <v>265</v>
      </c>
      <c r="U3" s="10" t="s">
        <v>206</v>
      </c>
      <c r="V3" s="10" t="s">
        <v>204</v>
      </c>
      <c r="W3" s="10" t="s">
        <v>266</v>
      </c>
      <c r="X3" s="10" t="s">
        <v>267</v>
      </c>
      <c r="Y3" s="10" t="s">
        <v>268</v>
      </c>
      <c r="Z3" s="10" t="s">
        <v>269</v>
      </c>
      <c r="AA3" s="10" t="s">
        <v>270</v>
      </c>
      <c r="AB3" s="10" t="s">
        <v>271</v>
      </c>
      <c r="AC3" s="10" t="s">
        <v>272</v>
      </c>
      <c r="AD3" s="10" t="s">
        <v>273</v>
      </c>
      <c r="AE3" s="10" t="s">
        <v>274</v>
      </c>
      <c r="AF3" s="10" t="s">
        <v>275</v>
      </c>
      <c r="AG3" s="10" t="s">
        <v>276</v>
      </c>
      <c r="AH3" s="10" t="s">
        <v>277</v>
      </c>
      <c r="AI3" s="10" t="s">
        <v>278</v>
      </c>
    </row>
    <row r="4" spans="1:36" s="95" customFormat="1">
      <c r="A4" s="95" t="s">
        <v>279</v>
      </c>
      <c r="B4" s="96">
        <v>6609.764</v>
      </c>
      <c r="C4" s="97">
        <v>0.51291332035455</v>
      </c>
      <c r="D4" s="98">
        <v>0.1</v>
      </c>
      <c r="E4" s="98">
        <v>0.2</v>
      </c>
      <c r="F4" s="98">
        <v>0.15</v>
      </c>
      <c r="G4" s="96" t="str">
        <f>B4*(1+C4)*(1+E4)*(1+F4)</f>
        <v>0</v>
      </c>
      <c r="H4" s="98">
        <v>0.8</v>
      </c>
      <c r="I4" s="96">
        <v>2000</v>
      </c>
      <c r="J4" s="96">
        <v>0</v>
      </c>
      <c r="K4" s="96">
        <v>0</v>
      </c>
      <c r="L4" s="96" t="s">
        <v>280</v>
      </c>
      <c r="M4" s="96">
        <v>25</v>
      </c>
      <c r="N4" s="96">
        <v>150</v>
      </c>
      <c r="O4" s="96" t="str">
        <f>50*250</f>
        <v>0</v>
      </c>
      <c r="P4" s="96">
        <v>2000</v>
      </c>
      <c r="Q4" s="96">
        <v>7000</v>
      </c>
      <c r="R4" s="99">
        <v>0</v>
      </c>
      <c r="S4" s="96">
        <v>21</v>
      </c>
      <c r="T4" s="96">
        <v>21</v>
      </c>
      <c r="U4" s="98">
        <v>0</v>
      </c>
      <c r="V4" s="98">
        <v>0</v>
      </c>
      <c r="W4" s="96" t="s">
        <v>281</v>
      </c>
      <c r="X4" s="98" t="str">
        <f>1/12</f>
        <v>0</v>
      </c>
      <c r="Y4" s="98" t="str">
        <f>1/12</f>
        <v>0</v>
      </c>
      <c r="Z4" s="98" t="str">
        <f>1/12</f>
        <v>0</v>
      </c>
      <c r="AA4" s="98" t="str">
        <f>1/12</f>
        <v>0</v>
      </c>
      <c r="AB4" s="98" t="str">
        <f>1/12</f>
        <v>0</v>
      </c>
      <c r="AC4" s="98" t="str">
        <f>1/12</f>
        <v>0</v>
      </c>
      <c r="AD4" s="98" t="str">
        <f>1/12</f>
        <v>0</v>
      </c>
      <c r="AE4" s="98" t="str">
        <f>1/12</f>
        <v>0</v>
      </c>
      <c r="AF4" s="98" t="str">
        <f>1/12</f>
        <v>0</v>
      </c>
      <c r="AG4" s="98" t="str">
        <f>1/12</f>
        <v>0</v>
      </c>
      <c r="AH4" s="98" t="str">
        <f>1/12</f>
        <v>0</v>
      </c>
      <c r="AI4" s="98" t="str">
        <f>1/12</f>
        <v>0</v>
      </c>
    </row>
    <row r="5" spans="1:36" s="95" customFormat="1">
      <c r="A5" s="100" t="s">
        <v>282</v>
      </c>
      <c r="B5" s="101">
        <v>150</v>
      </c>
      <c r="C5" s="102">
        <v>1.0748881555995</v>
      </c>
      <c r="D5" s="103">
        <v>0.31984431374229</v>
      </c>
      <c r="E5" s="103">
        <v>0.67522688456706</v>
      </c>
      <c r="F5" s="103">
        <v>0.91796384131045</v>
      </c>
      <c r="G5" s="101">
        <v>1000</v>
      </c>
      <c r="H5" s="103">
        <v>1</v>
      </c>
      <c r="I5" s="101">
        <v>50</v>
      </c>
      <c r="J5" s="101">
        <v>1200</v>
      </c>
      <c r="K5" s="101">
        <v>25</v>
      </c>
      <c r="L5" s="101" t="s">
        <v>283</v>
      </c>
      <c r="M5" s="101">
        <v>100</v>
      </c>
      <c r="N5" s="101">
        <v>250</v>
      </c>
      <c r="O5" s="101">
        <v>20000</v>
      </c>
      <c r="P5" s="101">
        <v>3000</v>
      </c>
      <c r="Q5" s="101">
        <v>6000</v>
      </c>
      <c r="R5" s="104" t="str">
        <f>750/900</f>
        <v>0</v>
      </c>
      <c r="S5" s="101">
        <v>24.5</v>
      </c>
      <c r="T5" s="101">
        <v>24.5</v>
      </c>
      <c r="U5" s="98">
        <v>0</v>
      </c>
      <c r="V5" s="103">
        <v>0.1</v>
      </c>
      <c r="W5" s="101">
        <v>4</v>
      </c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</row>
    <row r="6" spans="1:36" s="95" customFormat="1">
      <c r="A6" s="95" t="s">
        <v>80</v>
      </c>
      <c r="B6" s="96">
        <v>4606.651</v>
      </c>
      <c r="C6" s="97">
        <v>0.25175401861475</v>
      </c>
      <c r="D6" s="98">
        <v>0.44189611030718</v>
      </c>
      <c r="E6" s="98">
        <v>0.77331819303757</v>
      </c>
      <c r="F6" s="98">
        <v>0.56469252326844</v>
      </c>
      <c r="G6" s="96">
        <v>16000</v>
      </c>
      <c r="H6" s="98">
        <v>0.1</v>
      </c>
      <c r="I6" s="96">
        <v>120</v>
      </c>
      <c r="J6" s="96">
        <v>0</v>
      </c>
      <c r="K6" s="99">
        <v>0.1212</v>
      </c>
      <c r="L6" s="96" t="s">
        <v>283</v>
      </c>
      <c r="M6" s="96">
        <v>5000</v>
      </c>
      <c r="N6" s="96">
        <v>6000</v>
      </c>
      <c r="O6" s="96">
        <v>15000</v>
      </c>
      <c r="P6" s="96">
        <v>2800</v>
      </c>
      <c r="Q6" s="96">
        <v>8000</v>
      </c>
      <c r="R6" s="99">
        <v>0</v>
      </c>
      <c r="S6" s="96">
        <v>14</v>
      </c>
      <c r="T6" s="96">
        <v>14</v>
      </c>
      <c r="U6" s="98">
        <v>0</v>
      </c>
      <c r="V6" s="98">
        <v>0</v>
      </c>
      <c r="W6" s="96">
        <v>3</v>
      </c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</row>
    <row r="7" spans="1:36" s="95" customFormat="1">
      <c r="A7" s="95" t="s">
        <v>284</v>
      </c>
      <c r="B7" s="96">
        <v>5000</v>
      </c>
      <c r="C7" s="97">
        <v>0.35493589835725</v>
      </c>
      <c r="D7" s="98">
        <v>0.47226495803943</v>
      </c>
      <c r="E7" s="98">
        <v>0.70839743705914</v>
      </c>
      <c r="F7" s="98">
        <v>0.29602564190694</v>
      </c>
      <c r="G7" s="96">
        <v>15000</v>
      </c>
      <c r="H7" s="98">
        <v>0.1</v>
      </c>
      <c r="I7" s="96">
        <v>80</v>
      </c>
      <c r="J7" s="96">
        <v>0</v>
      </c>
      <c r="K7" s="99">
        <v>2.6</v>
      </c>
      <c r="L7" s="96" t="s">
        <v>283</v>
      </c>
      <c r="M7" s="96">
        <v>4000</v>
      </c>
      <c r="N7" s="96">
        <v>6400</v>
      </c>
      <c r="O7" s="96">
        <v>20000</v>
      </c>
      <c r="P7" s="96">
        <v>1900</v>
      </c>
      <c r="Q7" s="96">
        <v>10000</v>
      </c>
      <c r="R7" s="99">
        <v>0</v>
      </c>
      <c r="S7" s="96">
        <v>28</v>
      </c>
      <c r="T7" s="96">
        <v>28</v>
      </c>
      <c r="U7" s="98">
        <v>0</v>
      </c>
      <c r="V7" s="98">
        <v>0</v>
      </c>
      <c r="W7" s="96">
        <v>4</v>
      </c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</row>
    <row r="8" spans="1:36" s="95" customFormat="1">
      <c r="A8" s="95" t="s">
        <v>285</v>
      </c>
      <c r="B8" s="96">
        <v>3956.358</v>
      </c>
      <c r="C8" s="97">
        <v>0.32571416198731</v>
      </c>
      <c r="D8" s="98">
        <v>0.060879068533093</v>
      </c>
      <c r="E8" s="98">
        <v>0.12175813706619</v>
      </c>
      <c r="F8" s="98">
        <v>0.019780124605624</v>
      </c>
      <c r="G8" s="96">
        <v>6000</v>
      </c>
      <c r="H8" s="103">
        <v>1</v>
      </c>
      <c r="I8" s="96">
        <v>2000</v>
      </c>
      <c r="J8" s="96">
        <v>0</v>
      </c>
      <c r="K8" s="96">
        <v>6000</v>
      </c>
      <c r="L8" s="96" t="s">
        <v>286</v>
      </c>
      <c r="M8" s="105">
        <v>0</v>
      </c>
      <c r="N8" s="105">
        <v>0</v>
      </c>
      <c r="O8" s="96">
        <v>3000</v>
      </c>
      <c r="P8" s="96">
        <v>1000</v>
      </c>
      <c r="Q8" s="96">
        <v>5000</v>
      </c>
      <c r="R8" s="99">
        <v>0</v>
      </c>
      <c r="S8" s="96" t="str">
        <f>(20/1.5)*0.7</f>
        <v>0</v>
      </c>
      <c r="T8" s="96">
        <v>9.1</v>
      </c>
      <c r="U8" s="98">
        <v>0</v>
      </c>
      <c r="V8" s="98">
        <v>0</v>
      </c>
      <c r="W8" s="96">
        <v>15</v>
      </c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</row>
    <row r="9" spans="1:36" s="21" customFormat="1">
      <c r="A9" s="21" t="s">
        <v>287</v>
      </c>
      <c r="B9" s="96">
        <v>110.40512</v>
      </c>
      <c r="C9" s="97">
        <v>0.7297801632267</v>
      </c>
      <c r="D9" s="98">
        <v>0.95680214690403</v>
      </c>
      <c r="E9" s="98">
        <v>1.5946702448401</v>
      </c>
      <c r="F9" s="98">
        <v>1.4216922285174</v>
      </c>
      <c r="G9" s="72">
        <v>1200</v>
      </c>
      <c r="H9" s="103">
        <v>1</v>
      </c>
      <c r="I9" s="96">
        <v>150</v>
      </c>
      <c r="J9" s="96">
        <v>0</v>
      </c>
      <c r="K9" s="72">
        <v>0</v>
      </c>
      <c r="L9" s="72" t="s">
        <v>281</v>
      </c>
      <c r="M9" s="96">
        <v>0</v>
      </c>
      <c r="N9" s="96">
        <v>0</v>
      </c>
      <c r="O9" s="96">
        <v>25000</v>
      </c>
      <c r="P9" s="96">
        <v>5250</v>
      </c>
      <c r="Q9" s="96">
        <v>5000</v>
      </c>
      <c r="R9" s="99">
        <v>0</v>
      </c>
      <c r="S9" s="96">
        <v>44.8</v>
      </c>
      <c r="T9" s="96">
        <v>44.8</v>
      </c>
      <c r="U9" s="98">
        <v>0</v>
      </c>
      <c r="V9" s="98">
        <v>0</v>
      </c>
      <c r="W9" s="96" t="s">
        <v>281</v>
      </c>
      <c r="X9" s="98">
        <v>0.12820512820513</v>
      </c>
      <c r="Y9" s="98">
        <v>0.12820512820513</v>
      </c>
      <c r="Z9" s="98">
        <v>0.1025641025641</v>
      </c>
      <c r="AA9" s="98">
        <v>0.051282051282051</v>
      </c>
      <c r="AB9" s="98">
        <v>0</v>
      </c>
      <c r="AC9" s="98">
        <v>0.12820512820513</v>
      </c>
      <c r="AD9" s="98">
        <v>0.12820512820513</v>
      </c>
      <c r="AE9" s="98">
        <v>0.051282051282051</v>
      </c>
      <c r="AF9" s="98">
        <v>0</v>
      </c>
      <c r="AG9" s="98">
        <v>0.051282051282051</v>
      </c>
      <c r="AH9" s="98">
        <v>0.1025641025641</v>
      </c>
      <c r="AI9" s="98">
        <v>0.12820512820513</v>
      </c>
    </row>
    <row r="10" spans="1:36" s="21" customFormat="1">
      <c r="A10" s="21" t="s">
        <v>91</v>
      </c>
      <c r="B10" s="72">
        <v>400</v>
      </c>
      <c r="C10" s="107">
        <v>0.46268074827689</v>
      </c>
      <c r="D10" s="108">
        <v>0.61871944545544</v>
      </c>
      <c r="E10" s="108">
        <v>0.92807916818317</v>
      </c>
      <c r="F10" s="108">
        <v>0.39619525971885</v>
      </c>
      <c r="G10" s="72" t="str">
        <f>AVERAGE(450,2700)</f>
        <v>0</v>
      </c>
      <c r="H10" s="103">
        <v>1</v>
      </c>
      <c r="I10" s="72">
        <v>150</v>
      </c>
      <c r="J10" s="72">
        <v>0</v>
      </c>
      <c r="K10" s="72">
        <v>10.1</v>
      </c>
      <c r="L10" s="96" t="s">
        <v>283</v>
      </c>
      <c r="M10" s="96">
        <v>30</v>
      </c>
      <c r="N10" s="96">
        <v>250</v>
      </c>
      <c r="O10" s="96">
        <v>12000</v>
      </c>
      <c r="P10" s="96">
        <v>300</v>
      </c>
      <c r="Q10" s="96">
        <v>5000</v>
      </c>
      <c r="R10" s="99">
        <v>2.3</v>
      </c>
      <c r="S10" s="96">
        <v>21</v>
      </c>
      <c r="T10" s="96">
        <v>21</v>
      </c>
      <c r="U10" s="98">
        <v>0</v>
      </c>
      <c r="V10" s="98">
        <v>0.2</v>
      </c>
      <c r="W10" s="96">
        <v>4</v>
      </c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</row>
    <row r="11" spans="1:36" s="95" customFormat="1">
      <c r="A11" s="95" t="s">
        <v>86</v>
      </c>
      <c r="B11" s="96">
        <v>3000</v>
      </c>
      <c r="C11" s="97">
        <v>0.17631626935148</v>
      </c>
      <c r="D11" s="98">
        <v>0.1648744131117</v>
      </c>
      <c r="E11" s="98">
        <v>0.32974882622341</v>
      </c>
      <c r="F11" s="98">
        <v>0.27860464059943</v>
      </c>
      <c r="G11" s="96">
        <v>6000</v>
      </c>
      <c r="H11" s="103">
        <v>1</v>
      </c>
      <c r="I11" s="96">
        <v>3500</v>
      </c>
      <c r="J11" s="96">
        <v>8000</v>
      </c>
      <c r="K11" s="96">
        <v>0</v>
      </c>
      <c r="L11" s="96" t="s">
        <v>281</v>
      </c>
      <c r="M11" s="96">
        <v>25</v>
      </c>
      <c r="N11" s="96">
        <v>150</v>
      </c>
      <c r="O11" s="96">
        <v>8000</v>
      </c>
      <c r="P11" s="96">
        <v>4500</v>
      </c>
      <c r="Q11" s="96">
        <v>5000</v>
      </c>
      <c r="R11" s="99">
        <v>0</v>
      </c>
      <c r="S11" s="96">
        <v>4.2</v>
      </c>
      <c r="T11" s="96">
        <v>10.12004</v>
      </c>
      <c r="U11" s="98">
        <v>0</v>
      </c>
      <c r="V11" s="98">
        <v>0</v>
      </c>
      <c r="W11" s="96" t="s">
        <v>281</v>
      </c>
      <c r="X11" s="98">
        <v>0.22900763358779</v>
      </c>
      <c r="Y11" s="98">
        <v>0.22900763358779</v>
      </c>
      <c r="Z11" s="98">
        <v>0.13740458015267</v>
      </c>
      <c r="AA11" s="98">
        <v>0.038167938931298</v>
      </c>
      <c r="AB11" s="98">
        <v>0.0076335877862595</v>
      </c>
      <c r="AC11" s="98">
        <v>0.0076335877862595</v>
      </c>
      <c r="AD11" s="98">
        <v>0.0076335877862595</v>
      </c>
      <c r="AE11" s="98">
        <v>0.0076335877862595</v>
      </c>
      <c r="AF11" s="98">
        <v>0.030534351145038</v>
      </c>
      <c r="AG11" s="98">
        <v>0.045801526717557</v>
      </c>
      <c r="AH11" s="98">
        <v>0.076335877862595</v>
      </c>
      <c r="AI11" s="98">
        <v>0.18320610687023</v>
      </c>
    </row>
    <row r="12" spans="1:36" s="95" customFormat="1">
      <c r="A12" s="95" t="s">
        <v>288</v>
      </c>
      <c r="B12" s="96">
        <v>1634.843</v>
      </c>
      <c r="C12" s="97">
        <v>0.60958552114631</v>
      </c>
      <c r="D12" s="98">
        <v>0.36227795775695</v>
      </c>
      <c r="E12" s="98">
        <v>0.7245559155139</v>
      </c>
      <c r="F12" s="98">
        <v>0.32215953522733</v>
      </c>
      <c r="G12" s="96">
        <v>6000</v>
      </c>
      <c r="H12" s="98">
        <v>0.1</v>
      </c>
      <c r="I12" s="96">
        <v>100</v>
      </c>
      <c r="J12" s="96">
        <v>0</v>
      </c>
      <c r="K12" s="96">
        <v>1</v>
      </c>
      <c r="L12" s="96" t="s">
        <v>283</v>
      </c>
      <c r="M12" s="96">
        <v>1500</v>
      </c>
      <c r="N12" s="96">
        <v>2880</v>
      </c>
      <c r="O12" s="96">
        <v>15000</v>
      </c>
      <c r="P12" s="96">
        <v>2000</v>
      </c>
      <c r="Q12" s="96">
        <v>7000</v>
      </c>
      <c r="R12" s="99">
        <v>0</v>
      </c>
      <c r="S12" s="96">
        <v>56</v>
      </c>
      <c r="T12" s="96">
        <v>56</v>
      </c>
      <c r="U12" s="98">
        <v>0</v>
      </c>
      <c r="V12" s="98">
        <v>0</v>
      </c>
      <c r="W12" s="96">
        <v>5</v>
      </c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</row>
    <row r="13" spans="1:36" s="21" customFormat="1">
      <c r="A13" s="21" t="s">
        <v>289</v>
      </c>
      <c r="B13" s="96">
        <v>3000</v>
      </c>
      <c r="C13" s="107">
        <v>0.75274295119743</v>
      </c>
      <c r="D13" s="108">
        <v>0.37637147559871</v>
      </c>
      <c r="E13" s="108">
        <v>0.75274295119743</v>
      </c>
      <c r="F13" s="108">
        <v>0.6275470261119</v>
      </c>
      <c r="G13" s="72">
        <v>15000</v>
      </c>
      <c r="H13" s="103">
        <v>1</v>
      </c>
      <c r="I13" s="72">
        <v>200</v>
      </c>
      <c r="J13" s="72">
        <v>1200</v>
      </c>
      <c r="K13" s="96">
        <v>800</v>
      </c>
      <c r="L13" s="72" t="s">
        <v>283</v>
      </c>
      <c r="M13" s="96">
        <v>30</v>
      </c>
      <c r="N13" s="110">
        <v>100</v>
      </c>
      <c r="O13" s="96">
        <v>12000</v>
      </c>
      <c r="P13" s="96">
        <v>4300</v>
      </c>
      <c r="Q13" s="96">
        <v>5000</v>
      </c>
      <c r="R13" s="99">
        <v>0</v>
      </c>
      <c r="S13" s="72">
        <v>11.2</v>
      </c>
      <c r="T13" s="72">
        <v>11.2</v>
      </c>
      <c r="U13" s="98">
        <v>0</v>
      </c>
      <c r="V13" s="98">
        <v>0</v>
      </c>
      <c r="W13" s="96">
        <v>4</v>
      </c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</row>
    <row r="14" spans="1:36" s="21" customFormat="1">
      <c r="A14" s="21" t="s">
        <v>290</v>
      </c>
      <c r="B14" s="72">
        <v>3000</v>
      </c>
      <c r="C14" s="97">
        <v>0.5</v>
      </c>
      <c r="D14" s="98">
        <v>0.05</v>
      </c>
      <c r="E14" s="98">
        <v>0.075</v>
      </c>
      <c r="F14" s="98">
        <v>0.05</v>
      </c>
      <c r="G14" s="72">
        <v>5079.375</v>
      </c>
      <c r="H14" s="103">
        <v>1</v>
      </c>
      <c r="I14" s="96">
        <v>0</v>
      </c>
      <c r="J14" s="96">
        <v>0</v>
      </c>
      <c r="K14" s="72">
        <v>11000</v>
      </c>
      <c r="L14" s="72" t="s">
        <v>286</v>
      </c>
      <c r="M14" s="99">
        <v>1</v>
      </c>
      <c r="N14" s="99">
        <v>1</v>
      </c>
      <c r="O14" s="96">
        <v>6600</v>
      </c>
      <c r="P14" s="96">
        <v>1000</v>
      </c>
      <c r="Q14" s="96">
        <v>5000</v>
      </c>
      <c r="R14" s="99">
        <v>0</v>
      </c>
      <c r="S14" s="72">
        <v>21</v>
      </c>
      <c r="T14" s="72">
        <v>28</v>
      </c>
      <c r="U14" s="98">
        <v>0</v>
      </c>
      <c r="V14" s="98">
        <v>0</v>
      </c>
      <c r="W14" s="96">
        <v>4</v>
      </c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</row>
    <row r="15" spans="1:36" s="21" customFormat="1">
      <c r="A15" s="21" t="s">
        <v>291</v>
      </c>
      <c r="B15" s="72">
        <v>750</v>
      </c>
      <c r="C15" s="97">
        <v>0.11962273962856</v>
      </c>
      <c r="D15" s="98">
        <v>0.62626844738571</v>
      </c>
      <c r="E15" s="98">
        <v>1.1272832052943</v>
      </c>
      <c r="F15" s="98">
        <v>0.11962273962856</v>
      </c>
      <c r="G15" s="72">
        <v>2000</v>
      </c>
      <c r="H15" s="103">
        <v>1</v>
      </c>
      <c r="I15" s="96">
        <v>120</v>
      </c>
      <c r="J15" s="96">
        <v>0</v>
      </c>
      <c r="K15" s="96">
        <v>0</v>
      </c>
      <c r="L15" s="96" t="s">
        <v>281</v>
      </c>
      <c r="M15" s="96">
        <v>0</v>
      </c>
      <c r="N15" s="96">
        <v>0</v>
      </c>
      <c r="O15" s="96">
        <v>30000</v>
      </c>
      <c r="P15" s="96">
        <v>1000</v>
      </c>
      <c r="Q15" s="96">
        <v>5000</v>
      </c>
      <c r="R15" s="99">
        <v>0</v>
      </c>
      <c r="S15" s="96">
        <v>32.2</v>
      </c>
      <c r="T15" s="96">
        <v>32.2</v>
      </c>
      <c r="U15" s="98" t="str">
        <f>32/46</f>
        <v>0</v>
      </c>
      <c r="V15" s="98">
        <v>0</v>
      </c>
      <c r="W15" s="96" t="s">
        <v>281</v>
      </c>
      <c r="X15" s="98">
        <v>0.083333333333333</v>
      </c>
      <c r="Y15" s="98">
        <v>0.083333333333333</v>
      </c>
      <c r="Z15" s="98">
        <v>0.083333333333333</v>
      </c>
      <c r="AA15" s="98">
        <v>0.083333333333333</v>
      </c>
      <c r="AB15" s="98">
        <v>0.083333333333333</v>
      </c>
      <c r="AC15" s="98">
        <v>0.083333333333333</v>
      </c>
      <c r="AD15" s="98">
        <v>0.083333333333333</v>
      </c>
      <c r="AE15" s="98">
        <v>0.083333333333333</v>
      </c>
      <c r="AF15" s="98">
        <v>0.083333333333333</v>
      </c>
      <c r="AG15" s="98">
        <v>0.083333333333333</v>
      </c>
      <c r="AH15" s="98">
        <v>0.083333333333333</v>
      </c>
      <c r="AI15" s="98">
        <v>0.083333333333333</v>
      </c>
    </row>
    <row r="16" spans="1:36" s="21" customFormat="1">
      <c r="A16" s="21" t="s">
        <v>292</v>
      </c>
      <c r="B16" s="72">
        <v>2651.467</v>
      </c>
      <c r="C16" s="97">
        <v>0.28556214186804</v>
      </c>
      <c r="D16" s="98">
        <v>0.093336373169867</v>
      </c>
      <c r="E16" s="98">
        <v>0.18667274633973</v>
      </c>
      <c r="F16" s="98">
        <v>0.48334093292467</v>
      </c>
      <c r="G16" s="72">
        <v>6000</v>
      </c>
      <c r="H16" s="98">
        <v>0.1</v>
      </c>
      <c r="I16" s="96">
        <v>120</v>
      </c>
      <c r="J16" s="96">
        <v>1200</v>
      </c>
      <c r="K16" s="111">
        <v>0.75</v>
      </c>
      <c r="L16" s="72" t="s">
        <v>283</v>
      </c>
      <c r="M16" s="96">
        <v>1000</v>
      </c>
      <c r="N16" s="96">
        <v>2800</v>
      </c>
      <c r="O16" s="96">
        <v>35000</v>
      </c>
      <c r="P16" s="96">
        <v>4500</v>
      </c>
      <c r="Q16" s="96">
        <v>6000</v>
      </c>
      <c r="R16" s="99">
        <v>0</v>
      </c>
      <c r="S16" s="96">
        <v>35</v>
      </c>
      <c r="T16" s="96">
        <v>35</v>
      </c>
      <c r="U16" s="98">
        <v>0</v>
      </c>
      <c r="V16" s="98">
        <v>0</v>
      </c>
      <c r="W16" s="96">
        <v>3</v>
      </c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</row>
    <row r="17" spans="1:36" s="21" customFormat="1">
      <c r="A17" s="89" t="s">
        <v>293</v>
      </c>
      <c r="B17" s="112">
        <v>933.898</v>
      </c>
      <c r="C17" s="113">
        <v>0.2611243556847</v>
      </c>
      <c r="D17" s="114">
        <v>0.18072831307447</v>
      </c>
      <c r="E17" s="114">
        <v>0.40663870441755</v>
      </c>
      <c r="F17" s="114">
        <v>0.3581339215066</v>
      </c>
      <c r="G17" s="31">
        <v>2250</v>
      </c>
      <c r="H17" s="114">
        <v>1</v>
      </c>
      <c r="I17" s="112">
        <v>100</v>
      </c>
      <c r="J17" s="112">
        <v>0</v>
      </c>
      <c r="K17" s="31">
        <v>50</v>
      </c>
      <c r="L17" s="31" t="s">
        <v>283</v>
      </c>
      <c r="M17" s="112">
        <v>77</v>
      </c>
      <c r="N17" s="112">
        <v>80</v>
      </c>
      <c r="O17" s="112">
        <v>15000</v>
      </c>
      <c r="P17" s="112">
        <v>9000</v>
      </c>
      <c r="Q17" s="112">
        <v>5000</v>
      </c>
      <c r="R17" s="115">
        <v>2.3</v>
      </c>
      <c r="S17" s="31">
        <v>27.3</v>
      </c>
      <c r="T17" s="31">
        <v>27.3</v>
      </c>
      <c r="U17" s="24">
        <v>0</v>
      </c>
      <c r="V17" s="114">
        <v>0</v>
      </c>
      <c r="W17" s="112">
        <v>5</v>
      </c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</row>
    <row r="18" spans="1:36">
      <c r="A18" s="16" t="s">
        <v>95</v>
      </c>
      <c r="O18" s="88" t="str">
        <f>AVERAGE(O4:O17)</f>
        <v>0</v>
      </c>
      <c r="P18" s="88" t="str">
        <f>AVERAGE(P4:P17)</f>
        <v>0</v>
      </c>
      <c r="Q18" s="88" t="str">
        <f>AVERAGE(Q4:Q17)</f>
        <v>0</v>
      </c>
    </row>
    <row r="20" spans="1:36">
      <c r="A20" s="3" t="s">
        <v>53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294</v>
      </c>
      <c r="C22" s="10" t="s">
        <v>295</v>
      </c>
      <c r="D22" s="10" t="s">
        <v>296</v>
      </c>
      <c r="E22" s="10" t="s">
        <v>297</v>
      </c>
      <c r="F22" s="10" t="s">
        <v>298</v>
      </c>
      <c r="G22" s="10" t="s">
        <v>299</v>
      </c>
      <c r="H22" s="10" t="s">
        <v>300</v>
      </c>
      <c r="I22" s="10" t="s">
        <v>220</v>
      </c>
      <c r="J22" s="10" t="s">
        <v>301</v>
      </c>
      <c r="K22" s="10" t="s">
        <v>302</v>
      </c>
      <c r="L22" s="10" t="s">
        <v>303</v>
      </c>
      <c r="M22" s="10" t="s">
        <v>304</v>
      </c>
      <c r="N22" s="10" t="s">
        <v>305</v>
      </c>
      <c r="O22" s="10" t="s">
        <v>306</v>
      </c>
      <c r="P22" s="10" t="s">
        <v>307</v>
      </c>
    </row>
    <row r="23" spans="1:36" s="21" customFormat="1">
      <c r="A23" s="21" t="s">
        <v>114</v>
      </c>
      <c r="B23" s="21" t="s">
        <v>308</v>
      </c>
      <c r="C23" s="72" t="s">
        <v>309</v>
      </c>
      <c r="D23" s="117" t="str">
        <f>240/532</f>
        <v>0</v>
      </c>
      <c r="E23" s="108" t="str">
        <f>260/240-1</f>
        <v>0</v>
      </c>
      <c r="F23" s="108" t="str">
        <f>280/240-1</f>
        <v>0</v>
      </c>
      <c r="G23" s="108">
        <v>0</v>
      </c>
      <c r="H23" s="118">
        <v>8</v>
      </c>
      <c r="I23" s="118">
        <v>1</v>
      </c>
      <c r="J23" s="72">
        <v>150</v>
      </c>
      <c r="K23" s="72">
        <v>150</v>
      </c>
      <c r="L23" s="118">
        <v>1</v>
      </c>
      <c r="M23" s="72" t="str">
        <f>2*3200/750</f>
        <v>0</v>
      </c>
      <c r="N23" s="72" t="str">
        <f>100/532*365</f>
        <v>0</v>
      </c>
      <c r="O23" s="72">
        <v>18</v>
      </c>
      <c r="P23" s="72">
        <v>18</v>
      </c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</row>
    <row r="24" spans="1:36" s="21" customFormat="1">
      <c r="A24" s="21" t="s">
        <v>310</v>
      </c>
      <c r="B24" s="21" t="s">
        <v>311</v>
      </c>
      <c r="C24" s="118" t="s">
        <v>281</v>
      </c>
      <c r="D24" s="117" t="s">
        <v>281</v>
      </c>
      <c r="E24" s="108">
        <v>0.05</v>
      </c>
      <c r="F24" s="108">
        <v>0.1</v>
      </c>
      <c r="G24" s="108">
        <v>0.2</v>
      </c>
      <c r="H24" s="118" t="s">
        <v>281</v>
      </c>
      <c r="I24" s="118">
        <v>1</v>
      </c>
      <c r="J24" s="72">
        <v>450</v>
      </c>
      <c r="K24" s="72">
        <v>250</v>
      </c>
      <c r="L24" s="118">
        <v>1</v>
      </c>
      <c r="M24" s="72" t="str">
        <f>6*12/P24</f>
        <v>0</v>
      </c>
      <c r="N24" s="72" t="str">
        <f>5*12/P24</f>
        <v>0</v>
      </c>
      <c r="O24" s="72">
        <v>18</v>
      </c>
      <c r="P24" s="117">
        <v>1.5</v>
      </c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</row>
    <row r="25" spans="1:36" s="21" customFormat="1">
      <c r="A25" s="16" t="s">
        <v>116</v>
      </c>
      <c r="B25" s="16" t="s">
        <v>312</v>
      </c>
      <c r="C25" s="30" t="s">
        <v>313</v>
      </c>
      <c r="D25" s="119">
        <v>3</v>
      </c>
      <c r="E25" s="108" t="str">
        <f>7/D25-1</f>
        <v>0</v>
      </c>
      <c r="F25" s="108" t="str">
        <f>9.5/D25-1</f>
        <v>0</v>
      </c>
      <c r="G25" s="22" t="str">
        <f>25/9.5-1</f>
        <v>0</v>
      </c>
      <c r="H25" s="118">
        <v>30</v>
      </c>
      <c r="I25" s="118" t="s">
        <v>281</v>
      </c>
      <c r="J25" s="72" t="s">
        <v>281</v>
      </c>
      <c r="K25" s="72" t="s">
        <v>281</v>
      </c>
      <c r="L25" s="118">
        <v>50</v>
      </c>
      <c r="M25" s="72">
        <v>1000</v>
      </c>
      <c r="N25" s="72" t="str">
        <f>6000*12/4/3</f>
        <v>0</v>
      </c>
      <c r="O25" s="72">
        <v>60</v>
      </c>
      <c r="P25" s="72">
        <v>60</v>
      </c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</row>
    <row r="26" spans="1:36" s="21" customFormat="1">
      <c r="A26" s="16" t="s">
        <v>314</v>
      </c>
      <c r="B26" s="16" t="s">
        <v>311</v>
      </c>
      <c r="C26" s="118" t="s">
        <v>281</v>
      </c>
      <c r="D26" s="117" t="s">
        <v>281</v>
      </c>
      <c r="E26" s="108">
        <v>0.2</v>
      </c>
      <c r="F26" s="108">
        <v>0.7</v>
      </c>
      <c r="G26" s="108">
        <v>2</v>
      </c>
      <c r="H26" s="118" t="s">
        <v>281</v>
      </c>
      <c r="I26" s="118">
        <v>100</v>
      </c>
      <c r="J26" s="72">
        <v>230</v>
      </c>
      <c r="K26" s="72">
        <v>230</v>
      </c>
      <c r="L26" s="118">
        <v>50</v>
      </c>
      <c r="M26" s="72">
        <v>600</v>
      </c>
      <c r="N26" s="72">
        <v>700</v>
      </c>
      <c r="O26" s="72">
        <v>36</v>
      </c>
      <c r="P26" s="72">
        <v>36</v>
      </c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</row>
    <row r="27" spans="1:36" s="21" customFormat="1">
      <c r="A27" s="21" t="s">
        <v>315</v>
      </c>
      <c r="B27" s="71" t="s">
        <v>311</v>
      </c>
      <c r="C27" s="118" t="s">
        <v>281</v>
      </c>
      <c r="D27" s="117" t="s">
        <v>281</v>
      </c>
      <c r="E27" s="108">
        <v>0.15</v>
      </c>
      <c r="F27" s="108">
        <v>0.25</v>
      </c>
      <c r="G27" s="108">
        <v>1</v>
      </c>
      <c r="H27" s="118" t="s">
        <v>281</v>
      </c>
      <c r="I27" s="118">
        <v>8</v>
      </c>
      <c r="J27" s="72">
        <v>250</v>
      </c>
      <c r="K27" s="72">
        <v>250</v>
      </c>
      <c r="L27" s="118">
        <v>5</v>
      </c>
      <c r="M27" s="72">
        <v>200</v>
      </c>
      <c r="N27" s="72">
        <v>300</v>
      </c>
      <c r="O27" s="72">
        <v>24</v>
      </c>
      <c r="P27" s="72">
        <v>24</v>
      </c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</row>
    <row r="28" spans="1:36" s="21" customFormat="1">
      <c r="A28" s="21" t="s">
        <v>316</v>
      </c>
      <c r="B28" s="71" t="s">
        <v>311</v>
      </c>
      <c r="C28" s="118" t="s">
        <v>281</v>
      </c>
      <c r="D28" s="117" t="s">
        <v>281</v>
      </c>
      <c r="E28" s="108">
        <v>0.15</v>
      </c>
      <c r="F28" s="108">
        <v>0.25</v>
      </c>
      <c r="G28" s="108">
        <v>1</v>
      </c>
      <c r="H28" s="118" t="s">
        <v>281</v>
      </c>
      <c r="I28" s="118">
        <v>15</v>
      </c>
      <c r="J28" s="72">
        <v>250</v>
      </c>
      <c r="K28" s="72">
        <v>250</v>
      </c>
      <c r="L28" s="118">
        <v>5</v>
      </c>
      <c r="M28" s="72">
        <v>200</v>
      </c>
      <c r="N28" s="72">
        <v>300</v>
      </c>
      <c r="O28" s="72">
        <v>24</v>
      </c>
      <c r="P28" s="72">
        <v>24</v>
      </c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</row>
    <row r="29" spans="1:36" s="21" customFormat="1">
      <c r="A29" s="23" t="s">
        <v>317</v>
      </c>
      <c r="B29" s="120" t="s">
        <v>311</v>
      </c>
      <c r="C29" s="31" t="s">
        <v>281</v>
      </c>
      <c r="D29" s="31" t="s">
        <v>281</v>
      </c>
      <c r="E29" s="24">
        <v>0.1</v>
      </c>
      <c r="F29" s="24">
        <v>0.2</v>
      </c>
      <c r="G29" s="24">
        <v>0</v>
      </c>
      <c r="H29" s="31" t="s">
        <v>281</v>
      </c>
      <c r="I29" s="121">
        <v>60</v>
      </c>
      <c r="J29" s="31">
        <v>300</v>
      </c>
      <c r="K29" s="31">
        <v>300</v>
      </c>
      <c r="L29" s="121">
        <v>30</v>
      </c>
      <c r="M29" s="31">
        <v>200</v>
      </c>
      <c r="N29" s="31">
        <v>2000</v>
      </c>
      <c r="O29" s="31">
        <v>6</v>
      </c>
      <c r="P29" s="31">
        <v>6</v>
      </c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</row>
    <row r="30" spans="1:36">
      <c r="A30" s="16" t="s">
        <v>118</v>
      </c>
      <c r="B30" s="70" t="s">
        <v>311</v>
      </c>
    </row>
    <row r="31" spans="1:36">
      <c r="H31" s="88"/>
      <c r="I31" s="88"/>
      <c r="AI31" s="12"/>
    </row>
    <row r="32" spans="1:36">
      <c r="A32" s="3" t="s">
        <v>318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319</v>
      </c>
      <c r="B34" s="11" t="s">
        <v>320</v>
      </c>
    </row>
    <row r="35" spans="1:36">
      <c r="A35" t="s">
        <v>321</v>
      </c>
      <c r="B35" s="72">
        <v>60</v>
      </c>
      <c r="C35" s="88"/>
    </row>
    <row r="36" spans="1:36">
      <c r="A36" t="s">
        <v>322</v>
      </c>
      <c r="B36" s="72">
        <v>2000</v>
      </c>
      <c r="C36" s="88"/>
    </row>
    <row r="37" spans="1:36">
      <c r="A37" t="s">
        <v>323</v>
      </c>
      <c r="B37" s="2">
        <v>0.4</v>
      </c>
    </row>
    <row r="39" spans="1:36">
      <c r="A39" s="3" t="s">
        <v>324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84" t="s">
        <v>325</v>
      </c>
      <c r="C40" s="184"/>
    </row>
    <row r="41" spans="1:36">
      <c r="B41" s="73" t="s">
        <v>93</v>
      </c>
      <c r="C41" s="73" t="s">
        <v>83</v>
      </c>
    </row>
    <row r="42" spans="1:36">
      <c r="A42" t="s">
        <v>114</v>
      </c>
      <c r="B42" s="72">
        <v>450</v>
      </c>
      <c r="C42" s="72">
        <v>450</v>
      </c>
    </row>
    <row r="43" spans="1:36">
      <c r="A43" t="s">
        <v>310</v>
      </c>
      <c r="B43" s="72">
        <v>450</v>
      </c>
      <c r="C43" s="72">
        <v>250</v>
      </c>
    </row>
    <row r="44" spans="1:36">
      <c r="A44" t="s">
        <v>116</v>
      </c>
      <c r="B44" s="72">
        <v>50000</v>
      </c>
      <c r="C44" s="72">
        <v>200000</v>
      </c>
    </row>
    <row r="45" spans="1:36">
      <c r="A45" t="s">
        <v>314</v>
      </c>
      <c r="B45" s="72">
        <v>25000</v>
      </c>
      <c r="C45" s="72">
        <v>50000</v>
      </c>
    </row>
    <row r="46" spans="1:36">
      <c r="A46" t="s">
        <v>315</v>
      </c>
      <c r="B46" s="72">
        <v>6000</v>
      </c>
      <c r="C46" s="72">
        <v>12000</v>
      </c>
    </row>
    <row r="47" spans="1:36">
      <c r="A47" t="s">
        <v>316</v>
      </c>
      <c r="B47" s="72">
        <v>4500</v>
      </c>
      <c r="C47" s="72">
        <v>12000</v>
      </c>
    </row>
    <row r="48" spans="1:36">
      <c r="A48" t="s">
        <v>317</v>
      </c>
      <c r="B48" s="72">
        <v>20000</v>
      </c>
      <c r="C48" s="72">
        <v>20000</v>
      </c>
      <c r="D48" s="72"/>
    </row>
    <row r="50" spans="1:36">
      <c r="A50" s="3" t="s">
        <v>326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90"/>
      <c r="D52" s="12" t="s">
        <v>91</v>
      </c>
      <c r="E52" s="12" t="s">
        <v>91</v>
      </c>
      <c r="F52" s="12" t="s">
        <v>91</v>
      </c>
      <c r="G52" s="12" t="s">
        <v>327</v>
      </c>
      <c r="H52" s="12" t="s">
        <v>328</v>
      </c>
      <c r="I52" s="12" t="s">
        <v>141</v>
      </c>
      <c r="AJ52" s="12"/>
    </row>
    <row r="53" spans="1:36" customHeight="1" ht="30">
      <c r="A53" s="11" t="s">
        <v>329</v>
      </c>
      <c r="B53" s="11" t="s">
        <v>330</v>
      </c>
      <c r="C53" s="11" t="s">
        <v>331</v>
      </c>
      <c r="D53" s="10" t="s">
        <v>247</v>
      </c>
      <c r="E53" s="10" t="s">
        <v>207</v>
      </c>
      <c r="F53" s="10" t="s">
        <v>266</v>
      </c>
      <c r="G53" s="10" t="s">
        <v>332</v>
      </c>
      <c r="H53" s="10" t="s">
        <v>333</v>
      </c>
      <c r="I53" s="10" t="s">
        <v>333</v>
      </c>
      <c r="AJ53" s="12"/>
    </row>
    <row r="54" spans="1:36">
      <c r="A54">
        <v>8</v>
      </c>
      <c r="B54" s="12" t="s">
        <v>334</v>
      </c>
      <c r="C54" s="12" t="s">
        <v>335</v>
      </c>
      <c r="D54" s="91">
        <v>806.09046126288</v>
      </c>
      <c r="E54" s="91">
        <v>2</v>
      </c>
      <c r="F54" s="91">
        <v>4</v>
      </c>
      <c r="G54" s="7" t="s">
        <v>83</v>
      </c>
      <c r="H54" s="91" t="str">
        <f>I54</f>
        <v>0</v>
      </c>
      <c r="I54" s="91" t="str">
        <f>AVERAGE(3000000,30000000)</f>
        <v>0</v>
      </c>
      <c r="J54" s="7"/>
      <c r="AJ54" s="12"/>
    </row>
    <row r="55" spans="1:36">
      <c r="A55">
        <v>3</v>
      </c>
      <c r="B55" s="12" t="s">
        <v>336</v>
      </c>
      <c r="C55" s="12" t="s">
        <v>335</v>
      </c>
      <c r="D55" s="91">
        <v>806.09046126288</v>
      </c>
      <c r="E55" s="91">
        <v>2</v>
      </c>
      <c r="F55" s="91">
        <v>4</v>
      </c>
      <c r="G55" s="7" t="s">
        <v>83</v>
      </c>
      <c r="H55" s="91" t="str">
        <f>I55</f>
        <v>0</v>
      </c>
      <c r="I55" s="91" t="str">
        <f>AVERAGE(3000000,30000000)</f>
        <v>0</v>
      </c>
      <c r="J55" s="7"/>
      <c r="AJ55" s="12"/>
    </row>
    <row r="56" spans="1:36">
      <c r="A56">
        <v>9</v>
      </c>
      <c r="B56" s="12" t="s">
        <v>337</v>
      </c>
      <c r="C56" s="12" t="s">
        <v>335</v>
      </c>
      <c r="D56" s="91">
        <v>806.09046126288</v>
      </c>
      <c r="E56" s="91">
        <v>2</v>
      </c>
      <c r="F56" s="91">
        <v>4</v>
      </c>
      <c r="G56" s="7" t="s">
        <v>83</v>
      </c>
      <c r="H56" s="91" t="str">
        <f>I56</f>
        <v>0</v>
      </c>
      <c r="I56" s="91" t="str">
        <f>AVERAGE(3000000,30000000)</f>
        <v>0</v>
      </c>
      <c r="J56" s="7"/>
      <c r="AJ56" s="12"/>
    </row>
    <row r="57" spans="1:36">
      <c r="A57">
        <v>10</v>
      </c>
      <c r="B57" s="12" t="s">
        <v>338</v>
      </c>
      <c r="C57" s="12" t="s">
        <v>335</v>
      </c>
      <c r="D57" s="91">
        <v>806.09046126288</v>
      </c>
      <c r="E57" s="91">
        <v>2</v>
      </c>
      <c r="F57" s="91">
        <v>4</v>
      </c>
      <c r="G57" s="7" t="s">
        <v>83</v>
      </c>
      <c r="H57" s="91" t="str">
        <f>I57</f>
        <v>0</v>
      </c>
      <c r="I57" s="91" t="str">
        <f>AVERAGE(3000000,30000000)</f>
        <v>0</v>
      </c>
      <c r="J57" s="7"/>
      <c r="AJ57" s="12"/>
    </row>
    <row r="58" spans="1:36">
      <c r="A58">
        <v>11</v>
      </c>
      <c r="B58" s="12" t="s">
        <v>339</v>
      </c>
      <c r="C58" s="12" t="s">
        <v>340</v>
      </c>
      <c r="D58" s="91">
        <v>806.09046126288</v>
      </c>
      <c r="E58" s="91">
        <v>2</v>
      </c>
      <c r="F58" s="91">
        <v>4</v>
      </c>
      <c r="G58" s="7" t="s">
        <v>93</v>
      </c>
      <c r="H58" s="91" t="str">
        <f>AVERAGE(300000,1500000)</f>
        <v>0</v>
      </c>
      <c r="I58" s="91" t="str">
        <f>AVERAGE(2000000,10000000)</f>
        <v>0</v>
      </c>
      <c r="J58" s="7"/>
      <c r="AJ58" s="12"/>
    </row>
    <row r="59" spans="1:36">
      <c r="A59">
        <v>7</v>
      </c>
      <c r="B59" s="12" t="s">
        <v>341</v>
      </c>
      <c r="C59" s="12" t="s">
        <v>340</v>
      </c>
      <c r="D59" s="91">
        <v>806.09046126288</v>
      </c>
      <c r="E59" s="91">
        <v>1</v>
      </c>
      <c r="F59" s="91">
        <v>5</v>
      </c>
      <c r="G59" s="7" t="s">
        <v>93</v>
      </c>
      <c r="H59" s="91" t="str">
        <f>AVERAGE(500000,700000)</f>
        <v>0</v>
      </c>
      <c r="I59" s="91" t="str">
        <f>AVERAGE(2000000,10000000)</f>
        <v>0</v>
      </c>
      <c r="J59" s="7"/>
      <c r="AJ59" s="12"/>
    </row>
    <row r="60" spans="1:36">
      <c r="A60">
        <v>6</v>
      </c>
      <c r="B60" s="12" t="s">
        <v>342</v>
      </c>
      <c r="C60" s="12" t="s">
        <v>340</v>
      </c>
      <c r="D60" s="91">
        <v>806.09046126288</v>
      </c>
      <c r="E60" s="91">
        <v>2</v>
      </c>
      <c r="F60" s="91">
        <v>4</v>
      </c>
      <c r="G60" s="7" t="s">
        <v>83</v>
      </c>
      <c r="H60" s="91" t="str">
        <f>AVERAGE(300000,750000)</f>
        <v>0</v>
      </c>
      <c r="I60" s="91" t="str">
        <f>AVERAGE(2000000,20000000)</f>
        <v>0</v>
      </c>
      <c r="J60" s="7"/>
      <c r="AJ60" s="12"/>
    </row>
    <row r="61" spans="1:36">
      <c r="A61">
        <v>12</v>
      </c>
      <c r="B61" s="12" t="s">
        <v>343</v>
      </c>
      <c r="C61" s="12" t="s">
        <v>340</v>
      </c>
      <c r="D61" s="91">
        <v>268.69682042096</v>
      </c>
      <c r="E61" s="91">
        <v>2</v>
      </c>
      <c r="F61" s="91">
        <v>4</v>
      </c>
      <c r="G61" s="7" t="s">
        <v>83</v>
      </c>
      <c r="H61" s="91" t="str">
        <f>AVERAGE(120000,450000)</f>
        <v>0</v>
      </c>
      <c r="I61" s="91" t="str">
        <f>AVERAGE(500000,3000000)</f>
        <v>0</v>
      </c>
      <c r="J61" s="7"/>
      <c r="AJ61" s="12"/>
    </row>
    <row r="62" spans="1:36">
      <c r="A62">
        <v>13</v>
      </c>
      <c r="B62" s="12" t="s">
        <v>344</v>
      </c>
      <c r="C62" s="12" t="s">
        <v>340</v>
      </c>
      <c r="D62" s="91">
        <v>806.09046126288</v>
      </c>
      <c r="E62" s="91">
        <v>2</v>
      </c>
      <c r="F62" s="91">
        <v>4</v>
      </c>
      <c r="G62" s="7" t="s">
        <v>93</v>
      </c>
      <c r="H62" s="91" t="str">
        <f>AVERAGE(300000,750000)</f>
        <v>0</v>
      </c>
      <c r="I62" s="91" t="str">
        <f>AVERAGE(750000,10000000)</f>
        <v>0</v>
      </c>
      <c r="J62" s="7"/>
      <c r="AJ62" s="12"/>
    </row>
    <row r="63" spans="1:36">
      <c r="A63">
        <v>5</v>
      </c>
      <c r="B63" s="12" t="s">
        <v>345</v>
      </c>
      <c r="C63" s="12" t="s">
        <v>340</v>
      </c>
      <c r="D63" s="91">
        <v>806.09046126288</v>
      </c>
      <c r="E63" s="91">
        <v>2</v>
      </c>
      <c r="F63" s="91">
        <v>4</v>
      </c>
      <c r="G63" s="7" t="s">
        <v>93</v>
      </c>
      <c r="H63" s="91" t="str">
        <f>AVERAGE(200000,500000)</f>
        <v>0</v>
      </c>
      <c r="I63" s="91" t="str">
        <f>AVERAGE(700000,3000000)</f>
        <v>0</v>
      </c>
      <c r="J63" s="7"/>
      <c r="AJ63" s="12"/>
    </row>
    <row r="64" spans="1:36">
      <c r="A64">
        <v>14</v>
      </c>
      <c r="B64" s="12" t="s">
        <v>346</v>
      </c>
      <c r="C64" s="12" t="s">
        <v>340</v>
      </c>
      <c r="D64" s="91">
        <v>1612.1809225258</v>
      </c>
      <c r="E64" s="91">
        <v>1</v>
      </c>
      <c r="F64" s="91">
        <v>6</v>
      </c>
      <c r="G64" s="7" t="s">
        <v>93</v>
      </c>
      <c r="H64" s="91" t="str">
        <f>AVERAGE(200000,500000)</f>
        <v>0</v>
      </c>
      <c r="I64" s="91" t="str">
        <f>AVERAGE(700000,3000000)</f>
        <v>0</v>
      </c>
      <c r="J64" s="7"/>
      <c r="AJ64" s="12"/>
    </row>
    <row r="65" spans="1:36">
      <c r="A65">
        <v>15</v>
      </c>
      <c r="B65" s="12" t="s">
        <v>347</v>
      </c>
      <c r="C65" s="12" t="s">
        <v>340</v>
      </c>
      <c r="D65" s="91">
        <v>1612.1809225258</v>
      </c>
      <c r="E65" s="91">
        <v>1</v>
      </c>
      <c r="F65" s="91">
        <v>6</v>
      </c>
      <c r="G65" s="7" t="s">
        <v>83</v>
      </c>
      <c r="H65" s="91" t="str">
        <f>AVERAGE(150000,400000)</f>
        <v>0</v>
      </c>
      <c r="I65" s="91" t="str">
        <f>AVERAGE(500000,2000000)</f>
        <v>0</v>
      </c>
      <c r="J65" s="7"/>
      <c r="AJ65" s="12"/>
    </row>
    <row r="66" spans="1:36">
      <c r="A66">
        <v>16</v>
      </c>
      <c r="B66" s="12" t="s">
        <v>348</v>
      </c>
      <c r="C66" s="12" t="s">
        <v>340</v>
      </c>
      <c r="D66" s="91">
        <v>806.09046126288</v>
      </c>
      <c r="E66" s="91">
        <v>2</v>
      </c>
      <c r="F66" s="91">
        <v>4</v>
      </c>
      <c r="G66" s="7" t="s">
        <v>83</v>
      </c>
      <c r="H66" s="91" t="str">
        <f>AVERAGE(300000,750000)</f>
        <v>0</v>
      </c>
      <c r="I66" s="91" t="str">
        <f>AVERAGE(2000000,20000000)</f>
        <v>0</v>
      </c>
      <c r="J66" s="7"/>
      <c r="AJ66" s="12"/>
    </row>
    <row r="67" spans="1:36">
      <c r="A67">
        <v>4</v>
      </c>
      <c r="B67" s="12" t="s">
        <v>349</v>
      </c>
      <c r="C67" s="12" t="s">
        <v>340</v>
      </c>
      <c r="D67" s="91">
        <v>806.09046126288</v>
      </c>
      <c r="E67" s="91">
        <v>2</v>
      </c>
      <c r="F67" s="91">
        <v>4</v>
      </c>
      <c r="G67" s="7" t="s">
        <v>83</v>
      </c>
      <c r="H67" s="91" t="str">
        <f>AVERAGE(300000,750000)</f>
        <v>0</v>
      </c>
      <c r="I67" s="91" t="str">
        <f>AVERAGE(2000000,20000000)</f>
        <v>0</v>
      </c>
      <c r="J67" s="7"/>
      <c r="AJ67" s="12"/>
    </row>
    <row r="68" spans="1:36">
      <c r="A68">
        <v>2</v>
      </c>
      <c r="B68" s="12" t="s">
        <v>350</v>
      </c>
      <c r="C68" s="12" t="s">
        <v>335</v>
      </c>
      <c r="D68" s="91">
        <v>806.09046126288</v>
      </c>
      <c r="E68" s="91">
        <v>2</v>
      </c>
      <c r="F68" s="91">
        <v>4</v>
      </c>
      <c r="G68" s="7" t="s">
        <v>83</v>
      </c>
      <c r="H68" s="91" t="str">
        <f>I68</f>
        <v>0</v>
      </c>
      <c r="I68" s="91" t="str">
        <f>AVERAGE(3000000,30000000)</f>
        <v>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351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352</v>
      </c>
      <c r="B73" s="11" t="s">
        <v>353</v>
      </c>
      <c r="C73" s="11" t="s">
        <v>354</v>
      </c>
      <c r="D73" s="11" t="s">
        <v>355</v>
      </c>
      <c r="E73" s="11" t="s">
        <v>71</v>
      </c>
      <c r="F73" s="11" t="s">
        <v>356</v>
      </c>
      <c r="G73" s="11" t="s">
        <v>357</v>
      </c>
      <c r="H73" s="11" t="s">
        <v>358</v>
      </c>
      <c r="I73" s="11" t="s">
        <v>243</v>
      </c>
      <c r="J73" s="11" t="s">
        <v>359</v>
      </c>
      <c r="K73" s="11" t="s">
        <v>197</v>
      </c>
      <c r="AJ73" s="12"/>
    </row>
    <row r="74" spans="1:36">
      <c r="A74" t="s">
        <v>83</v>
      </c>
      <c r="B74" s="178">
        <v>0</v>
      </c>
      <c r="C74" s="12" t="s">
        <v>360</v>
      </c>
      <c r="E74" s="12" t="s">
        <v>93</v>
      </c>
      <c r="F74" s="12" t="s">
        <v>93</v>
      </c>
      <c r="G74" s="12" t="s">
        <v>120</v>
      </c>
      <c r="H74" s="12" t="s">
        <v>328</v>
      </c>
      <c r="I74" s="12" t="s">
        <v>361</v>
      </c>
      <c r="J74" s="138" t="s">
        <v>362</v>
      </c>
      <c r="K74" s="12" t="s">
        <v>93</v>
      </c>
      <c r="AJ74" s="12"/>
    </row>
    <row r="75" spans="1:36">
      <c r="A75" t="s">
        <v>93</v>
      </c>
      <c r="B75" s="178">
        <v>5</v>
      </c>
      <c r="C75" s="136" t="s">
        <v>363</v>
      </c>
      <c r="D75" s="135"/>
      <c r="E75" s="12" t="s">
        <v>82</v>
      </c>
      <c r="F75" s="12" t="s">
        <v>94</v>
      </c>
      <c r="G75" s="12" t="s">
        <v>115</v>
      </c>
      <c r="H75" s="12" t="s">
        <v>141</v>
      </c>
      <c r="I75" s="12" t="s">
        <v>185</v>
      </c>
      <c r="J75" s="70" t="s">
        <v>97</v>
      </c>
      <c r="K75" s="12" t="s">
        <v>93</v>
      </c>
      <c r="AJ75" s="12"/>
    </row>
    <row r="76" spans="1:36">
      <c r="B76" s="178">
        <v>10</v>
      </c>
      <c r="C76" s="12" t="s">
        <v>364</v>
      </c>
      <c r="D76" s="12">
        <v>1</v>
      </c>
      <c r="E76" s="12" t="s">
        <v>365</v>
      </c>
      <c r="F76" s="12" t="s">
        <v>84</v>
      </c>
      <c r="G76" s="12" t="s">
        <v>117</v>
      </c>
      <c r="I76" s="12" t="s">
        <v>354</v>
      </c>
      <c r="J76" s="70" t="s">
        <v>81</v>
      </c>
      <c r="K76" s="12" t="s">
        <v>93</v>
      </c>
      <c r="AJ76" s="12"/>
    </row>
    <row r="77" spans="1:36">
      <c r="B77" s="178">
        <v>20</v>
      </c>
      <c r="C77" s="12" t="s">
        <v>366</v>
      </c>
      <c r="D77" s="12" t="str">
        <f>D76+1</f>
        <v>0</v>
      </c>
      <c r="E77" s="12" t="s">
        <v>367</v>
      </c>
      <c r="F77" s="12" t="s">
        <v>368</v>
      </c>
      <c r="J77" s="70" t="s">
        <v>87</v>
      </c>
      <c r="K77" s="12" t="s">
        <v>83</v>
      </c>
      <c r="AJ77" s="12"/>
    </row>
    <row r="78" spans="1:36">
      <c r="B78" s="178">
        <v>30</v>
      </c>
      <c r="C78" s="12" t="s">
        <v>90</v>
      </c>
      <c r="D78" s="12" t="str">
        <f>D77+1</f>
        <v>0</v>
      </c>
      <c r="J78" s="70" t="s">
        <v>92</v>
      </c>
      <c r="K78" s="12" t="s">
        <v>83</v>
      </c>
    </row>
    <row r="79" spans="1:36">
      <c r="B79" s="178">
        <v>40</v>
      </c>
      <c r="C79" s="12" t="s">
        <v>99</v>
      </c>
      <c r="D79" s="12" t="str">
        <f>D78+1</f>
        <v>0</v>
      </c>
      <c r="J79" s="70"/>
    </row>
    <row r="80" spans="1:36">
      <c r="B80" s="178">
        <v>50</v>
      </c>
      <c r="C80" s="12" t="s">
        <v>133</v>
      </c>
      <c r="D80" s="12" t="str">
        <f>D79+1</f>
        <v>0</v>
      </c>
    </row>
    <row r="81" spans="1:36">
      <c r="B81" s="178">
        <v>60</v>
      </c>
      <c r="C81" s="12" t="s">
        <v>89</v>
      </c>
      <c r="D81" s="12" t="str">
        <f>D80+1</f>
        <v>0</v>
      </c>
    </row>
    <row r="82" spans="1:36">
      <c r="B82" s="178">
        <v>70</v>
      </c>
      <c r="C82" s="12" t="s">
        <v>135</v>
      </c>
      <c r="D82" s="12" t="str">
        <f>D81+1</f>
        <v>0</v>
      </c>
    </row>
    <row r="83" spans="1:36">
      <c r="B83" s="178">
        <v>80</v>
      </c>
      <c r="C83" s="12" t="s">
        <v>174</v>
      </c>
      <c r="D83" s="12" t="str">
        <f>D82+1</f>
        <v>0</v>
      </c>
    </row>
    <row r="84" spans="1:36">
      <c r="B84" s="178">
        <v>90</v>
      </c>
      <c r="C84" s="12" t="s">
        <v>100</v>
      </c>
      <c r="D84" s="12" t="str">
        <f>D83+1</f>
        <v>0</v>
      </c>
    </row>
    <row r="85" spans="1:36">
      <c r="B85" s="178">
        <v>100</v>
      </c>
      <c r="C85" s="12" t="s">
        <v>85</v>
      </c>
      <c r="D85" s="12" t="str">
        <f>D84+1</f>
        <v>0</v>
      </c>
    </row>
    <row r="86" spans="1:36">
      <c r="C86" s="12" t="s">
        <v>369</v>
      </c>
      <c r="D86" s="12" t="str">
        <f>D85+1</f>
        <v>0</v>
      </c>
    </row>
    <row r="87" spans="1:36">
      <c r="C87" s="12" t="s">
        <v>370</v>
      </c>
      <c r="D87" s="12" t="str">
        <f>D86+1</f>
        <v>0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2016-09-15T09:57:13+00:00</dcterms:modified>
  <dc:title/>
  <dc:description/>
  <dc:subject/>
  <cp:keywords/>
  <cp:category/>
</cp:coreProperties>
</file>