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<sst xmlns="http://schemas.openxmlformats.org/spreadsheetml/2006/main" uniqueCount="332">
  <si>
    <t>Clients activities</t>
  </si>
  <si>
    <t>Crops planted:</t>
  </si>
  <si>
    <t>Animals farmed:</t>
  </si>
  <si>
    <t>Other income:</t>
  </si>
  <si>
    <t>Credit history</t>
  </si>
  <si>
    <t>Average loan borrowed in the past</t>
  </si>
  <si>
    <t>Max loan borrowed in the past</t>
  </si>
  <si>
    <t>Has always repaid in time?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</si>
  <si>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</si>
  <si>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</si>
  <si>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</si>
  <si>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</si>
  <si>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</si>
  <si>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</si>
  <si>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</si>
  <si>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</si>
  <si>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</si>
  <si>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</si>
  <si>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Net cash flows</t>
  </si>
  <si>
    <t>Total during loan period</t>
  </si>
  <si>
    <t>Total 18 months</t>
  </si>
  <si>
    <t>Past cash-flows from statements</t>
  </si>
  <si>
    <t>New loan disbursement</t>
  </si>
  <si>
    <t>New loan installment amount</t>
  </si>
  <si>
    <t>Net cash flows including loan</t>
  </si>
  <si>
    <t>Installment size ratio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</si>
  <si>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</si>
  <si>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</si>
  <si>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</si>
  <si>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</si>
  <si>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</si>
  <si>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</si>
  <si>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</si>
  <si>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</si>
  <si>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</si>
  <si>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</si>
  <si>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</si>
  <si>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</si>
  <si>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</si>
  <si>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</si>
  <si>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</si>
  <si>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</si>
  <si>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</si>
  <si>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</si>
  <si>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</si>
  <si>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</si>
  <si>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</si>
  <si>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</si>
  <si>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</si>
  <si>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</si>
  <si>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</si>
  <si>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</si>
  <si>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</si>
  <si>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</si>
  <si>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</si>
  <si>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</si>
  <si>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</si>
  <si>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</si>
  <si>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</si>
  <si>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</si>
  <si>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in the period and provide the details requested. Select "Other crops" if the crop is not in the list</t>
  </si>
  <si>
    <t>Crop</t>
  </si>
  <si>
    <t>Acres under production last year</t>
  </si>
  <si>
    <t>The plantation will be expanded by how many acres?</t>
  </si>
  <si>
    <t>Use of improved/ high yield varieties</t>
  </si>
  <si>
    <t>Use of fertilizers</t>
  </si>
  <si>
    <t>How many 50Kg bags fertilizer will you apply for the crop in a season?</t>
  </si>
  <si>
    <t>Use of pesticides</t>
  </si>
  <si>
    <t>Do you irrigate the crop?</t>
  </si>
  <si>
    <t>In which month will you start planting?</t>
  </si>
  <si>
    <t>How much of the production will you consume at home?</t>
  </si>
  <si>
    <t>For how many months are you storing the produce after harvest?</t>
  </si>
  <si>
    <t>Cabbages</t>
  </si>
  <si>
    <t>Yes</t>
  </si>
  <si>
    <t>Yes only manure</t>
  </si>
  <si>
    <t>Yes using a solar pump</t>
  </si>
  <si>
    <t>May</t>
  </si>
  <si>
    <t>When are you expecting to harvest?</t>
  </si>
  <si>
    <t>Please select the main animals (max 3) that you will rear in the period and provide the details requested. Select "Other animals" if the animal is not in the list</t>
  </si>
  <si>
    <t>Animal</t>
  </si>
  <si>
    <t>Total # animals</t>
  </si>
  <si>
    <t># animals currently producing eggs or milk</t>
  </si>
  <si>
    <t>Do you have pure improved breeds?</t>
  </si>
  <si>
    <t>Do you feed the animals with purchased feeds?</t>
  </si>
  <si>
    <t>How much of the eggs/ milk do you consume at home?</t>
  </si>
  <si>
    <t>How many of the animals do you slaughter and eat at home?</t>
  </si>
  <si>
    <t>Chicken</t>
  </si>
  <si>
    <t>Always</t>
  </si>
  <si>
    <t>Other info</t>
  </si>
  <si>
    <t>How much of the labor is carried out by you and your family?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</si>
  <si>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</si>
  <si>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</si>
  <si>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</si>
  <si>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</si>
  <si>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</si>
  <si>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</si>
  <si>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</si>
  <si>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</si>
  <si>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</si>
  <si>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</si>
  <si>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</si>
  <si>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</si>
  <si>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Where is most of your land located?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</si>
  <si>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</si>
  <si>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</si>
  <si>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</si>
  <si>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</si>
  <si>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</si>
  <si>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</si>
  <si>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With this loan, are you going to buy land/ other fixed assets? If yes, what is their value?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</si>
  <si>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</si>
  <si>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</si>
  <si>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</si>
  <si>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</si>
  <si>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</si>
  <si>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</si>
  <si>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</si>
  <si>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</si>
  <si>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</si>
  <si>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2016/6/1</t>
  </si>
  <si>
    <t>newes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</si>
  <si>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</si>
  <si>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</si>
  <si>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</si>
  <si>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</si>
  <si>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</si>
  <si>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</si>
  <si>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</si>
  <si>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June</t>
  </si>
  <si>
    <t>July</t>
  </si>
  <si>
    <t>Loan info</t>
  </si>
  <si>
    <t>Branch</t>
  </si>
  <si>
    <t>Submission date</t>
  </si>
  <si>
    <t>2012/11/27</t>
  </si>
  <si>
    <t>Original loan submitted</t>
  </si>
  <si>
    <t>New amended loan</t>
  </si>
  <si>
    <t>Expected disbursement date</t>
  </si>
  <si>
    <t>Expected first repayment date</t>
  </si>
  <si>
    <t>2012/12/3</t>
  </si>
  <si>
    <t>Principal applied</t>
  </si>
  <si>
    <t>Interest rate</t>
  </si>
  <si>
    <t>Repayment frequency</t>
  </si>
  <si>
    <t>Weeks</t>
  </si>
  <si>
    <t>Number of installments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</si>
  <si>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</si>
  <si>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</si>
  <si>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</si>
  <si>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</si>
  <si>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</si>
  <si>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</si>
  <si>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</si>
  <si>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</si>
  <si>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</si>
  <si>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Kg fertilizer/ acre</t>
  </si>
  <si>
    <t>Optimal fertilizer rate</t>
  </si>
  <si>
    <t>Yield/ acre/ cycle</t>
  </si>
  <si>
    <t>Production/ cycle</t>
  </si>
  <si>
    <t>Home consumption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</si>
  <si>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</si>
  <si>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</si>
  <si>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</si>
  <si>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</si>
  <si>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</si>
  <si>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</si>
  <si>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</si>
  <si>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</si>
  <si>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</si>
  <si>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</si>
  <si>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</si>
  <si>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</si>
  <si>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</si>
  <si>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</si>
  <si>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</si>
  <si>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</si>
  <si>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</si>
  <si>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</si>
  <si>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</si>
  <si>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</si>
  <si>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</si>
  <si>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</si>
  <si>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</si>
  <si>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</si>
  <si>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</si>
  <si>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</si>
  <si>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</si>
  <si>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</si>
  <si>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</si>
  <si>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</si>
  <si>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</si>
  <si>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</si>
  <si>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</si>
  <si>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</si>
  <si>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Loan parameter</t>
  </si>
  <si>
    <t>Value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</si>
  <si>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</si>
  <si>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</si>
  <si>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</si>
  <si>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</si>
  <si>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</si>
  <si>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</si>
  <si>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</si>
  <si>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</si>
  <si>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</si>
  <si>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</si>
  <si>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</si>
  <si>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</si>
  <si>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</si>
  <si>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</si>
  <si>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</si>
  <si>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</si>
  <si>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</si>
  <si>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</si>
  <si>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</si>
  <si>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</si>
  <si>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</si>
  <si>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</si>
  <si>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</si>
  <si>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</si>
  <si>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</si>
  <si>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</si>
  <si>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</si>
  <si>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</si>
  <si>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</si>
  <si>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</si>
  <si>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</si>
  <si>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</si>
  <si>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</si>
  <si>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</si>
  <si>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</si>
  <si>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</si>
  <si>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</si>
  <si>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</si>
  <si>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</si>
  <si>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</si>
  <si>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</si>
  <si>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</si>
  <si>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</si>
  <si>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</si>
  <si>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</si>
  <si>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</si>
  <si>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</si>
  <si>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</si>
  <si>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</si>
  <si>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</si>
  <si>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</si>
  <si>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</si>
  <si>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</si>
  <si>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</si>
  <si>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</si>
  <si>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</si>
  <si>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</si>
  <si>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</si>
  <si>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</si>
  <si>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</si>
  <si>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</si>
  <si>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</si>
  <si>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</si>
  <si>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</si>
  <si>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</si>
  <si>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</si>
  <si>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 (layers)</t>
  </si>
  <si>
    <t>eggs</t>
  </si>
  <si>
    <t>Eggs/ day</t>
  </si>
  <si>
    <t>Chicken (broilers)</t>
  </si>
  <si>
    <t>meat</t>
  </si>
  <si>
    <t>Cows (dairy)</t>
  </si>
  <si>
    <t>milk</t>
  </si>
  <si>
    <t>Liters/ day</t>
  </si>
  <si>
    <t>Cows (beef)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</si>
  <si>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</si>
  <si>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</si>
  <si>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</si>
  <si>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</si>
  <si>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</si>
  <si>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</si>
  <si>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</si>
  <si>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</si>
  <si>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</si>
  <si>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</si>
  <si>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</si>
  <si>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Acre land rural</t>
  </si>
  <si>
    <t>Acre land peri-urban</t>
  </si>
  <si>
    <t>Peri-urban area</t>
  </si>
  <si>
    <t>Acre land urban</t>
  </si>
  <si>
    <t>Urban area</t>
  </si>
  <si>
    <t>Acre land high value urban</t>
  </si>
  <si>
    <t>High value urban area</t>
  </si>
  <si>
    <t>Improved breed</t>
  </si>
  <si>
    <t>Branch differences</t>
  </si>
  <si>
    <t>Irrigation crops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</si>
  <si>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</si>
  <si>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</si>
  <si>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</si>
  <si>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</si>
  <si>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</si>
  <si>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</si>
  <si>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</si>
  <si>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</si>
  <si>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</si>
  <si>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</si>
  <si>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</si>
  <si>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</si>
  <si>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</si>
  <si>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</si>
  <si>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</si>
  <si>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</si>
  <si>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</si>
  <si>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</si>
  <si>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</si>
  <si>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</si>
  <si>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</si>
  <si>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</si>
  <si>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</si>
  <si>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</si>
  <si>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</si>
  <si>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</si>
  <si>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</si>
  <si>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</si>
  <si>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All year long continuously</t>
  </si>
  <si>
    <t>Never</t>
  </si>
  <si>
    <t>Fortnightly</t>
  </si>
  <si>
    <t>Yes using a diesel pump</t>
  </si>
  <si>
    <t>Sometimes</t>
  </si>
  <si>
    <t>Monthly</t>
  </si>
  <si>
    <t>Yes inorganic fertilizers</t>
  </si>
  <si>
    <t>Yes both manure and inorganic</t>
  </si>
  <si>
    <t>Yes without the use of a pump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</si>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</sst>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0.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FFD96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</borders>
  <cellStyleXfs count="1">
    <xf numFmtId="0" fontId="0" fillId="0" borderId="0"/>
  </cellStyleXfs>
  <cellXfs count="18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5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5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164" fillId="5" borderId="5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0" numFmtId="17" fillId="5" borderId="0" applyFont="0" applyNumberFormat="1" applyFill="1" applyBorder="0" applyAlignment="1">
      <alignment horizontal="center" vertical="bottom" textRotation="0" wrapText="false" shrinkToFit="false"/>
    </xf>
    <xf xfId="0" fontId="0" numFmtId="9" fillId="5" borderId="5" applyFont="0" applyNumberFormat="1" applyFill="1" applyBorder="1" applyAlignment="1">
      <alignment horizontal="center" vertical="bottom" textRotation="0" wrapText="false" shrinkToFit="false"/>
    </xf>
    <xf xfId="0" fontId="0" numFmtId="9" fillId="5" borderId="0" applyFont="0" applyNumberFormat="1" applyFill="1" applyBorder="0" applyAlignment="1">
      <alignment horizontal="center" vertical="bottom" textRotation="0" wrapText="false" shrinkToFit="false"/>
    </xf>
    <xf xfId="0" fontId="0" numFmtId="17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5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center" vertical="bottom" textRotation="0" wrapText="false" shrinkToFit="false"/>
    </xf>
    <xf xfId="0" fontId="0" numFmtId="164" fillId="5" borderId="3" applyFont="0" applyNumberFormat="1" applyFill="1" applyBorder="1" applyAlignment="0">
      <alignment horizontal="general" vertical="bottom" textRotation="0" wrapText="false" shrinkToFit="false"/>
    </xf>
    <xf xfId="0" fontId="0" numFmtId="1" fillId="5" borderId="5" applyFont="0" applyNumberFormat="1" applyFill="1" applyBorder="1" applyAlignment="1">
      <alignment horizontal="center" vertical="bottom" textRotation="0" wrapText="false" shrinkToFit="false"/>
    </xf>
    <xf xfId="0" fontId="0" numFmtId="1" fillId="5" borderId="0" applyFont="0" applyNumberFormat="1" applyFill="1" applyBorder="0" applyAlignment="1">
      <alignment horizontal="center" vertical="bottom" textRotation="0" wrapText="false" shrinkToFit="false"/>
    </xf>
    <xf xfId="0" fontId="0" numFmtId="1" fillId="5" borderId="1" applyFont="0" applyNumberFormat="1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9" fillId="5" borderId="3" applyFont="0" applyNumberFormat="1" applyFill="1" applyBorder="1" applyAlignment="1">
      <alignment horizontal="center" vertical="center" textRotation="0" wrapText="fals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6" borderId="2" applyFont="1" applyNumberFormat="0" applyFill="1" applyBorder="1" applyAlignment="1">
      <alignment horizontal="center" vertical="bottom" textRotation="0" wrapText="true" shrinkToFit="false"/>
    </xf>
    <xf xfId="0" fontId="0" numFmtId="164" fillId="6" borderId="5" applyFont="0" applyNumberFormat="1" applyFill="1" applyBorder="1" applyAlignment="0">
      <alignment horizontal="general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164" fillId="5" borderId="5" applyFont="0" applyNumberFormat="1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1">
      <alignment horizontal="center" vertical="bottom" textRotation="0" wrapText="false" shrinkToFit="false"/>
    </xf>
    <xf xfId="0" fontId="0" numFmtId="14" fillId="5" borderId="5" applyFont="0" applyNumberFormat="1" applyFill="1" applyBorder="1" applyAlignment="1">
      <alignment horizontal="center" vertical="bottom" textRotation="0" wrapText="false" shrinkToFit="false"/>
    </xf>
    <xf xfId="0" fontId="0" numFmtId="14" fillId="5" borderId="0" applyFont="0" applyNumberFormat="1" applyFill="1" applyBorder="0" applyAlignment="1">
      <alignment horizontal="center" vertical="bottom" textRotation="0" wrapText="false" shrinkToFit="false"/>
    </xf>
    <xf xfId="0" fontId="0" numFmtId="14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4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5" borderId="5" applyFont="0" applyNumberFormat="0" applyFill="1" applyBorder="1" applyAlignment="1">
      <alignment horizontal="left" vertical="bottom" textRotation="0" wrapText="false" shrinkToFit="false"/>
    </xf>
    <xf xfId="0" fontId="0" numFmtId="0" fillId="5" borderId="0" applyFont="0" applyNumberFormat="0" applyFill="1" applyBorder="0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5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9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5" borderId="3" applyFont="0" applyNumberFormat="1" applyFill="1" applyBorder="1" applyAlignment="1">
      <alignment horizontal="right" vertical="bottom" textRotation="0" wrapText="false" shrinkToFit="false"/>
    </xf>
    <xf xfId="0" fontId="0" numFmtId="14" fillId="7" borderId="3" applyFont="0" applyNumberFormat="1" applyFill="1" applyBorder="1" applyAlignment="0">
      <alignment horizontal="general" vertical="bottom" textRotation="0" wrapText="false" shrinkToFit="false"/>
    </xf>
    <xf xfId="0" fontId="0" numFmtId="164" fillId="7" borderId="3" applyFont="0" applyNumberFormat="1" applyFill="1" applyBorder="1" applyAlignment="0">
      <alignment horizontal="general" vertical="bottom" textRotation="0" wrapText="false" shrinkToFit="false"/>
    </xf>
    <xf xfId="0" fontId="0" numFmtId="9" fillId="7" borderId="3" applyFont="0" applyNumberFormat="1" applyFill="1" applyBorder="1" applyAlignment="0">
      <alignment horizontal="general" vertical="bottom" textRotation="0" wrapText="false" shrinkToFit="false"/>
    </xf>
    <xf xfId="0" fontId="0" numFmtId="164" fillId="7" borderId="3" applyFont="0" applyNumberFormat="1" applyFill="1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9" fillId="5" borderId="5" applyFont="0" applyNumberFormat="1" applyFill="1" applyBorder="1" applyAlignment="0">
      <alignment horizontal="general" vertical="bottom" textRotation="0" wrapText="false" shrinkToFit="false"/>
    </xf>
    <xf xfId="0" fontId="0" numFmtId="169" fillId="5" borderId="0" applyFont="0" applyNumberFormat="1" applyFill="1" applyBorder="0" applyAlignment="0">
      <alignment horizontal="general" vertical="bottom" textRotation="0" wrapText="false" shrinkToFit="false"/>
    </xf>
    <xf xfId="0" fontId="0" numFmtId="169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1"/>
  <sheetViews>
    <sheetView tabSelected="0" workbookViewId="0" zoomScale="90" zoomScaleNormal="90" showGridLines="false" showRowColHeaders="1">
      <selection activeCell="A17" sqref="A17"/>
    </sheetView>
  </sheetViews>
  <sheetFormatPr defaultRowHeight="14.4" outlineLevelRow="0" outlineLevelCol="0"/>
  <cols>
    <col min="1" max="1" width="40.140625" customWidth="true" style="0"/>
    <col min="2" max="2" width="14.85546875" customWidth="true" style="0"/>
  </cols>
  <sheetData>
    <row r="1" spans="1:6">
      <c r="A1" s="4" t="s">
        <v>0</v>
      </c>
      <c r="B1" s="10"/>
      <c r="C1" s="10"/>
      <c r="D1" s="10"/>
      <c r="E1" s="10"/>
      <c r="F1" s="10"/>
    </row>
    <row r="2" spans="1:6">
      <c r="A2" s="1" t="s">
        <v>1</v>
      </c>
      <c r="B2" t="str">
        <f>Output!A15&amp;", "&amp;Output!A16&amp;", "&amp;Output!A17&amp;", "&amp;Output!A18&amp;", "&amp;Output!A19</f>
        <v>0</v>
      </c>
    </row>
    <row r="3" spans="1:6">
      <c r="A3" s="1" t="s">
        <v>2</v>
      </c>
      <c r="B3" t="str">
        <f>Calculations!A14&amp;", "&amp;Calculations!A15&amp;", "&amp;Calculations!A16</f>
        <v>0</v>
      </c>
    </row>
    <row r="4" spans="1:6">
      <c r="A4" s="1" t="s">
        <v>3</v>
      </c>
      <c r="B4" t="str">
        <f>Inputs!B42</f>
        <v>0</v>
      </c>
    </row>
    <row r="6" spans="1:6">
      <c r="A6" s="4" t="s">
        <v>4</v>
      </c>
      <c r="B6" s="10"/>
      <c r="C6" s="10"/>
      <c r="D6" s="10"/>
      <c r="E6" s="10"/>
      <c r="F6" s="10"/>
    </row>
    <row r="7" spans="1:6">
      <c r="A7" s="1" t="s">
        <v>5</v>
      </c>
      <c r="B7" s="39" t="str">
        <f>AVERAGE(Inputs!A67:A71)</f>
        <v>0</v>
      </c>
    </row>
    <row r="8" spans="1:6">
      <c r="A8" s="1" t="s">
        <v>6</v>
      </c>
      <c r="B8" s="39" t="str">
        <f>MAX(Inputs!A67:A71)</f>
        <v>0</v>
      </c>
    </row>
    <row r="9" spans="1:6">
      <c r="A9" s="1" t="s">
        <v>7</v>
      </c>
      <c r="B9" s="182" t="str">
        <f>IF(OR(Inputs!E67="No",Inputs!E68="No",Inputs!E69="No",Inputs!E70="No",Inputs!E71="No"),"No","Yes")</f>
        <v>0</v>
      </c>
    </row>
    <row r="11" spans="1:6">
      <c r="A11" s="4" t="s">
        <v>8</v>
      </c>
      <c r="B11" s="10"/>
      <c r="C11" s="10"/>
      <c r="D11" s="10"/>
      <c r="E11" s="10"/>
      <c r="F11" s="10"/>
    </row>
    <row r="12" spans="1:6">
      <c r="A12" s="1" t="s">
        <v>9</v>
      </c>
      <c r="B12" s="98" t="str">
        <f>IF(Output!T8/(Output!T4+Output!T7)&lt;=0,999,Output!T8/(Output!T4+Output!T7))</f>
        <v>0</v>
      </c>
    </row>
    <row r="13" spans="1:6">
      <c r="A13" s="1" t="s">
        <v>10</v>
      </c>
      <c r="B13" s="111" t="str">
        <f>IFERROR(INDEX(Parameters!C79:C90,MATCH(MONTH(INDEX(Output!B3:S3,MATCH(1,Output!B11:S11,0))),Parameters!D79:D90,0))&amp;" "&amp;YEAR(INDEX(Output!B3:S3,MATCH(1,Output!B11:S11,0))),"N/A")</f>
        <v>0</v>
      </c>
    </row>
    <row r="14" spans="1:6">
      <c r="A14" s="1" t="s">
        <v>11</v>
      </c>
      <c r="B14" s="97" t="str">
        <f>Output!B68/Output!B62</f>
        <v>0</v>
      </c>
    </row>
    <row r="16" spans="1:6">
      <c r="A16" s="4" t="s">
        <v>12</v>
      </c>
      <c r="B16" s="10"/>
      <c r="C16" s="10"/>
      <c r="D16" s="10"/>
      <c r="E16" s="10"/>
      <c r="F16" s="10"/>
    </row>
    <row r="17" spans="1:6">
      <c r="A17" s="1" t="s">
        <v>13</v>
      </c>
      <c r="B17" s="39" t="str">
        <f>SUM(Output!B4:M4)</f>
        <v>0</v>
      </c>
    </row>
    <row r="18" spans="1:6">
      <c r="A18" s="1" t="s">
        <v>14</v>
      </c>
      <c r="B18" s="39" t="str">
        <f>MIN(Output!B4:M4)</f>
        <v>0</v>
      </c>
    </row>
    <row r="19" spans="1:6">
      <c r="A19" s="1" t="s">
        <v>15</v>
      </c>
      <c r="B19" s="110" t="str">
        <f>INDEX(Parameters!$C$79:$C$90,MONTH(INDEX(Output!$B$3:$M$3,MATCH(B18,Output!$B$4:$M$4,0))))&amp;" "&amp;YEAR(INDEX(Output!$B$3:$M$3,MATCH(B18,Output!$B$4:$M$4,0)))</f>
        <v>0</v>
      </c>
    </row>
    <row r="20" spans="1:6">
      <c r="A20" s="1" t="s">
        <v>16</v>
      </c>
      <c r="B20" s="39" t="str">
        <f>MAX(Output!B4:M4)</f>
        <v>0</v>
      </c>
    </row>
    <row r="21" spans="1:6">
      <c r="A21" s="1" t="s">
        <v>17</v>
      </c>
      <c r="B21" s="110" t="str">
        <f>INDEX(Parameters!$C$79:$C$90,MONTH(INDEX(Output!$B$3:$M$3,MATCH(B20,Output!$B$4:$M$4,0))))&amp;" "&amp;YEAR(INDEX(Output!$B$3:$M$3,MATCH(B20,Output!$B$4:$M$4,0)))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8"/>
  <sheetViews>
    <sheetView tabSelected="0" workbookViewId="0" zoomScale="90" zoomScaleNormal="90" showGridLines="false" showRowColHeaders="1">
      <pane xSplit="9" topLeftCell="J1" activePane="topRight" state="frozen"/>
      <selection pane="topRight" activeCell="H11" sqref="H11"/>
    </sheetView>
  </sheetViews>
  <sheetFormatPr defaultRowHeight="14.4" outlineLevelRow="0" outlineLevelCol="0"/>
  <cols>
    <col min="1" max="1" width="29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25" customWidth="true" style="0"/>
    <col min="21" max="21" width="17.140625" customWidth="true" style="0"/>
  </cols>
  <sheetData>
    <row r="1" spans="1:23">
      <c r="A1" s="4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5"/>
    </row>
    <row r="2" spans="1:23">
      <c r="B2" s="44"/>
      <c r="U2" s="39"/>
    </row>
    <row r="3" spans="1:23">
      <c r="A3" s="6"/>
      <c r="B3" s="20" t="str">
        <f>DATE(YEAR(Inputs!B87),MONTH(Inputs!B87),1)</f>
        <v>0</v>
      </c>
      <c r="C3" s="20" t="str">
        <f>DATE(YEAR(B3),MONTH(B3)+1,DAY(B3))</f>
        <v>0</v>
      </c>
      <c r="D3" s="20" t="str">
        <f>DATE(YEAR(C3),MONTH(C3)+1,DAY(C3))</f>
        <v>0</v>
      </c>
      <c r="E3" s="20" t="str">
        <f>DATE(YEAR(D3),MONTH(D3)+1,DAY(D3))</f>
        <v>0</v>
      </c>
      <c r="F3" s="20" t="str">
        <f>DATE(YEAR(E3),MONTH(E3)+1,DAY(E3))</f>
        <v>0</v>
      </c>
      <c r="G3" s="20" t="str">
        <f>DATE(YEAR(F3),MONTH(F3)+1,DAY(F3))</f>
        <v>0</v>
      </c>
      <c r="H3" s="20" t="str">
        <f>DATE(YEAR(G3),MONTH(G3)+1,DAY(G3))</f>
        <v>0</v>
      </c>
      <c r="I3" s="20" t="str">
        <f>DATE(YEAR(H3),MONTH(H3)+1,DAY(H3))</f>
        <v>0</v>
      </c>
      <c r="J3" s="20" t="str">
        <f>DATE(YEAR(I3),MONTH(I3)+1,DAY(I3))</f>
        <v>0</v>
      </c>
      <c r="K3" s="20" t="str">
        <f>DATE(YEAR(J3),MONTH(J3)+1,DAY(J3))</f>
        <v>0</v>
      </c>
      <c r="L3" s="20" t="str">
        <f>DATE(YEAR(K3),MONTH(K3)+1,DAY(K3))</f>
        <v>0</v>
      </c>
      <c r="M3" s="20" t="str">
        <f>DATE(YEAR(L3),MONTH(L3)+1,DAY(L3))</f>
        <v>0</v>
      </c>
      <c r="N3" s="20" t="str">
        <f>DATE(YEAR(M3),MONTH(M3)+1,DAY(M3))</f>
        <v>0</v>
      </c>
      <c r="O3" s="20" t="str">
        <f>DATE(YEAR(N3),MONTH(N3)+1,DAY(N3))</f>
        <v>0</v>
      </c>
      <c r="P3" s="20" t="str">
        <f>DATE(YEAR(O3),MONTH(O3)+1,DAY(O3))</f>
        <v>0</v>
      </c>
      <c r="Q3" s="20" t="str">
        <f>DATE(YEAR(P3),MONTH(P3)+1,DAY(P3))</f>
        <v>0</v>
      </c>
      <c r="R3" s="20" t="str">
        <f>DATE(YEAR(Q3),MONTH(Q3)+1,DAY(Q3))</f>
        <v>0</v>
      </c>
      <c r="S3" s="20" t="str">
        <f>DATE(YEAR(R3),MONTH(R3)+1,DAY(R3))</f>
        <v>0</v>
      </c>
      <c r="T3" s="64" t="s">
        <v>19</v>
      </c>
      <c r="U3" s="64" t="s">
        <v>20</v>
      </c>
      <c r="V3" s="69"/>
      <c r="W3" s="69"/>
    </row>
    <row r="4" spans="1:23" customHeight="1" ht="15.75">
      <c r="A4" s="67" t="s">
        <v>18</v>
      </c>
      <c r="B4" s="68" t="str">
        <f>B27-B49</f>
        <v>0</v>
      </c>
      <c r="C4" s="68" t="str">
        <f>C27-C49</f>
        <v>0</v>
      </c>
      <c r="D4" s="68" t="str">
        <f>D27-D49</f>
        <v>0</v>
      </c>
      <c r="E4" s="68" t="str">
        <f>E27-E49</f>
        <v>0</v>
      </c>
      <c r="F4" s="68" t="str">
        <f>F27-F49</f>
        <v>0</v>
      </c>
      <c r="G4" s="68" t="str">
        <f>G27-G49</f>
        <v>0</v>
      </c>
      <c r="H4" s="68" t="str">
        <f>H27-H49</f>
        <v>0</v>
      </c>
      <c r="I4" s="68" t="str">
        <f>I27-I49</f>
        <v>0</v>
      </c>
      <c r="J4" s="68" t="str">
        <f>J27-J49</f>
        <v>0</v>
      </c>
      <c r="K4" s="68" t="str">
        <f>K27-K49</f>
        <v>0</v>
      </c>
      <c r="L4" s="68" t="str">
        <f>L27-L49</f>
        <v>0</v>
      </c>
      <c r="M4" s="68" t="str">
        <f>M27-M49</f>
        <v>0</v>
      </c>
      <c r="N4" s="68" t="str">
        <f>N27-N49</f>
        <v>0</v>
      </c>
      <c r="O4" s="68" t="str">
        <f>O27-O49</f>
        <v>0</v>
      </c>
      <c r="P4" s="68" t="str">
        <f>P27-P49</f>
        <v>0</v>
      </c>
      <c r="Q4" s="68" t="str">
        <f>Q27-Q49</f>
        <v>0</v>
      </c>
      <c r="R4" s="68" t="str">
        <f>R27-R49</f>
        <v>0</v>
      </c>
      <c r="S4" s="68" t="str">
        <f>S27-S49</f>
        <v>0</v>
      </c>
      <c r="T4" s="68" t="str">
        <f>SUM(IF($B$7:$S$7+$B$8:$S$8&gt;0,B4:S4,0))</f>
        <v>0</v>
      </c>
      <c r="U4" s="68" t="str">
        <f>U27-U49</f>
        <v>0</v>
      </c>
      <c r="V4" s="46"/>
      <c r="W4" s="46"/>
    </row>
    <row r="5" spans="1:23" customHeight="1" ht="15.75">
      <c r="A5" s="46" t="s">
        <v>21</v>
      </c>
      <c r="B5" s="112" t="str">
        <f>IFERROR(INDEX(Inputs!$B$77:$B$82,MATCH(MONTH(Output!B3),Inputs!$D$77:$D$82,0))-INDEX(Inputs!$C$77:$C$82,MATCH(MONTH(Output!B3),Inputs!$D$77:$D$82,0)),"")</f>
        <v>0</v>
      </c>
      <c r="C5" s="112" t="str">
        <f>IFERROR(INDEX(Inputs!$B$77:$B$82,MATCH(MONTH(Output!C3),Inputs!$D$77:$D$82,0))-INDEX(Inputs!$C$77:$C$82,MATCH(MONTH(Output!C3),Inputs!$D$77:$D$82,0)),"")</f>
        <v>0</v>
      </c>
      <c r="D5" s="112" t="str">
        <f>IFERROR(INDEX(Inputs!$B$77:$B$82,MATCH(MONTH(Output!D3),Inputs!$D$77:$D$82,0))-INDEX(Inputs!$C$77:$C$82,MATCH(MONTH(Output!D3),Inputs!$D$77:$D$82,0)),"")</f>
        <v>0</v>
      </c>
      <c r="E5" s="112" t="str">
        <f>IFERROR(INDEX(Inputs!$B$77:$B$82,MATCH(MONTH(Output!E3),Inputs!$D$77:$D$82,0))-INDEX(Inputs!$C$77:$C$82,MATCH(MONTH(Output!E3),Inputs!$D$77:$D$82,0)),"")</f>
        <v>0</v>
      </c>
      <c r="F5" s="112" t="str">
        <f>IFERROR(INDEX(Inputs!$B$77:$B$82,MATCH(MONTH(Output!F3),Inputs!$D$77:$D$82,0))-INDEX(Inputs!$C$77:$C$82,MATCH(MONTH(Output!F3),Inputs!$D$77:$D$82,0)),"")</f>
        <v>0</v>
      </c>
      <c r="G5" s="112" t="str">
        <f>IFERROR(INDEX(Inputs!$B$77:$B$82,MATCH(MONTH(Output!G3),Inputs!$D$77:$D$82,0))-INDEX(Inputs!$C$77:$C$82,MATCH(MONTH(Output!G3),Inputs!$D$77:$D$82,0)),"")</f>
        <v>0</v>
      </c>
      <c r="H5" s="112" t="str">
        <f>IFERROR(INDEX(Inputs!$B$77:$B$82,MATCH(MONTH(Output!H3),Inputs!$D$77:$D$82,0))-INDEX(Inputs!$C$77:$C$82,MATCH(MONTH(Output!H3),Inputs!$D$77:$D$82,0)),"")</f>
        <v>0</v>
      </c>
      <c r="I5" s="112" t="str">
        <f>IFERROR(INDEX(Inputs!$B$77:$B$82,MATCH(MONTH(Output!I3),Inputs!$D$77:$D$82,0))-INDEX(Inputs!$C$77:$C$82,MATCH(MONTH(Output!I3),Inputs!$D$77:$D$82,0)),"")</f>
        <v>0</v>
      </c>
      <c r="J5" s="112" t="str">
        <f>IFERROR(INDEX(Inputs!$B$77:$B$82,MATCH(MONTH(Output!J3),Inputs!$D$77:$D$82,0))-INDEX(Inputs!$C$77:$C$82,MATCH(MONTH(Output!J3),Inputs!$D$77:$D$82,0)),"")</f>
        <v>0</v>
      </c>
      <c r="K5" s="112" t="str">
        <f>IFERROR(INDEX(Inputs!$B$77:$B$82,MATCH(MONTH(Output!K3),Inputs!$D$77:$D$82,0))-INDEX(Inputs!$C$77:$C$82,MATCH(MONTH(Output!K3),Inputs!$D$77:$D$82,0)),"")</f>
        <v>0</v>
      </c>
      <c r="L5" s="112" t="str">
        <f>IFERROR(INDEX(Inputs!$B$77:$B$82,MATCH(MONTH(Output!L3),Inputs!$D$77:$D$82,0))-INDEX(Inputs!$C$77:$C$82,MATCH(MONTH(Output!L3),Inputs!$D$77:$D$82,0)),"")</f>
        <v>0</v>
      </c>
      <c r="M5" s="112" t="str">
        <f>IFERROR(INDEX(Inputs!$B$77:$B$82,MATCH(MONTH(Output!M3),Inputs!$D$77:$D$82,0))-INDEX(Inputs!$C$77:$C$82,MATCH(MONTH(Output!M3),Inputs!$D$77:$D$82,0)),"")</f>
        <v>0</v>
      </c>
      <c r="N5" s="112" t="str">
        <f>IFERROR(INDEX(Inputs!$B$77:$B$82,MATCH(MONTH(Output!N3),Inputs!$D$77:$D$82,0))-INDEX(Inputs!$C$77:$C$82,MATCH(MONTH(Output!N3),Inputs!$D$77:$D$82,0)),"")</f>
        <v>0</v>
      </c>
      <c r="O5" s="112" t="str">
        <f>IFERROR(INDEX(Inputs!$B$77:$B$82,MATCH(MONTH(Output!O3),Inputs!$D$77:$D$82,0))-INDEX(Inputs!$C$77:$C$82,MATCH(MONTH(Output!O3),Inputs!$D$77:$D$82,0)),"")</f>
        <v>0</v>
      </c>
      <c r="P5" s="112" t="str">
        <f>IFERROR(INDEX(Inputs!$B$77:$B$82,MATCH(MONTH(Output!P3),Inputs!$D$77:$D$82,0))-INDEX(Inputs!$C$77:$C$82,MATCH(MONTH(Output!P3),Inputs!$D$77:$D$82,0)),"")</f>
        <v>0</v>
      </c>
      <c r="Q5" s="112" t="str">
        <f>IFERROR(INDEX(Inputs!$B$77:$B$82,MATCH(MONTH(Output!Q3),Inputs!$D$77:$D$82,0))-INDEX(Inputs!$C$77:$C$82,MATCH(MONTH(Output!Q3),Inputs!$D$77:$D$82,0)),"")</f>
        <v>0</v>
      </c>
      <c r="R5" s="112" t="str">
        <f>IFERROR(INDEX(Inputs!$B$77:$B$82,MATCH(MONTH(Output!R3),Inputs!$D$77:$D$82,0))-INDEX(Inputs!$C$77:$C$82,MATCH(MONTH(Output!R3),Inputs!$D$77:$D$82,0)),"")</f>
        <v>0</v>
      </c>
      <c r="S5" s="112" t="str">
        <f>IFERROR(INDEX(Inputs!$B$77:$B$82,MATCH(MONTH(Output!S3),Inputs!$D$77:$D$82,0))-INDEX(Inputs!$C$77:$C$82,MATCH(MONTH(Output!S3),Inputs!$D$77:$D$82,0)),"")</f>
        <v>0</v>
      </c>
      <c r="T5" s="112" t="str">
        <f>SUM(IF($B$7:$S$7+$B$8:$S$8&gt;0,B5:S5,0))</f>
        <v>0</v>
      </c>
      <c r="U5" s="112" t="str">
        <f>SUM(B5:S5)</f>
        <v>0</v>
      </c>
      <c r="V5" s="46"/>
      <c r="W5" s="46"/>
    </row>
    <row r="6" spans="1:23" customHeight="1" ht="9.75">
      <c r="A6" s="46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46"/>
      <c r="W6" s="46"/>
    </row>
    <row r="7" spans="1:23">
      <c r="A7" s="117" t="s">
        <v>22</v>
      </c>
      <c r="B7" s="107" t="str">
        <f>IF(AND(MONTH(B3)=MONTH(Calculations!$F$33),YEAR(B3)=YEAR(Calculations!$F$33)),Calculations!$F$35,0)</f>
        <v>0</v>
      </c>
      <c r="C7" s="107" t="str">
        <f>IF(AND(MONTH(C3)=MONTH(Calculations!$F$33),YEAR(C3)=YEAR(Calculations!$F$33)),Calculations!$F$35,0)</f>
        <v>0</v>
      </c>
      <c r="D7" s="107" t="str">
        <f>IF(AND(MONTH(D3)=MONTH(Calculations!$F$33),YEAR(D3)=YEAR(Calculations!$F$33)),Calculations!$F$35,0)</f>
        <v>0</v>
      </c>
      <c r="E7" s="107" t="str">
        <f>IF(AND(MONTH(E3)=MONTH(Calculations!$F$33),YEAR(E3)=YEAR(Calculations!$F$33)),Calculations!$F$35,0)</f>
        <v>0</v>
      </c>
      <c r="F7" s="107" t="str">
        <f>IF(AND(MONTH(F3)=MONTH(Calculations!$F$33),YEAR(F3)=YEAR(Calculations!$F$33)),Calculations!$F$35,0)</f>
        <v>0</v>
      </c>
      <c r="G7" s="107" t="str">
        <f>IF(AND(MONTH(G3)=MONTH(Calculations!$F$33),YEAR(G3)=YEAR(Calculations!$F$33)),Calculations!$F$35,0)</f>
        <v>0</v>
      </c>
      <c r="H7" s="107" t="str">
        <f>IF(AND(MONTH(H3)=MONTH(Calculations!$F$33),YEAR(H3)=YEAR(Calculations!$F$33)),Calculations!$F$35,0)</f>
        <v>0</v>
      </c>
      <c r="I7" s="107" t="str">
        <f>IF(AND(MONTH(I3)=MONTH(Calculations!$F$33),YEAR(I3)=YEAR(Calculations!$F$33)),Calculations!$F$35,0)</f>
        <v>0</v>
      </c>
      <c r="J7" s="107" t="str">
        <f>IF(AND(MONTH(J3)=MONTH(Calculations!$F$33),YEAR(J3)=YEAR(Calculations!$F$33)),Calculations!$F$35,0)</f>
        <v>0</v>
      </c>
      <c r="K7" s="107" t="str">
        <f>IF(AND(MONTH(K3)=MONTH(Calculations!$F$33),YEAR(K3)=YEAR(Calculations!$F$33)),Calculations!$F$35,0)</f>
        <v>0</v>
      </c>
      <c r="L7" s="107" t="str">
        <f>IF(AND(MONTH(L3)=MONTH(Calculations!$F$33),YEAR(L3)=YEAR(Calculations!$F$33)),Calculations!$F$35,0)</f>
        <v>0</v>
      </c>
      <c r="M7" s="107" t="str">
        <f>IF(AND(MONTH(M3)=MONTH(Calculations!$F$33),YEAR(M3)=YEAR(Calculations!$F$33)),Calculations!$F$35,0)</f>
        <v>0</v>
      </c>
      <c r="N7" s="107" t="str">
        <f>IF(AND(MONTH(N3)=MONTH(Calculations!$F$33),YEAR(N3)=YEAR(Calculations!$F$33)),Calculations!$F$35,0)</f>
        <v>0</v>
      </c>
      <c r="O7" s="107" t="str">
        <f>IF(AND(MONTH(O3)=MONTH(Calculations!$F$33),YEAR(O3)=YEAR(Calculations!$F$33)),Calculations!$F$35,0)</f>
        <v>0</v>
      </c>
      <c r="P7" s="107" t="str">
        <f>IF(AND(MONTH(P3)=MONTH(Calculations!$F$33),YEAR(P3)=YEAR(Calculations!$F$33)),Calculations!$F$35,0)</f>
        <v>0</v>
      </c>
      <c r="Q7" s="107" t="str">
        <f>IF(AND(MONTH(Q3)=MONTH(Calculations!$F$33),YEAR(Q3)=YEAR(Calculations!$F$33)),Calculations!$F$35,0)</f>
        <v>0</v>
      </c>
      <c r="R7" s="107" t="str">
        <f>IF(AND(MONTH(R3)=MONTH(Calculations!$F$33),YEAR(R3)=YEAR(Calculations!$F$33)),Calculations!$F$35,0)</f>
        <v>0</v>
      </c>
      <c r="S7" s="107" t="str">
        <f>IF(AND(MONTH(S3)=MONTH(Calculations!$F$33),YEAR(S3)=YEAR(Calculations!$F$33)),Calculations!$F$35,0)</f>
        <v>0</v>
      </c>
      <c r="T7" s="107" t="str">
        <f>U7</f>
        <v>0</v>
      </c>
      <c r="U7" s="107" t="str">
        <f>SUM(B7:S7)</f>
        <v>0</v>
      </c>
      <c r="V7" s="46"/>
      <c r="W7" s="46"/>
    </row>
    <row r="8" spans="1:23" customHeight="1" ht="15.75" s="46" customFormat="1">
      <c r="A8" s="21" t="s">
        <v>23</v>
      </c>
      <c r="B8" s="40" t="str">
        <f>SUM(IF(Calculations!$B$33:$B$84&lt;Output!C3,IF(Calculations!$B$33:$B$84&gt;=B3,Calculations!$C$33:$C$84,0)))</f>
        <v>0</v>
      </c>
      <c r="C8" s="40" t="str">
        <f>SUM(IF(Calculations!$B$33:$B$84&lt;Output!D3,IF(Calculations!$B$33:$B$84&gt;=C3,Calculations!$C$33:$C$84,0)))</f>
        <v>0</v>
      </c>
      <c r="D8" s="40" t="str">
        <f>SUM(IF(Calculations!$B$33:$B$84&lt;Output!E3,IF(Calculations!$B$33:$B$84&gt;=D3,Calculations!$C$33:$C$84,0)))</f>
        <v>0</v>
      </c>
      <c r="E8" s="40" t="str">
        <f>SUM(IF(Calculations!$B$33:$B$84&lt;Output!F3,IF(Calculations!$B$33:$B$84&gt;=E3,Calculations!$C$33:$C$84,0)))</f>
        <v>0</v>
      </c>
      <c r="F8" s="40" t="str">
        <f>SUM(IF(Calculations!$B$33:$B$84&lt;Output!G3,IF(Calculations!$B$33:$B$84&gt;=F3,Calculations!$C$33:$C$84,0)))</f>
        <v>0</v>
      </c>
      <c r="G8" s="40" t="str">
        <f>SUM(IF(Calculations!$B$33:$B$84&lt;Output!H3,IF(Calculations!$B$33:$B$84&gt;=G3,Calculations!$C$33:$C$84,0)))</f>
        <v>0</v>
      </c>
      <c r="H8" s="40" t="str">
        <f>SUM(IF(Calculations!$B$33:$B$84&lt;Output!I3,IF(Calculations!$B$33:$B$84&gt;=H3,Calculations!$C$33:$C$84,0)))</f>
        <v>0</v>
      </c>
      <c r="I8" s="40" t="str">
        <f>SUM(IF(Calculations!$B$33:$B$84&lt;Output!J3,IF(Calculations!$B$33:$B$84&gt;=I3,Calculations!$C$33:$C$84,0)))</f>
        <v>0</v>
      </c>
      <c r="J8" s="40" t="str">
        <f>SUM(IF(Calculations!$B$33:$B$84&lt;Output!K3,IF(Calculations!$B$33:$B$84&gt;=J3,Calculations!$C$33:$C$84,0)))</f>
        <v>0</v>
      </c>
      <c r="K8" s="40" t="str">
        <f>SUM(IF(Calculations!$B$33:$B$84&lt;Output!L3,IF(Calculations!$B$33:$B$84&gt;=K3,Calculations!$C$33:$C$84,0)))</f>
        <v>0</v>
      </c>
      <c r="L8" s="40" t="str">
        <f>SUM(IF(Calculations!$B$33:$B$84&lt;Output!S3,IF(Calculations!$B$33:$B$84&gt;=L3,Calculations!$C$33:$C$84,0)))</f>
        <v>0</v>
      </c>
      <c r="M8" s="40" t="str">
        <f>SUM(IF(Calculations!$B$33:$B$84&lt;Output!U3,IF(Calculations!$B$33:$B$84&gt;=M3,Calculations!$C$33:$C$84,0)))</f>
        <v>0</v>
      </c>
      <c r="N8" s="40" t="str">
        <f>SUM(IF(Calculations!$B$33:$B$84&lt;Output!V3,IF(Calculations!$B$33:$B$84&gt;=N3,Calculations!$C$33:$C$84,0)))</f>
        <v>0</v>
      </c>
      <c r="O8" s="40" t="str">
        <f>SUM(IF(Calculations!$B$33:$B$84&lt;Output!W3,IF(Calculations!$B$33:$B$84&gt;=O3,Calculations!$C$33:$C$84,0)))</f>
        <v>0</v>
      </c>
      <c r="P8" s="40" t="str">
        <f>SUM(IF(Calculations!$B$33:$B$84&lt;Output!X3,IF(Calculations!$B$33:$B$84&gt;=P3,Calculations!$C$33:$C$84,0)))</f>
        <v>0</v>
      </c>
      <c r="Q8" s="40" t="str">
        <f>SUM(IF(Calculations!$B$33:$B$84&lt;Output!Y3,IF(Calculations!$B$33:$B$84&gt;=Q3,Calculations!$C$33:$C$84,0)))</f>
        <v>0</v>
      </c>
      <c r="R8" s="40" t="str">
        <f>SUM(IF(Calculations!$B$33:$B$84&lt;Output!Z3,IF(Calculations!$B$33:$B$84&gt;=R3,Calculations!$C$33:$C$84,0)))</f>
        <v>0</v>
      </c>
      <c r="S8" s="40" t="str">
        <f>SUM(IF(Calculations!$B$33:$B$84&lt;Output!AA3,IF(Calculations!$B$33:$B$84&gt;=S3,Calculations!$C$33:$C$84,0)))</f>
        <v>0</v>
      </c>
      <c r="T8" s="40" t="str">
        <f>U8</f>
        <v>0</v>
      </c>
      <c r="U8" s="40" t="str">
        <f>SUM(B8:S8)</f>
        <v>0</v>
      </c>
    </row>
    <row r="9" spans="1:23" customHeight="1" ht="15.75">
      <c r="A9" s="46" t="s">
        <v>24</v>
      </c>
      <c r="B9" s="112" t="str">
        <f>B4+B7-B8</f>
        <v>0</v>
      </c>
      <c r="C9" s="112" t="str">
        <f>C4+C7-C8</f>
        <v>0</v>
      </c>
      <c r="D9" s="112" t="str">
        <f>D4+D7-D8</f>
        <v>0</v>
      </c>
      <c r="E9" s="112" t="str">
        <f>E4+E7-E8</f>
        <v>0</v>
      </c>
      <c r="F9" s="112" t="str">
        <f>F4+F7-F8</f>
        <v>0</v>
      </c>
      <c r="G9" s="112" t="str">
        <f>G4+G7-G8</f>
        <v>0</v>
      </c>
      <c r="H9" s="112" t="str">
        <f>H4+H7-H8</f>
        <v>0</v>
      </c>
      <c r="I9" s="112" t="str">
        <f>I4+I7-I8</f>
        <v>0</v>
      </c>
      <c r="J9" s="112" t="str">
        <f>J4+J7-J8</f>
        <v>0</v>
      </c>
      <c r="K9" s="112" t="str">
        <f>K4+K7-K8</f>
        <v>0</v>
      </c>
      <c r="L9" s="112" t="str">
        <f>L4+L7-L8</f>
        <v>0</v>
      </c>
      <c r="M9" s="112" t="str">
        <f>M4+M7-M8</f>
        <v>0</v>
      </c>
      <c r="N9" s="112" t="str">
        <f>N4+N7-N8</f>
        <v>0</v>
      </c>
      <c r="O9" s="112" t="str">
        <f>O4+O7-O8</f>
        <v>0</v>
      </c>
      <c r="P9" s="112" t="str">
        <f>P4+P7-P8</f>
        <v>0</v>
      </c>
      <c r="Q9" s="112" t="str">
        <f>Q4+Q7-Q8</f>
        <v>0</v>
      </c>
      <c r="R9" s="112" t="str">
        <f>R4+R7-R8</f>
        <v>0</v>
      </c>
      <c r="S9" s="112" t="str">
        <f>S4+S7-S8</f>
        <v>0</v>
      </c>
      <c r="T9" s="118" t="str">
        <f>T4+T7-T8</f>
        <v>0</v>
      </c>
      <c r="U9" s="63" t="str">
        <f>SUM(B9:S9)</f>
        <v>0</v>
      </c>
      <c r="V9" s="46"/>
      <c r="W9" s="46"/>
    </row>
    <row r="10" spans="1:23" s="46" customFormat="1">
      <c r="A10" s="113" t="s">
        <v>25</v>
      </c>
      <c r="B10" s="114" t="str">
        <f>IF(SUM(B7:B8)&gt;0,IF(SUM($B$8:B8)/(SUM($B$4:B4)+SUM($B$7:B7))&lt;0,999.99,SUM($B$8:B8)/(SUM($B$4:B4)+SUM($B$7:B7))),"")</f>
        <v>0</v>
      </c>
      <c r="C10" s="114" t="str">
        <f>IF(SUM(C7:C8)&gt;0,IF(SUM($B$8:C8)/(SUM($B$4:C4)+SUM($B$7:C7))&lt;0,999.99,SUM($B$8:C8)/(SUM($B$4:C4)+SUM($B$7:C7))),"")</f>
        <v>0</v>
      </c>
      <c r="D10" s="114" t="str">
        <f>IF(SUM(D7:D8)&gt;0,IF(SUM($B$8:D8)/(SUM($B$4:D4)+SUM($B$7:D7))&lt;0,999.99,SUM($B$8:D8)/(SUM($B$4:D4)+SUM($B$7:D7))),"")</f>
        <v>0</v>
      </c>
      <c r="E10" s="114" t="str">
        <f>IF(SUM(E7:E8)&gt;0,IF(SUM($B$8:E8)/(SUM($B$4:E4)+SUM($B$7:E7))&lt;0,999.99,SUM($B$8:E8)/(SUM($B$4:E4)+SUM($B$7:E7))),"")</f>
        <v>0</v>
      </c>
      <c r="F10" s="114" t="str">
        <f>IF(SUM(F7:F8)&gt;0,IF(SUM($B$8:F8)/(SUM($B$4:F4)+SUM($B$7:F7))&lt;0,999.99,SUM($B$8:F8)/(SUM($B$4:F4)+SUM($B$7:F7))),"")</f>
        <v>0</v>
      </c>
      <c r="G10" s="114" t="str">
        <f>IF(SUM(G7:G8)&gt;0,IF(SUM($B$8:G8)/(SUM($B$4:G4)+SUM($B$7:G7))&lt;0,999.99,SUM($B$8:G8)/(SUM($B$4:G4)+SUM($B$7:G7))),"")</f>
        <v>0</v>
      </c>
      <c r="H10" s="114" t="str">
        <f>IF(SUM(H7:H8)&gt;0,IF(SUM($B$8:H8)/(SUM($B$4:H4)+SUM($B$7:H7))&lt;0,999.99,SUM($B$8:H8)/(SUM($B$4:H4)+SUM($B$7:H7))),"")</f>
        <v>0</v>
      </c>
      <c r="I10" s="114" t="str">
        <f>IF(SUM(I7:I8)&gt;0,IF(SUM($B$8:I8)/(SUM($B$4:I4)+SUM($B$7:I7))&lt;0,999.99,SUM($B$8:I8)/(SUM($B$4:I4)+SUM($B$7:I7))),"")</f>
        <v>0</v>
      </c>
      <c r="J10" s="114" t="str">
        <f>IF(SUM(J7:J8)&gt;0,IF(SUM($B$8:J8)/(SUM($B$4:J4)+SUM($B$7:J7))&lt;0,999.99,SUM($B$8:J8)/(SUM($B$4:J4)+SUM($B$7:J7))),"")</f>
        <v>0</v>
      </c>
      <c r="K10" s="114" t="str">
        <f>IF(SUM(K7:K8)&gt;0,IF(SUM($B$8:K8)/(SUM($B$4:K4)+SUM($B$7:K7))&lt;0,999.99,SUM($B$8:K8)/(SUM($B$4:K4)+SUM($B$7:K7))),"")</f>
        <v>0</v>
      </c>
      <c r="L10" s="114" t="str">
        <f>IF(SUM(L7:L8)&gt;0,IF(SUM($B$8:L8)/(SUM($B$4:L4)+SUM($B$7:L7))&lt;0,999.99,SUM($B$8:L8)/(SUM($B$4:L4)+SUM($B$7:L7))),"")</f>
        <v>0</v>
      </c>
      <c r="M10" s="114" t="str">
        <f>IF(SUM(M7:M8)&gt;0,IF(SUM($B$8:M8)/(SUM($B$4:M4)+SUM($B$7:M7))&lt;0,999.99,SUM($B$8:M8)/(SUM($B$4:M4)+SUM($B$7:M7))),"")</f>
        <v>0</v>
      </c>
      <c r="N10" s="114" t="str">
        <f>IF(SUM(N7:N8)&gt;0,IF(SUM($B$8:N8)/(SUM($B$4:N4)+SUM($B$7:N7))&lt;0,999.99,SUM($B$8:N8)/(SUM($B$4:N4)+SUM($B$7:N7))),"")</f>
        <v>0</v>
      </c>
      <c r="O10" s="114" t="str">
        <f>IF(SUM(O7:O8)&gt;0,IF(SUM($B$8:O8)/(SUM($B$4:O4)+SUM($B$7:O7))&lt;0,999.99,SUM($B$8:O8)/(SUM($B$4:O4)+SUM($B$7:O7))),"")</f>
        <v>0</v>
      </c>
      <c r="P10" s="114" t="str">
        <f>IF(SUM(P7:P8)&gt;0,IF(SUM($B$8:P8)/(SUM($B$4:P4)+SUM($B$7:P7))&lt;0,999.99,SUM($B$8:P8)/(SUM($B$4:P4)+SUM($B$7:P7))),"")</f>
        <v>0</v>
      </c>
      <c r="Q10" s="114" t="str">
        <f>IF(SUM(Q7:Q8)&gt;0,IF(SUM($B$8:Q8)/(SUM($B$4:Q4)+SUM($B$7:Q7))&lt;0,999.99,SUM($B$8:Q8)/(SUM($B$4:Q4)+SUM($B$7:Q7))),"")</f>
        <v>0</v>
      </c>
      <c r="R10" s="114" t="str">
        <f>IF(SUM(R7:R8)&gt;0,IF(SUM($B$8:R8)/(SUM($B$4:R4)+SUM($B$7:R7))&lt;0,999.99,SUM($B$8:R8)/(SUM($B$4:R4)+SUM($B$7:R7))),"")</f>
        <v>0</v>
      </c>
      <c r="S10" s="114" t="str">
        <f>IF(SUM(S7:S8)&gt;0,IF(SUM($B$8:S8)/(SUM($B$4:S4)+SUM($B$7:S7))&lt;0,999.99,SUM($B$8:S8)/(SUM($B$4:S4)+SUM($B$7:S7))),"")</f>
        <v>0</v>
      </c>
      <c r="T10" s="114"/>
      <c r="U10" s="115"/>
    </row>
    <row r="11" spans="1:23">
      <c r="B11" s="66" t="str">
        <f>IF(MAX(B10:$S$10)&lt;=0.6,1,0)</f>
        <v>0</v>
      </c>
      <c r="C11" s="66" t="str">
        <f>IF(MAX(C10:$S$10)&lt;=0.6,1,0)</f>
        <v>0</v>
      </c>
      <c r="D11" s="66" t="str">
        <f>IF(MAX(D10:$S$10)&lt;=0.6,1,0)</f>
        <v>0</v>
      </c>
      <c r="E11" s="66" t="str">
        <f>IF(MAX(E10:$S$10)&lt;=0.6,1,0)</f>
        <v>0</v>
      </c>
      <c r="F11" s="66" t="str">
        <f>IF(MAX(F10:$S$10)&lt;=0.6,1,0)</f>
        <v>0</v>
      </c>
      <c r="G11" s="66" t="str">
        <f>IF(MAX(G10:$S$10)&lt;=0.6,1,0)</f>
        <v>0</v>
      </c>
      <c r="H11" s="66" t="str">
        <f>IF(MAX(H10:$S$10)&lt;=0.6,1,0)</f>
        <v>0</v>
      </c>
      <c r="I11" s="66" t="str">
        <f>IF(MAX(I10:$S$10)&lt;=0.6,1,0)</f>
        <v>0</v>
      </c>
      <c r="J11" s="66" t="str">
        <f>IF(MAX(J10:$S$10)&lt;=0.6,1,0)</f>
        <v>0</v>
      </c>
      <c r="K11" s="66" t="str">
        <f>IF(MAX(K10:$S$10)&lt;=0.6,1,0)</f>
        <v>0</v>
      </c>
      <c r="L11" s="66" t="str">
        <f>IF(MAX(L10:$S$10)&lt;=0.6,1,0)</f>
        <v>0</v>
      </c>
      <c r="M11" s="66" t="str">
        <f>IF(MAX(M10:$S$10)&lt;=0.6,1,0)</f>
        <v>0</v>
      </c>
      <c r="N11" s="66" t="str">
        <f>IF(MAX(N10:$S$10)&lt;=0.6,1,0)</f>
        <v>0</v>
      </c>
      <c r="O11" s="66" t="str">
        <f>IF(MAX(O10:$S$10)&lt;=0.6,1,0)</f>
        <v>0</v>
      </c>
      <c r="P11" s="66" t="str">
        <f>IF(MAX(P10:$S$10)&lt;=0.6,1,0)</f>
        <v>0</v>
      </c>
      <c r="Q11" s="66" t="str">
        <f>IF(MAX(Q10:$S$10)&lt;=0.6,1,0)</f>
        <v>0</v>
      </c>
      <c r="R11" s="66" t="str">
        <f>IF(MAX(R10:$S$10)&lt;=0.6,1,0)</f>
        <v>0</v>
      </c>
      <c r="S11" s="66" t="str">
        <f>IF(MAX(S10:$S$10)&lt;=0.6,1,0)</f>
        <v>0</v>
      </c>
      <c r="T11" s="66"/>
      <c r="V11" s="46"/>
      <c r="W11" s="46"/>
    </row>
    <row r="12" spans="1:23">
      <c r="A12" s="4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70"/>
      <c r="W12" s="71"/>
    </row>
    <row r="13" spans="1:23">
      <c r="H13" s="45"/>
      <c r="V13" s="46"/>
      <c r="W13" s="46"/>
    </row>
    <row r="14" spans="1:23">
      <c r="A14" s="6" t="s">
        <v>27</v>
      </c>
      <c r="B14" s="20" t="str">
        <f>B3</f>
        <v>0</v>
      </c>
      <c r="C14" s="20" t="str">
        <f>C3</f>
        <v>0</v>
      </c>
      <c r="D14" s="20" t="str">
        <f>D3</f>
        <v>0</v>
      </c>
      <c r="E14" s="20" t="str">
        <f>E3</f>
        <v>0</v>
      </c>
      <c r="F14" s="20" t="str">
        <f>F3</f>
        <v>0</v>
      </c>
      <c r="G14" s="20" t="str">
        <f>G3</f>
        <v>0</v>
      </c>
      <c r="H14" s="20" t="str">
        <f>H3</f>
        <v>0</v>
      </c>
      <c r="I14" s="20" t="str">
        <f>I3</f>
        <v>0</v>
      </c>
      <c r="J14" s="20" t="str">
        <f>J3</f>
        <v>0</v>
      </c>
      <c r="K14" s="20" t="str">
        <f>K3</f>
        <v>0</v>
      </c>
      <c r="L14" s="20" t="str">
        <f>L3</f>
        <v>0</v>
      </c>
      <c r="M14" s="20" t="str">
        <f>M3</f>
        <v>0</v>
      </c>
      <c r="N14" s="20" t="str">
        <f>N3</f>
        <v>0</v>
      </c>
      <c r="O14" s="20" t="str">
        <f>O3</f>
        <v>0</v>
      </c>
      <c r="P14" s="20" t="str">
        <f>P3</f>
        <v>0</v>
      </c>
      <c r="Q14" s="20" t="str">
        <f>Q3</f>
        <v>0</v>
      </c>
      <c r="R14" s="20" t="str">
        <f>R3</f>
        <v>0</v>
      </c>
      <c r="S14" s="20" t="str">
        <f>S3</f>
        <v>0</v>
      </c>
      <c r="T14" s="64" t="str">
        <f>T3</f>
        <v>0</v>
      </c>
      <c r="U14" s="64" t="str">
        <f>U3</f>
        <v>0</v>
      </c>
      <c r="V14" s="69"/>
      <c r="W14" s="69"/>
    </row>
    <row r="15" spans="1:23">
      <c r="A15" t="str">
        <f>IF(Inputs!A7="","",IF(Inputs!A7=Parameters!$A$18,Inputs!$D$15,Inputs!A7))</f>
        <v>0</v>
      </c>
      <c r="B15" s="39" t="str">
        <f>IF(Calculations!$R4&lt;&gt;0,IF(AND(B$14&gt;=Calculations!$D4,MIN(MOD(MONTH(Output!B$14)-MONTH(Calculations!$D4),12),MOD(MONTH(Output!B$14)-MONTH(Calculations!$G4),12))&lt;=Inputs!$K7),Calculations!$P4/Calculations!$R4/(Inputs!$K7+1)*(1+MIN(MOD(MONTH(Output!B$14)-MONTH(Calculations!$D4),12),MOD(MONTH(Output!B$14)-MONTH(Calculations!$G4),12))*Calculations!$O4),0),Calculations!$P4*Calculations!AA4*(1-Calculations!$Q4)+IF(MONTH(B$14)=1,Calculations!$P4*Calculations!$Q4,0))</f>
        <v>0</v>
      </c>
      <c r="C15" s="39" t="str">
        <f>IF(Calculations!$R4&lt;&gt;0,IF(AND(C$14&gt;=Calculations!$D4,MIN(MOD(MONTH(Output!C$14)-MONTH(Calculations!$D4),12),MOD(MONTH(Output!C$14)-MONTH(Calculations!$G4),12))&lt;=Inputs!$K7),Calculations!$P4/Calculations!$R4/(Inputs!$K7+1)*(1+MIN(MOD(MONTH(Output!C$14)-MONTH(Calculations!$D4),12),MOD(MONTH(Output!C$14)-MONTH(Calculations!$G4),12))*Calculations!$O4),0),Calculations!$P4*Calculations!AB4*(1-Calculations!$Q4)+IF(MONTH(C$14)=1,Calculations!$P4*Calculations!$Q4,0))</f>
        <v>0</v>
      </c>
      <c r="D15" s="39" t="str">
        <f>IF(Calculations!$R4&lt;&gt;0,IF(AND(D$14&gt;=Calculations!$D4,MIN(MOD(MONTH(Output!D$14)-MONTH(Calculations!$D4),12),MOD(MONTH(Output!D$14)-MONTH(Calculations!$G4),12))&lt;=Inputs!$K7),Calculations!$P4/Calculations!$R4/(Inputs!$K7+1)*(1+MIN(MOD(MONTH(Output!D$14)-MONTH(Calculations!$D4),12),MOD(MONTH(Output!D$14)-MONTH(Calculations!$G4),12))*Calculations!$O4),0),Calculations!$P4*Calculations!AC4*(1-Calculations!$Q4)+IF(MONTH(D$14)=1,Calculations!$P4*Calculations!$Q4,0))</f>
        <v>0</v>
      </c>
      <c r="E15" s="39" t="str">
        <f>IF(Calculations!$R4&lt;&gt;0,IF(AND(E$14&gt;=Calculations!$D4,MIN(MOD(MONTH(Output!E$14)-MONTH(Calculations!$D4),12),MOD(MONTH(Output!E$14)-MONTH(Calculations!$G4),12))&lt;=Inputs!$K7),Calculations!$P4/Calculations!$R4/(Inputs!$K7+1)*(1+MIN(MOD(MONTH(Output!E$14)-MONTH(Calculations!$D4),12),MOD(MONTH(Output!E$14)-MONTH(Calculations!$G4),12))*Calculations!$O4),0),Calculations!$P4*Calculations!AD4*(1-Calculations!$Q4)+IF(MONTH(E$14)=1,Calculations!$P4*Calculations!$Q4,0))</f>
        <v>0</v>
      </c>
      <c r="F15" s="39" t="str">
        <f>IF(Calculations!$R4&lt;&gt;0,IF(AND(F$14&gt;=Calculations!$D4,MIN(MOD(MONTH(Output!F$14)-MONTH(Calculations!$D4),12),MOD(MONTH(Output!F$14)-MONTH(Calculations!$G4),12))&lt;=Inputs!$K7),Calculations!$P4/Calculations!$R4/(Inputs!$K7+1)*(1+MIN(MOD(MONTH(Output!F$14)-MONTH(Calculations!$D4),12),MOD(MONTH(Output!F$14)-MONTH(Calculations!$G4),12))*Calculations!$O4),0),Calculations!$P4*Calculations!AE4*(1-Calculations!$Q4)+IF(MONTH(F$14)=1,Calculations!$P4*Calculations!$Q4,0))</f>
        <v>0</v>
      </c>
      <c r="G15" s="39" t="str">
        <f>IF(Calculations!$R4&lt;&gt;0,IF(AND(G$14&gt;=Calculations!$D4,MIN(MOD(MONTH(Output!G$14)-MONTH(Calculations!$D4),12),MOD(MONTH(Output!G$14)-MONTH(Calculations!$G4),12))&lt;=Inputs!$K7),Calculations!$P4/Calculations!$R4/(Inputs!$K7+1)*(1+MIN(MOD(MONTH(Output!G$14)-MONTH(Calculations!$D4),12),MOD(MONTH(Output!G$14)-MONTH(Calculations!$G4),12))*Calculations!$O4),0),Calculations!$P4*Calculations!AF4*(1-Calculations!$Q4)+IF(MONTH(G$14)=1,Calculations!$P4*Calculations!$Q4,0))</f>
        <v>0</v>
      </c>
      <c r="H15" s="39" t="str">
        <f>IF(Calculations!$R4&lt;&gt;0,IF(AND(H$14&gt;=Calculations!$D4,MIN(MOD(MONTH(Output!H$14)-MONTH(Calculations!$D4),12),MOD(MONTH(Output!H$14)-MONTH(Calculations!$G4),12))&lt;=Inputs!$K7),Calculations!$P4/Calculations!$R4/(Inputs!$K7+1)*(1+MIN(MOD(MONTH(Output!H$14)-MONTH(Calculations!$D4),12),MOD(MONTH(Output!H$14)-MONTH(Calculations!$G4),12))*Calculations!$O4),0),Calculations!$P4*Calculations!AG4*(1-Calculations!$Q4)+IF(MONTH(H$14)=1,Calculations!$P4*Calculations!$Q4,0))</f>
        <v>0</v>
      </c>
      <c r="I15" s="39" t="str">
        <f>IF(Calculations!$R4&lt;&gt;0,IF(AND(I$14&gt;=Calculations!$D4,MIN(MOD(MONTH(Output!I$14)-MONTH(Calculations!$D4),12),MOD(MONTH(Output!I$14)-MONTH(Calculations!$G4),12))&lt;=Inputs!$K7),Calculations!$P4/Calculations!$R4/(Inputs!$K7+1)*(1+MIN(MOD(MONTH(Output!I$14)-MONTH(Calculations!$D4),12),MOD(MONTH(Output!I$14)-MONTH(Calculations!$G4),12))*Calculations!$O4),0),Calculations!$P4*Calculations!AH4*(1-Calculations!$Q4)+IF(MONTH(I$14)=1,Calculations!$P4*Calculations!$Q4,0))</f>
        <v>0</v>
      </c>
      <c r="J15" s="39" t="str">
        <f>IF(Calculations!$R4&lt;&gt;0,IF(AND(J$14&gt;=Calculations!$D4,MIN(MOD(MONTH(Output!J$14)-MONTH(Calculations!$D4),12),MOD(MONTH(Output!J$14)-MONTH(Calculations!$G4),12))&lt;=Inputs!$K7),Calculations!$P4/Calculations!$R4/(Inputs!$K7+1)*(1+MIN(MOD(MONTH(Output!J$14)-MONTH(Calculations!$D4),12),MOD(MONTH(Output!J$14)-MONTH(Calculations!$G4),12))*Calculations!$O4),0),Calculations!$P4*Calculations!AI4*(1-Calculations!$Q4)+IF(MONTH(J$14)=1,Calculations!$P4*Calculations!$Q4,0))</f>
        <v>0</v>
      </c>
      <c r="K15" s="39" t="str">
        <f>IF(Calculations!$R4&lt;&gt;0,IF(AND(K$14&gt;=Calculations!$D4,MIN(MOD(MONTH(Output!K$14)-MONTH(Calculations!$D4),12),MOD(MONTH(Output!K$14)-MONTH(Calculations!$G4),12))&lt;=Inputs!$K7),Calculations!$P4/Calculations!$R4/(Inputs!$K7+1)*(1+MIN(MOD(MONTH(Output!K$14)-MONTH(Calculations!$D4),12),MOD(MONTH(Output!K$14)-MONTH(Calculations!$G4),12))*Calculations!$O4),0),Calculations!$P4*Calculations!AJ4*(1-Calculations!$Q4)+IF(MONTH(K$14)=1,Calculations!$P4*Calculations!$Q4,0))</f>
        <v>0</v>
      </c>
      <c r="L15" s="39" t="str">
        <f>IF(Calculations!$R4&lt;&gt;0,IF(AND(L$14&gt;=Calculations!$D4,MIN(MOD(MONTH(Output!L$14)-MONTH(Calculations!$D4),12),MOD(MONTH(Output!L$14)-MONTH(Calculations!$G4),12))&lt;=Inputs!$K7),Calculations!$P4/Calculations!$R4/(Inputs!$K7+1)*(1+MIN(MOD(MONTH(Output!L$14)-MONTH(Calculations!$D4),12),MOD(MONTH(Output!L$14)-MONTH(Calculations!$G4),12))*Calculations!$O4),0),Calculations!$P4*Calculations!AK4*(1-Calculations!$Q4)+IF(MONTH(L$14)=1,Calculations!$P4*Calculations!$Q4,0))</f>
        <v>0</v>
      </c>
      <c r="M15" s="39" t="str">
        <f>IF(Calculations!$R4&lt;&gt;0,IF(AND(M$14&gt;=Calculations!$D4,MIN(MOD(MONTH(Output!M$14)-MONTH(Calculations!$D4),12),MOD(MONTH(Output!M$14)-MONTH(Calculations!$G4),12))&lt;=Inputs!$K7),Calculations!$P4/Calculations!$R4/(Inputs!$K7+1)*(1+MIN(MOD(MONTH(Output!M$14)-MONTH(Calculations!$D4),12),MOD(MONTH(Output!M$14)-MONTH(Calculations!$G4),12))*Calculations!$O4),0),Calculations!$P4*Calculations!AL4*(1-Calculations!$Q4)+IF(MONTH(M$14)=1,Calculations!$P4*Calculations!$Q4,0))</f>
        <v>0</v>
      </c>
      <c r="N15" s="39" t="str">
        <f>IF(Calculations!$R4&lt;&gt;0,IF(AND(N$14&gt;=Calculations!$D4,MIN(MOD(MONTH(Output!N$14)-MONTH(Calculations!$D4),12),MOD(MONTH(Output!N$14)-MONTH(Calculations!$G4),12))&lt;=Inputs!$K7),Calculations!$P4/Calculations!$R4/(Inputs!$K7+1)*(1+MIN(MOD(MONTH(Output!N$14)-MONTH(Calculations!$D4),12),MOD(MONTH(Output!N$14)-MONTH(Calculations!$G4),12))*Calculations!$O4),0),Calculations!$P4*Calculations!AM4*(1-Calculations!$Q4)+IF(MONTH(N$14)=1,Calculations!$P4*Calculations!$Q4,0))</f>
        <v>0</v>
      </c>
      <c r="O15" s="39" t="str">
        <f>IF(Calculations!$R4&lt;&gt;0,IF(AND(O$14&gt;=Calculations!$D4,MIN(MOD(MONTH(Output!O$14)-MONTH(Calculations!$D4),12),MOD(MONTH(Output!O$14)-MONTH(Calculations!$G4),12))&lt;=Inputs!$K7),Calculations!$P4/Calculations!$R4/(Inputs!$K7+1)*(1+MIN(MOD(MONTH(Output!O$14)-MONTH(Calculations!$D4),12),MOD(MONTH(Output!O$14)-MONTH(Calculations!$G4),12))*Calculations!$O4),0),Calculations!$P4*Calculations!AN4*(1-Calculations!$Q4)+IF(MONTH(O$14)=1,Calculations!$P4*Calculations!$Q4,0))</f>
        <v>0</v>
      </c>
      <c r="P15" s="39" t="str">
        <f>IF(Calculations!$R4&lt;&gt;0,IF(AND(P$14&gt;=Calculations!$D4,MIN(MOD(MONTH(Output!P$14)-MONTH(Calculations!$D4),12),MOD(MONTH(Output!P$14)-MONTH(Calculations!$G4),12))&lt;=Inputs!$K7),Calculations!$P4/Calculations!$R4/(Inputs!$K7+1)*(1+MIN(MOD(MONTH(Output!P$14)-MONTH(Calculations!$D4),12),MOD(MONTH(Output!P$14)-MONTH(Calculations!$G4),12))*Calculations!$O4),0),Calculations!$P4*Calculations!AO4*(1-Calculations!$Q4)+IF(MONTH(P$14)=1,Calculations!$P4*Calculations!$Q4,0))</f>
        <v>0</v>
      </c>
      <c r="Q15" s="39" t="str">
        <f>IF(Calculations!$R4&lt;&gt;0,IF(AND(Q$14&gt;=Calculations!$D4,MIN(MOD(MONTH(Output!Q$14)-MONTH(Calculations!$D4),12),MOD(MONTH(Output!Q$14)-MONTH(Calculations!$G4),12))&lt;=Inputs!$K7),Calculations!$P4/Calculations!$R4/(Inputs!$K7+1)*(1+MIN(MOD(MONTH(Output!Q$14)-MONTH(Calculations!$D4),12),MOD(MONTH(Output!Q$14)-MONTH(Calculations!$G4),12))*Calculations!$O4),0),Calculations!$P4*Calculations!AP4*(1-Calculations!$Q4)+IF(MONTH(Q$14)=1,Calculations!$P4*Calculations!$Q4,0))</f>
        <v>0</v>
      </c>
      <c r="R15" s="39" t="str">
        <f>IF(Calculations!$R4&lt;&gt;0,IF(AND(R$14&gt;=Calculations!$D4,MIN(MOD(MONTH(Output!R$14)-MONTH(Calculations!$D4),12),MOD(MONTH(Output!R$14)-MONTH(Calculations!$G4),12))&lt;=Inputs!$K7),Calculations!$P4/Calculations!$R4/(Inputs!$K7+1)*(1+MIN(MOD(MONTH(Output!R$14)-MONTH(Calculations!$D4),12),MOD(MONTH(Output!R$14)-MONTH(Calculations!$G4),12))*Calculations!$O4),0),Calculations!$P4*Calculations!AQ4*(1-Calculations!$Q4)+IF(MONTH(R$14)=1,Calculations!$P4*Calculations!$Q4,0))</f>
        <v>0</v>
      </c>
      <c r="S15" s="39" t="str">
        <f>IF(Calculations!$R4&lt;&gt;0,IF(AND(S$14&gt;=Calculations!$D4,MIN(MOD(MONTH(Output!S$14)-MONTH(Calculations!$D4),12),MOD(MONTH(Output!S$14)-MONTH(Calculations!$G4),12))&lt;=Inputs!$K7),Calculations!$P4/Calculations!$R4/(Inputs!$K7+1)*(1+MIN(MOD(MONTH(Output!S$14)-MONTH(Calculations!$D4),12),MOD(MONTH(Output!S$14)-MONTH(Calculations!$G4),12))*Calculations!$O4),0),Calculations!$P4*Calculations!AR4*(1-Calculations!$Q4)+IF(MONTH(S$14)=1,Calculations!$P4*Calculations!$Q4,0))</f>
        <v>0</v>
      </c>
      <c r="T15" s="39" t="str">
        <f>SUM(IF($B$7:$S$7+$B$8:$S$8&gt;0,B15:S15,0))</f>
        <v>0</v>
      </c>
      <c r="U15" s="39" t="str">
        <f>SUM(B15:S15)</f>
        <v>0</v>
      </c>
      <c r="V15" s="46"/>
      <c r="W15" s="46"/>
    </row>
    <row r="16" spans="1:23">
      <c r="A16" t="str">
        <f>IF(Inputs!A8="","",IF(Inputs!A8=Parameters!$A$18,Inputs!$D$15,Inputs!A8))</f>
        <v>0</v>
      </c>
      <c r="B16" s="39" t="str">
        <f>IF(Calculations!$R5&lt;&gt;0,IF(AND(B$14&gt;=Calculations!$D5,MIN(MOD(MONTH(Output!B$14)-MONTH(Calculations!$D5),12),MOD(MONTH(Output!B$14)-MONTH(Calculations!$G5),12))&lt;=Inputs!$K8),Calculations!$P5/Calculations!$R5/(Inputs!$K8+1)*(1+MIN(MOD(MONTH(Output!B$14)-MONTH(Calculations!$D5),12),MOD(MONTH(Output!B$14)-MONTH(Calculations!$G5),12))*Calculations!$O5),0),Calculations!$P5*Calculations!AA5*(1-Calculations!$Q5)+IF(MONTH(B$14)=1,Calculations!$P5*Calculations!$Q5,0))</f>
        <v>0</v>
      </c>
      <c r="C16" s="39" t="str">
        <f>IF(Calculations!$R5&lt;&gt;0,IF(AND(C$14&gt;=Calculations!$D5,MIN(MOD(MONTH(Output!C$14)-MONTH(Calculations!$D5),12),MOD(MONTH(Output!C$14)-MONTH(Calculations!$G5),12))&lt;=Inputs!$K8),Calculations!$P5/Calculations!$R5/(Inputs!$K8+1)*(1+MIN(MOD(MONTH(Output!C$14)-MONTH(Calculations!$D5),12),MOD(MONTH(Output!C$14)-MONTH(Calculations!$G5),12))*Calculations!$O5),0),Calculations!$P5*Calculations!AB5*(1-Calculations!$Q5)+IF(MONTH(C$14)=1,Calculations!$P5*Calculations!$Q5,0))</f>
        <v>0</v>
      </c>
      <c r="D16" s="39" t="str">
        <f>IF(Calculations!$R5&lt;&gt;0,IF(AND(D$14&gt;=Calculations!$D5,MIN(MOD(MONTH(Output!D$14)-MONTH(Calculations!$D5),12),MOD(MONTH(Output!D$14)-MONTH(Calculations!$G5),12))&lt;=Inputs!$K8),Calculations!$P5/Calculations!$R5/(Inputs!$K8+1)*(1+MIN(MOD(MONTH(Output!D$14)-MONTH(Calculations!$D5),12),MOD(MONTH(Output!D$14)-MONTH(Calculations!$G5),12))*Calculations!$O5),0),Calculations!$P5*Calculations!AC5*(1-Calculations!$Q5)+IF(MONTH(D$14)=1,Calculations!$P5*Calculations!$Q5,0))</f>
        <v>0</v>
      </c>
      <c r="E16" s="39" t="str">
        <f>IF(Calculations!$R5&lt;&gt;0,IF(AND(E$14&gt;=Calculations!$D5,MIN(MOD(MONTH(Output!E$14)-MONTH(Calculations!$D5),12),MOD(MONTH(Output!E$14)-MONTH(Calculations!$G5),12))&lt;=Inputs!$K8),Calculations!$P5/Calculations!$R5/(Inputs!$K8+1)*(1+MIN(MOD(MONTH(Output!E$14)-MONTH(Calculations!$D5),12),MOD(MONTH(Output!E$14)-MONTH(Calculations!$G5),12))*Calculations!$O5),0),Calculations!$P5*Calculations!AD5*(1-Calculations!$Q5)+IF(MONTH(E$14)=1,Calculations!$P5*Calculations!$Q5,0))</f>
        <v>0</v>
      </c>
      <c r="F16" s="39" t="str">
        <f>IF(Calculations!$R5&lt;&gt;0,IF(AND(F$14&gt;=Calculations!$D5,MIN(MOD(MONTH(Output!F$14)-MONTH(Calculations!$D5),12),MOD(MONTH(Output!F$14)-MONTH(Calculations!$G5),12))&lt;=Inputs!$K8),Calculations!$P5/Calculations!$R5/(Inputs!$K8+1)*(1+MIN(MOD(MONTH(Output!F$14)-MONTH(Calculations!$D5),12),MOD(MONTH(Output!F$14)-MONTH(Calculations!$G5),12))*Calculations!$O5),0),Calculations!$P5*Calculations!AE5*(1-Calculations!$Q5)+IF(MONTH(F$14)=1,Calculations!$P5*Calculations!$Q5,0))</f>
        <v>0</v>
      </c>
      <c r="G16" s="39" t="str">
        <f>IF(Calculations!$R5&lt;&gt;0,IF(AND(G$14&gt;=Calculations!$D5,MIN(MOD(MONTH(Output!G$14)-MONTH(Calculations!$D5),12),MOD(MONTH(Output!G$14)-MONTH(Calculations!$G5),12))&lt;=Inputs!$K8),Calculations!$P5/Calculations!$R5/(Inputs!$K8+1)*(1+MIN(MOD(MONTH(Output!G$14)-MONTH(Calculations!$D5),12),MOD(MONTH(Output!G$14)-MONTH(Calculations!$G5),12))*Calculations!$O5),0),Calculations!$P5*Calculations!AF5*(1-Calculations!$Q5)+IF(MONTH(G$14)=1,Calculations!$P5*Calculations!$Q5,0))</f>
        <v>0</v>
      </c>
      <c r="H16" s="39" t="str">
        <f>IF(Calculations!$R5&lt;&gt;0,IF(AND(H$14&gt;=Calculations!$D5,MIN(MOD(MONTH(Output!H$14)-MONTH(Calculations!$D5),12),MOD(MONTH(Output!H$14)-MONTH(Calculations!$G5),12))&lt;=Inputs!$K8),Calculations!$P5/Calculations!$R5/(Inputs!$K8+1)*(1+MIN(MOD(MONTH(Output!H$14)-MONTH(Calculations!$D5),12),MOD(MONTH(Output!H$14)-MONTH(Calculations!$G5),12))*Calculations!$O5),0),Calculations!$P5*Calculations!AG5*(1-Calculations!$Q5)+IF(MONTH(H$14)=1,Calculations!$P5*Calculations!$Q5,0))</f>
        <v>0</v>
      </c>
      <c r="I16" s="39" t="str">
        <f>IF(Calculations!$R5&lt;&gt;0,IF(AND(I$14&gt;=Calculations!$D5,MIN(MOD(MONTH(Output!I$14)-MONTH(Calculations!$D5),12),MOD(MONTH(Output!I$14)-MONTH(Calculations!$G5),12))&lt;=Inputs!$K8),Calculations!$P5/Calculations!$R5/(Inputs!$K8+1)*(1+MIN(MOD(MONTH(Output!I$14)-MONTH(Calculations!$D5),12),MOD(MONTH(Output!I$14)-MONTH(Calculations!$G5),12))*Calculations!$O5),0),Calculations!$P5*Calculations!AH5*(1-Calculations!$Q5)+IF(MONTH(I$14)=1,Calculations!$P5*Calculations!$Q5,0))</f>
        <v>0</v>
      </c>
      <c r="J16" s="39" t="str">
        <f>IF(Calculations!$R5&lt;&gt;0,IF(AND(J$14&gt;=Calculations!$D5,MIN(MOD(MONTH(Output!J$14)-MONTH(Calculations!$D5),12),MOD(MONTH(Output!J$14)-MONTH(Calculations!$G5),12))&lt;=Inputs!$K8),Calculations!$P5/Calculations!$R5/(Inputs!$K8+1)*(1+MIN(MOD(MONTH(Output!J$14)-MONTH(Calculations!$D5),12),MOD(MONTH(Output!J$14)-MONTH(Calculations!$G5),12))*Calculations!$O5),0),Calculations!$P5*Calculations!AI5*(1-Calculations!$Q5)+IF(MONTH(J$14)=1,Calculations!$P5*Calculations!$Q5,0))</f>
        <v>0</v>
      </c>
      <c r="K16" s="39" t="str">
        <f>IF(Calculations!$R5&lt;&gt;0,IF(AND(K$14&gt;=Calculations!$D5,MIN(MOD(MONTH(Output!K$14)-MONTH(Calculations!$D5),12),MOD(MONTH(Output!K$14)-MONTH(Calculations!$G5),12))&lt;=Inputs!$K8),Calculations!$P5/Calculations!$R5/(Inputs!$K8+1)*(1+MIN(MOD(MONTH(Output!K$14)-MONTH(Calculations!$D5),12),MOD(MONTH(Output!K$14)-MONTH(Calculations!$G5),12))*Calculations!$O5),0),Calculations!$P5*Calculations!AJ5*(1-Calculations!$Q5)+IF(MONTH(K$14)=1,Calculations!$P5*Calculations!$Q5,0))</f>
        <v>0</v>
      </c>
      <c r="L16" s="39" t="str">
        <f>IF(Calculations!$R5&lt;&gt;0,IF(AND(L$14&gt;=Calculations!$D5,MIN(MOD(MONTH(Output!L$14)-MONTH(Calculations!$D5),12),MOD(MONTH(Output!L$14)-MONTH(Calculations!$G5),12))&lt;=Inputs!$K8),Calculations!$P5/Calculations!$R5/(Inputs!$K8+1)*(1+MIN(MOD(MONTH(Output!L$14)-MONTH(Calculations!$D5),12),MOD(MONTH(Output!L$14)-MONTH(Calculations!$G5),12))*Calculations!$O5),0),Calculations!$P5*Calculations!AK5*(1-Calculations!$Q5)+IF(MONTH(L$14)=1,Calculations!$P5*Calculations!$Q5,0))</f>
        <v>0</v>
      </c>
      <c r="M16" s="39" t="str">
        <f>IF(Calculations!$R5&lt;&gt;0,IF(AND(M$14&gt;=Calculations!$D5,MIN(MOD(MONTH(Output!M$14)-MONTH(Calculations!$D5),12),MOD(MONTH(Output!M$14)-MONTH(Calculations!$G5),12))&lt;=Inputs!$K8),Calculations!$P5/Calculations!$R5/(Inputs!$K8+1)*(1+MIN(MOD(MONTH(Output!M$14)-MONTH(Calculations!$D5),12),MOD(MONTH(Output!M$14)-MONTH(Calculations!$G5),12))*Calculations!$O5),0),Calculations!$P5*Calculations!AL5*(1-Calculations!$Q5)+IF(MONTH(M$14)=1,Calculations!$P5*Calculations!$Q5,0))</f>
        <v>0</v>
      </c>
      <c r="N16" s="39" t="str">
        <f>IF(Calculations!$R5&lt;&gt;0,IF(AND(N$14&gt;=Calculations!$D5,MIN(MOD(MONTH(Output!N$14)-MONTH(Calculations!$D5),12),MOD(MONTH(Output!N$14)-MONTH(Calculations!$G5),12))&lt;=Inputs!$K8),Calculations!$P5/Calculations!$R5/(Inputs!$K8+1)*(1+MIN(MOD(MONTH(Output!N$14)-MONTH(Calculations!$D5),12),MOD(MONTH(Output!N$14)-MONTH(Calculations!$G5),12))*Calculations!$O5),0),Calculations!$P5*Calculations!AM5*(1-Calculations!$Q5)+IF(MONTH(N$14)=1,Calculations!$P5*Calculations!$Q5,0))</f>
        <v>0</v>
      </c>
      <c r="O16" s="39" t="str">
        <f>IF(Calculations!$R5&lt;&gt;0,IF(AND(O$14&gt;=Calculations!$D5,MIN(MOD(MONTH(Output!O$14)-MONTH(Calculations!$D5),12),MOD(MONTH(Output!O$14)-MONTH(Calculations!$G5),12))&lt;=Inputs!$K8),Calculations!$P5/Calculations!$R5/(Inputs!$K8+1)*(1+MIN(MOD(MONTH(Output!O$14)-MONTH(Calculations!$D5),12),MOD(MONTH(Output!O$14)-MONTH(Calculations!$G5),12))*Calculations!$O5),0),Calculations!$P5*Calculations!AN5*(1-Calculations!$Q5)+IF(MONTH(O$14)=1,Calculations!$P5*Calculations!$Q5,0))</f>
        <v>0</v>
      </c>
      <c r="P16" s="39" t="str">
        <f>IF(Calculations!$R5&lt;&gt;0,IF(AND(P$14&gt;=Calculations!$D5,MIN(MOD(MONTH(Output!P$14)-MONTH(Calculations!$D5),12),MOD(MONTH(Output!P$14)-MONTH(Calculations!$G5),12))&lt;=Inputs!$K8),Calculations!$P5/Calculations!$R5/(Inputs!$K8+1)*(1+MIN(MOD(MONTH(Output!P$14)-MONTH(Calculations!$D5),12),MOD(MONTH(Output!P$14)-MONTH(Calculations!$G5),12))*Calculations!$O5),0),Calculations!$P5*Calculations!AO5*(1-Calculations!$Q5)+IF(MONTH(P$14)=1,Calculations!$P5*Calculations!$Q5,0))</f>
        <v>0</v>
      </c>
      <c r="Q16" s="39" t="str">
        <f>IF(Calculations!$R5&lt;&gt;0,IF(AND(Q$14&gt;=Calculations!$D5,MIN(MOD(MONTH(Output!Q$14)-MONTH(Calculations!$D5),12),MOD(MONTH(Output!Q$14)-MONTH(Calculations!$G5),12))&lt;=Inputs!$K8),Calculations!$P5/Calculations!$R5/(Inputs!$K8+1)*(1+MIN(MOD(MONTH(Output!Q$14)-MONTH(Calculations!$D5),12),MOD(MONTH(Output!Q$14)-MONTH(Calculations!$G5),12))*Calculations!$O5),0),Calculations!$P5*Calculations!AP5*(1-Calculations!$Q5)+IF(MONTH(Q$14)=1,Calculations!$P5*Calculations!$Q5,0))</f>
        <v>0</v>
      </c>
      <c r="R16" s="39" t="str">
        <f>IF(Calculations!$R5&lt;&gt;0,IF(AND(R$14&gt;=Calculations!$D5,MIN(MOD(MONTH(Output!R$14)-MONTH(Calculations!$D5),12),MOD(MONTH(Output!R$14)-MONTH(Calculations!$G5),12))&lt;=Inputs!$K8),Calculations!$P5/Calculations!$R5/(Inputs!$K8+1)*(1+MIN(MOD(MONTH(Output!R$14)-MONTH(Calculations!$D5),12),MOD(MONTH(Output!R$14)-MONTH(Calculations!$G5),12))*Calculations!$O5),0),Calculations!$P5*Calculations!AQ5*(1-Calculations!$Q5)+IF(MONTH(R$14)=1,Calculations!$P5*Calculations!$Q5,0))</f>
        <v>0</v>
      </c>
      <c r="S16" s="39" t="str">
        <f>IF(Calculations!$R5&lt;&gt;0,IF(AND(S$14&gt;=Calculations!$D5,MIN(MOD(MONTH(Output!S$14)-MONTH(Calculations!$D5),12),MOD(MONTH(Output!S$14)-MONTH(Calculations!$G5),12))&lt;=Inputs!$K8),Calculations!$P5/Calculations!$R5/(Inputs!$K8+1)*(1+MIN(MOD(MONTH(Output!S$14)-MONTH(Calculations!$D5),12),MOD(MONTH(Output!S$14)-MONTH(Calculations!$G5),12))*Calculations!$O5),0),Calculations!$P5*Calculations!AR5*(1-Calculations!$Q5)+IF(MONTH(S$14)=1,Calculations!$P5*Calculations!$Q5,0))</f>
        <v>0</v>
      </c>
      <c r="T16" s="39" t="str">
        <f>SUM(IF($B$7:$S$7+$B$8:$S$8&gt;0,B16:S16,0))</f>
        <v>0</v>
      </c>
      <c r="U16" s="39" t="str">
        <f>SUM(B16:S16)</f>
        <v>0</v>
      </c>
      <c r="V16" s="46"/>
      <c r="W16" s="46"/>
    </row>
    <row r="17" spans="1:23">
      <c r="A17" t="str">
        <f>IF(Inputs!A9="","",IF(Inputs!A9=Parameters!$A$18,Inputs!$D$15,Inputs!A9))</f>
        <v>0</v>
      </c>
      <c r="B17" s="39" t="str">
        <f>IF(Calculations!$R6&lt;&gt;0,IF(AND(B$14&gt;=Calculations!$D6,MIN(MOD(MONTH(Output!B$14)-MONTH(Calculations!$D6),12),MOD(MONTH(Output!B$14)-MONTH(Calculations!$G6),12))&lt;=Inputs!$K9),Calculations!$P6/Calculations!$R6/(Inputs!$K9+1)*(1+MIN(MOD(MONTH(Output!B$14)-MONTH(Calculations!$D6),12),MOD(MONTH(Output!B$14)-MONTH(Calculations!$G6),12))*Calculations!$O6),0),Calculations!$P6*Calculations!AA6*(1-Calculations!$Q6)+IF(MONTH(B$14)=1,Calculations!$P6*Calculations!$Q6,0))</f>
        <v>0</v>
      </c>
      <c r="C17" s="39" t="str">
        <f>IF(Calculations!$R6&lt;&gt;0,IF(AND(C$14&gt;=Calculations!$D6,MIN(MOD(MONTH(Output!C$14)-MONTH(Calculations!$D6),12),MOD(MONTH(Output!C$14)-MONTH(Calculations!$G6),12))&lt;=Inputs!$K9),Calculations!$P6/Calculations!$R6/(Inputs!$K9+1)*(1+MIN(MOD(MONTH(Output!C$14)-MONTH(Calculations!$D6),12),MOD(MONTH(Output!C$14)-MONTH(Calculations!$G6),12))*Calculations!$O6),0),Calculations!$P6*Calculations!AB6*(1-Calculations!$Q6)+IF(MONTH(C$14)=1,Calculations!$P6*Calculations!$Q6,0))</f>
        <v>0</v>
      </c>
      <c r="D17" s="39" t="str">
        <f>IF(Calculations!$R6&lt;&gt;0,IF(AND(D$14&gt;=Calculations!$D6,MIN(MOD(MONTH(Output!D$14)-MONTH(Calculations!$D6),12),MOD(MONTH(Output!D$14)-MONTH(Calculations!$G6),12))&lt;=Inputs!$K9),Calculations!$P6/Calculations!$R6/(Inputs!$K9+1)*(1+MIN(MOD(MONTH(Output!D$14)-MONTH(Calculations!$D6),12),MOD(MONTH(Output!D$14)-MONTH(Calculations!$G6),12))*Calculations!$O6),0),Calculations!$P6*Calculations!AC6*(1-Calculations!$Q6)+IF(MONTH(D$14)=1,Calculations!$P6*Calculations!$Q6,0))</f>
        <v>0</v>
      </c>
      <c r="E17" s="39" t="str">
        <f>IF(Calculations!$R6&lt;&gt;0,IF(AND(E$14&gt;=Calculations!$D6,MIN(MOD(MONTH(Output!E$14)-MONTH(Calculations!$D6),12),MOD(MONTH(Output!E$14)-MONTH(Calculations!$G6),12))&lt;=Inputs!$K9),Calculations!$P6/Calculations!$R6/(Inputs!$K9+1)*(1+MIN(MOD(MONTH(Output!E$14)-MONTH(Calculations!$D6),12),MOD(MONTH(Output!E$14)-MONTH(Calculations!$G6),12))*Calculations!$O6),0),Calculations!$P6*Calculations!AD6*(1-Calculations!$Q6)+IF(MONTH(E$14)=1,Calculations!$P6*Calculations!$Q6,0))</f>
        <v>0</v>
      </c>
      <c r="F17" s="39" t="str">
        <f>IF(Calculations!$R6&lt;&gt;0,IF(AND(F$14&gt;=Calculations!$D6,MIN(MOD(MONTH(Output!F$14)-MONTH(Calculations!$D6),12),MOD(MONTH(Output!F$14)-MONTH(Calculations!$G6),12))&lt;=Inputs!$K9),Calculations!$P6/Calculations!$R6/(Inputs!$K9+1)*(1+MIN(MOD(MONTH(Output!F$14)-MONTH(Calculations!$D6),12),MOD(MONTH(Output!F$14)-MONTH(Calculations!$G6),12))*Calculations!$O6),0),Calculations!$P6*Calculations!AE6*(1-Calculations!$Q6)+IF(MONTH(F$14)=1,Calculations!$P6*Calculations!$Q6,0))</f>
        <v>0</v>
      </c>
      <c r="G17" s="39" t="str">
        <f>IF(Calculations!$R6&lt;&gt;0,IF(AND(G$14&gt;=Calculations!$D6,MIN(MOD(MONTH(Output!G$14)-MONTH(Calculations!$D6),12),MOD(MONTH(Output!G$14)-MONTH(Calculations!$G6),12))&lt;=Inputs!$K9),Calculations!$P6/Calculations!$R6/(Inputs!$K9+1)*(1+MIN(MOD(MONTH(Output!G$14)-MONTH(Calculations!$D6),12),MOD(MONTH(Output!G$14)-MONTH(Calculations!$G6),12))*Calculations!$O6),0),Calculations!$P6*Calculations!AF6*(1-Calculations!$Q6)+IF(MONTH(G$14)=1,Calculations!$P6*Calculations!$Q6,0))</f>
        <v>0</v>
      </c>
      <c r="H17" s="39" t="str">
        <f>IF(Calculations!$R6&lt;&gt;0,IF(AND(H$14&gt;=Calculations!$D6,MIN(MOD(MONTH(Output!H$14)-MONTH(Calculations!$D6),12),MOD(MONTH(Output!H$14)-MONTH(Calculations!$G6),12))&lt;=Inputs!$K9),Calculations!$P6/Calculations!$R6/(Inputs!$K9+1)*(1+MIN(MOD(MONTH(Output!H$14)-MONTH(Calculations!$D6),12),MOD(MONTH(Output!H$14)-MONTH(Calculations!$G6),12))*Calculations!$O6),0),Calculations!$P6*Calculations!AG6*(1-Calculations!$Q6)+IF(MONTH(H$14)=1,Calculations!$P6*Calculations!$Q6,0))</f>
        <v>0</v>
      </c>
      <c r="I17" s="39" t="str">
        <f>IF(Calculations!$R6&lt;&gt;0,IF(AND(I$14&gt;=Calculations!$D6,MIN(MOD(MONTH(Output!I$14)-MONTH(Calculations!$D6),12),MOD(MONTH(Output!I$14)-MONTH(Calculations!$G6),12))&lt;=Inputs!$K9),Calculations!$P6/Calculations!$R6/(Inputs!$K9+1)*(1+MIN(MOD(MONTH(Output!I$14)-MONTH(Calculations!$D6),12),MOD(MONTH(Output!I$14)-MONTH(Calculations!$G6),12))*Calculations!$O6),0),Calculations!$P6*Calculations!AH6*(1-Calculations!$Q6)+IF(MONTH(I$14)=1,Calculations!$P6*Calculations!$Q6,0))</f>
        <v>0</v>
      </c>
      <c r="J17" s="39" t="str">
        <f>IF(Calculations!$R6&lt;&gt;0,IF(AND(J$14&gt;=Calculations!$D6,MIN(MOD(MONTH(Output!J$14)-MONTH(Calculations!$D6),12),MOD(MONTH(Output!J$14)-MONTH(Calculations!$G6),12))&lt;=Inputs!$K9),Calculations!$P6/Calculations!$R6/(Inputs!$K9+1)*(1+MIN(MOD(MONTH(Output!J$14)-MONTH(Calculations!$D6),12),MOD(MONTH(Output!J$14)-MONTH(Calculations!$G6),12))*Calculations!$O6),0),Calculations!$P6*Calculations!AI6*(1-Calculations!$Q6)+IF(MONTH(J$14)=1,Calculations!$P6*Calculations!$Q6,0))</f>
        <v>0</v>
      </c>
      <c r="K17" s="39" t="str">
        <f>IF(Calculations!$R6&lt;&gt;0,IF(AND(K$14&gt;=Calculations!$D6,MIN(MOD(MONTH(Output!K$14)-MONTH(Calculations!$D6),12),MOD(MONTH(Output!K$14)-MONTH(Calculations!$G6),12))&lt;=Inputs!$K9),Calculations!$P6/Calculations!$R6/(Inputs!$K9+1)*(1+MIN(MOD(MONTH(Output!K$14)-MONTH(Calculations!$D6),12),MOD(MONTH(Output!K$14)-MONTH(Calculations!$G6),12))*Calculations!$O6),0),Calculations!$P6*Calculations!AJ6*(1-Calculations!$Q6)+IF(MONTH(K$14)=1,Calculations!$P6*Calculations!$Q6,0))</f>
        <v>0</v>
      </c>
      <c r="L17" s="39" t="str">
        <f>IF(Calculations!$R6&lt;&gt;0,IF(AND(L$14&gt;=Calculations!$D6,MIN(MOD(MONTH(Output!L$14)-MONTH(Calculations!$D6),12),MOD(MONTH(Output!L$14)-MONTH(Calculations!$G6),12))&lt;=Inputs!$K9),Calculations!$P6/Calculations!$R6/(Inputs!$K9+1)*(1+MIN(MOD(MONTH(Output!L$14)-MONTH(Calculations!$D6),12),MOD(MONTH(Output!L$14)-MONTH(Calculations!$G6),12))*Calculations!$O6),0),Calculations!$P6*Calculations!AK6*(1-Calculations!$Q6)+IF(MONTH(L$14)=1,Calculations!$P6*Calculations!$Q6,0))</f>
        <v>0</v>
      </c>
      <c r="M17" s="39" t="str">
        <f>IF(Calculations!$R6&lt;&gt;0,IF(AND(M$14&gt;=Calculations!$D6,MIN(MOD(MONTH(Output!M$14)-MONTH(Calculations!$D6),12),MOD(MONTH(Output!M$14)-MONTH(Calculations!$G6),12))&lt;=Inputs!$K9),Calculations!$P6/Calculations!$R6/(Inputs!$K9+1)*(1+MIN(MOD(MONTH(Output!M$14)-MONTH(Calculations!$D6),12),MOD(MONTH(Output!M$14)-MONTH(Calculations!$G6),12))*Calculations!$O6),0),Calculations!$P6*Calculations!AL6*(1-Calculations!$Q6)+IF(MONTH(M$14)=1,Calculations!$P6*Calculations!$Q6,0))</f>
        <v>0</v>
      </c>
      <c r="N17" s="39" t="str">
        <f>IF(Calculations!$R6&lt;&gt;0,IF(AND(N$14&gt;=Calculations!$D6,MIN(MOD(MONTH(Output!N$14)-MONTH(Calculations!$D6),12),MOD(MONTH(Output!N$14)-MONTH(Calculations!$G6),12))&lt;=Inputs!$K9),Calculations!$P6/Calculations!$R6/(Inputs!$K9+1)*(1+MIN(MOD(MONTH(Output!N$14)-MONTH(Calculations!$D6),12),MOD(MONTH(Output!N$14)-MONTH(Calculations!$G6),12))*Calculations!$O6),0),Calculations!$P6*Calculations!AM6*(1-Calculations!$Q6)+IF(MONTH(N$14)=1,Calculations!$P6*Calculations!$Q6,0))</f>
        <v>0</v>
      </c>
      <c r="O17" s="39" t="str">
        <f>IF(Calculations!$R6&lt;&gt;0,IF(AND(O$14&gt;=Calculations!$D6,MIN(MOD(MONTH(Output!O$14)-MONTH(Calculations!$D6),12),MOD(MONTH(Output!O$14)-MONTH(Calculations!$G6),12))&lt;=Inputs!$K9),Calculations!$P6/Calculations!$R6/(Inputs!$K9+1)*(1+MIN(MOD(MONTH(Output!O$14)-MONTH(Calculations!$D6),12),MOD(MONTH(Output!O$14)-MONTH(Calculations!$G6),12))*Calculations!$O6),0),Calculations!$P6*Calculations!AN6*(1-Calculations!$Q6)+IF(MONTH(O$14)=1,Calculations!$P6*Calculations!$Q6,0))</f>
        <v>0</v>
      </c>
      <c r="P17" s="39" t="str">
        <f>IF(Calculations!$R6&lt;&gt;0,IF(AND(P$14&gt;=Calculations!$D6,MIN(MOD(MONTH(Output!P$14)-MONTH(Calculations!$D6),12),MOD(MONTH(Output!P$14)-MONTH(Calculations!$G6),12))&lt;=Inputs!$K9),Calculations!$P6/Calculations!$R6/(Inputs!$K9+1)*(1+MIN(MOD(MONTH(Output!P$14)-MONTH(Calculations!$D6),12),MOD(MONTH(Output!P$14)-MONTH(Calculations!$G6),12))*Calculations!$O6),0),Calculations!$P6*Calculations!AO6*(1-Calculations!$Q6)+IF(MONTH(P$14)=1,Calculations!$P6*Calculations!$Q6,0))</f>
        <v>0</v>
      </c>
      <c r="Q17" s="39" t="str">
        <f>IF(Calculations!$R6&lt;&gt;0,IF(AND(Q$14&gt;=Calculations!$D6,MIN(MOD(MONTH(Output!Q$14)-MONTH(Calculations!$D6),12),MOD(MONTH(Output!Q$14)-MONTH(Calculations!$G6),12))&lt;=Inputs!$K9),Calculations!$P6/Calculations!$R6/(Inputs!$K9+1)*(1+MIN(MOD(MONTH(Output!Q$14)-MONTH(Calculations!$D6),12),MOD(MONTH(Output!Q$14)-MONTH(Calculations!$G6),12))*Calculations!$O6),0),Calculations!$P6*Calculations!AP6*(1-Calculations!$Q6)+IF(MONTH(Q$14)=1,Calculations!$P6*Calculations!$Q6,0))</f>
        <v>0</v>
      </c>
      <c r="R17" s="39" t="str">
        <f>IF(Calculations!$R6&lt;&gt;0,IF(AND(R$14&gt;=Calculations!$D6,MIN(MOD(MONTH(Output!R$14)-MONTH(Calculations!$D6),12),MOD(MONTH(Output!R$14)-MONTH(Calculations!$G6),12))&lt;=Inputs!$K9),Calculations!$P6/Calculations!$R6/(Inputs!$K9+1)*(1+MIN(MOD(MONTH(Output!R$14)-MONTH(Calculations!$D6),12),MOD(MONTH(Output!R$14)-MONTH(Calculations!$G6),12))*Calculations!$O6),0),Calculations!$P6*Calculations!AQ6*(1-Calculations!$Q6)+IF(MONTH(R$14)=1,Calculations!$P6*Calculations!$Q6,0))</f>
        <v>0</v>
      </c>
      <c r="S17" s="39" t="str">
        <f>IF(Calculations!$R6&lt;&gt;0,IF(AND(S$14&gt;=Calculations!$D6,MIN(MOD(MONTH(Output!S$14)-MONTH(Calculations!$D6),12),MOD(MONTH(Output!S$14)-MONTH(Calculations!$G6),12))&lt;=Inputs!$K9),Calculations!$P6/Calculations!$R6/(Inputs!$K9+1)*(1+MIN(MOD(MONTH(Output!S$14)-MONTH(Calculations!$D6),12),MOD(MONTH(Output!S$14)-MONTH(Calculations!$G6),12))*Calculations!$O6),0),Calculations!$P6*Calculations!AR6*(1-Calculations!$Q6)+IF(MONTH(S$14)=1,Calculations!$P6*Calculations!$Q6,0))</f>
        <v>0</v>
      </c>
      <c r="T17" s="39" t="str">
        <f>SUM(IF($B$7:$S$7+$B$8:$S$8&gt;0,B17:S17,0))</f>
        <v>0</v>
      </c>
      <c r="U17" s="39" t="str">
        <f>SUM(B17:S17)</f>
        <v>0</v>
      </c>
    </row>
    <row r="18" spans="1:23">
      <c r="A18" t="str">
        <f>IF(Inputs!A10="","",IF(Inputs!A10=Parameters!$A$18,Inputs!$D$15,Inputs!A10))</f>
        <v>0</v>
      </c>
      <c r="B18" s="39" t="str">
        <f>IF(Calculations!$R7&lt;&gt;0,IF(AND(B$14&gt;=Calculations!$D7,MIN(MOD(MONTH(Output!B$14)-MONTH(Calculations!$D7),12),MOD(MONTH(Output!B$14)-MONTH(Calculations!$G7),12))&lt;=Inputs!$K10),Calculations!$P7/Calculations!$R7/(Inputs!$K10+1)*(1+MIN(MOD(MONTH(Output!B$14)-MONTH(Calculations!$D7),12),MOD(MONTH(Output!B$14)-MONTH(Calculations!$G7),12))*Calculations!$O7),0),Calculations!$P7*Calculations!AA7*(1-Calculations!$Q7)+IF(MONTH(B$14)=1,Calculations!$P7*Calculations!$Q7,0))</f>
        <v>0</v>
      </c>
      <c r="C18" s="39" t="str">
        <f>IF(Calculations!$R7&lt;&gt;0,IF(AND(C$14&gt;=Calculations!$D7,MIN(MOD(MONTH(Output!C$14)-MONTH(Calculations!$D7),12),MOD(MONTH(Output!C$14)-MONTH(Calculations!$G7),12))&lt;=Inputs!$K10),Calculations!$P7/Calculations!$R7/(Inputs!$K10+1)*(1+MIN(MOD(MONTH(Output!C$14)-MONTH(Calculations!$D7),12),MOD(MONTH(Output!C$14)-MONTH(Calculations!$G7),12))*Calculations!$O7),0),Calculations!$P7*Calculations!AB7*(1-Calculations!$Q7)+IF(MONTH(C$14)=1,Calculations!$P7*Calculations!$Q7,0))</f>
        <v>0</v>
      </c>
      <c r="D18" s="39" t="str">
        <f>IF(Calculations!$R7&lt;&gt;0,IF(AND(D$14&gt;=Calculations!$D7,MIN(MOD(MONTH(Output!D$14)-MONTH(Calculations!$D7),12),MOD(MONTH(Output!D$14)-MONTH(Calculations!$G7),12))&lt;=Inputs!$K10),Calculations!$P7/Calculations!$R7/(Inputs!$K10+1)*(1+MIN(MOD(MONTH(Output!D$14)-MONTH(Calculations!$D7),12),MOD(MONTH(Output!D$14)-MONTH(Calculations!$G7),12))*Calculations!$O7),0),Calculations!$P7*Calculations!AC7*(1-Calculations!$Q7)+IF(MONTH(D$14)=1,Calculations!$P7*Calculations!$Q7,0))</f>
        <v>0</v>
      </c>
      <c r="E18" s="39" t="str">
        <f>IF(Calculations!$R7&lt;&gt;0,IF(AND(E$14&gt;=Calculations!$D7,MIN(MOD(MONTH(Output!E$14)-MONTH(Calculations!$D7),12),MOD(MONTH(Output!E$14)-MONTH(Calculations!$G7),12))&lt;=Inputs!$K10),Calculations!$P7/Calculations!$R7/(Inputs!$K10+1)*(1+MIN(MOD(MONTH(Output!E$14)-MONTH(Calculations!$D7),12),MOD(MONTH(Output!E$14)-MONTH(Calculations!$G7),12))*Calculations!$O7),0),Calculations!$P7*Calculations!AD7*(1-Calculations!$Q7)+IF(MONTH(E$14)=1,Calculations!$P7*Calculations!$Q7,0))</f>
        <v>0</v>
      </c>
      <c r="F18" s="39" t="str">
        <f>IF(Calculations!$R7&lt;&gt;0,IF(AND(F$14&gt;=Calculations!$D7,MIN(MOD(MONTH(Output!F$14)-MONTH(Calculations!$D7),12),MOD(MONTH(Output!F$14)-MONTH(Calculations!$G7),12))&lt;=Inputs!$K10),Calculations!$P7/Calculations!$R7/(Inputs!$K10+1)*(1+MIN(MOD(MONTH(Output!F$14)-MONTH(Calculations!$D7),12),MOD(MONTH(Output!F$14)-MONTH(Calculations!$G7),12))*Calculations!$O7),0),Calculations!$P7*Calculations!AE7*(1-Calculations!$Q7)+IF(MONTH(F$14)=1,Calculations!$P7*Calculations!$Q7,0))</f>
        <v>0</v>
      </c>
      <c r="G18" s="39" t="str">
        <f>IF(Calculations!$R7&lt;&gt;0,IF(AND(G$14&gt;=Calculations!$D7,MIN(MOD(MONTH(Output!G$14)-MONTH(Calculations!$D7),12),MOD(MONTH(Output!G$14)-MONTH(Calculations!$G7),12))&lt;=Inputs!$K10),Calculations!$P7/Calculations!$R7/(Inputs!$K10+1)*(1+MIN(MOD(MONTH(Output!G$14)-MONTH(Calculations!$D7),12),MOD(MONTH(Output!G$14)-MONTH(Calculations!$G7),12))*Calculations!$O7),0),Calculations!$P7*Calculations!AF7*(1-Calculations!$Q7)+IF(MONTH(G$14)=1,Calculations!$P7*Calculations!$Q7,0))</f>
        <v>0</v>
      </c>
      <c r="H18" s="39" t="str">
        <f>IF(Calculations!$R7&lt;&gt;0,IF(AND(H$14&gt;=Calculations!$D7,MIN(MOD(MONTH(Output!H$14)-MONTH(Calculations!$D7),12),MOD(MONTH(Output!H$14)-MONTH(Calculations!$G7),12))&lt;=Inputs!$K10),Calculations!$P7/Calculations!$R7/(Inputs!$K10+1)*(1+MIN(MOD(MONTH(Output!H$14)-MONTH(Calculations!$D7),12),MOD(MONTH(Output!H$14)-MONTH(Calculations!$G7),12))*Calculations!$O7),0),Calculations!$P7*Calculations!AG7*(1-Calculations!$Q7)+IF(MONTH(H$14)=1,Calculations!$P7*Calculations!$Q7,0))</f>
        <v>0</v>
      </c>
      <c r="I18" s="39" t="str">
        <f>IF(Calculations!$R7&lt;&gt;0,IF(AND(I$14&gt;=Calculations!$D7,MIN(MOD(MONTH(Output!I$14)-MONTH(Calculations!$D7),12),MOD(MONTH(Output!I$14)-MONTH(Calculations!$G7),12))&lt;=Inputs!$K10),Calculations!$P7/Calculations!$R7/(Inputs!$K10+1)*(1+MIN(MOD(MONTH(Output!I$14)-MONTH(Calculations!$D7),12),MOD(MONTH(Output!I$14)-MONTH(Calculations!$G7),12))*Calculations!$O7),0),Calculations!$P7*Calculations!AH7*(1-Calculations!$Q7)+IF(MONTH(I$14)=1,Calculations!$P7*Calculations!$Q7,0))</f>
        <v>0</v>
      </c>
      <c r="J18" s="39" t="str">
        <f>IF(Calculations!$R7&lt;&gt;0,IF(AND(J$14&gt;=Calculations!$D7,MIN(MOD(MONTH(Output!J$14)-MONTH(Calculations!$D7),12),MOD(MONTH(Output!J$14)-MONTH(Calculations!$G7),12))&lt;=Inputs!$K10),Calculations!$P7/Calculations!$R7/(Inputs!$K10+1)*(1+MIN(MOD(MONTH(Output!J$14)-MONTH(Calculations!$D7),12),MOD(MONTH(Output!J$14)-MONTH(Calculations!$G7),12))*Calculations!$O7),0),Calculations!$P7*Calculations!AI7*(1-Calculations!$Q7)+IF(MONTH(J$14)=1,Calculations!$P7*Calculations!$Q7,0))</f>
        <v>0</v>
      </c>
      <c r="K18" s="39" t="str">
        <f>IF(Calculations!$R7&lt;&gt;0,IF(AND(K$14&gt;=Calculations!$D7,MIN(MOD(MONTH(Output!K$14)-MONTH(Calculations!$D7),12),MOD(MONTH(Output!K$14)-MONTH(Calculations!$G7),12))&lt;=Inputs!$K10),Calculations!$P7/Calculations!$R7/(Inputs!$K10+1)*(1+MIN(MOD(MONTH(Output!K$14)-MONTH(Calculations!$D7),12),MOD(MONTH(Output!K$14)-MONTH(Calculations!$G7),12))*Calculations!$O7),0),Calculations!$P7*Calculations!AJ7*(1-Calculations!$Q7)+IF(MONTH(K$14)=1,Calculations!$P7*Calculations!$Q7,0))</f>
        <v>0</v>
      </c>
      <c r="L18" s="39" t="str">
        <f>IF(Calculations!$R7&lt;&gt;0,IF(AND(L$14&gt;=Calculations!$D7,MIN(MOD(MONTH(Output!L$14)-MONTH(Calculations!$D7),12),MOD(MONTH(Output!L$14)-MONTH(Calculations!$G7),12))&lt;=Inputs!$K10),Calculations!$P7/Calculations!$R7/(Inputs!$K10+1)*(1+MIN(MOD(MONTH(Output!L$14)-MONTH(Calculations!$D7),12),MOD(MONTH(Output!L$14)-MONTH(Calculations!$G7),12))*Calculations!$O7),0),Calculations!$P7*Calculations!AK7*(1-Calculations!$Q7)+IF(MONTH(L$14)=1,Calculations!$P7*Calculations!$Q7,0))</f>
        <v>0</v>
      </c>
      <c r="M18" s="39" t="str">
        <f>IF(Calculations!$R7&lt;&gt;0,IF(AND(M$14&gt;=Calculations!$D7,MIN(MOD(MONTH(Output!M$14)-MONTH(Calculations!$D7),12),MOD(MONTH(Output!M$14)-MONTH(Calculations!$G7),12))&lt;=Inputs!$K10),Calculations!$P7/Calculations!$R7/(Inputs!$K10+1)*(1+MIN(MOD(MONTH(Output!M$14)-MONTH(Calculations!$D7),12),MOD(MONTH(Output!M$14)-MONTH(Calculations!$G7),12))*Calculations!$O7),0),Calculations!$P7*Calculations!AL7*(1-Calculations!$Q7)+IF(MONTH(M$14)=1,Calculations!$P7*Calculations!$Q7,0))</f>
        <v>0</v>
      </c>
      <c r="N18" s="39" t="str">
        <f>IF(Calculations!$R7&lt;&gt;0,IF(AND(N$14&gt;=Calculations!$D7,MIN(MOD(MONTH(Output!N$14)-MONTH(Calculations!$D7),12),MOD(MONTH(Output!N$14)-MONTH(Calculations!$G7),12))&lt;=Inputs!$K10),Calculations!$P7/Calculations!$R7/(Inputs!$K10+1)*(1+MIN(MOD(MONTH(Output!N$14)-MONTH(Calculations!$D7),12),MOD(MONTH(Output!N$14)-MONTH(Calculations!$G7),12))*Calculations!$O7),0),Calculations!$P7*Calculations!AM7*(1-Calculations!$Q7)+IF(MONTH(N$14)=1,Calculations!$P7*Calculations!$Q7,0))</f>
        <v>0</v>
      </c>
      <c r="O18" s="39" t="str">
        <f>IF(Calculations!$R7&lt;&gt;0,IF(AND(O$14&gt;=Calculations!$D7,MIN(MOD(MONTH(Output!O$14)-MONTH(Calculations!$D7),12),MOD(MONTH(Output!O$14)-MONTH(Calculations!$G7),12))&lt;=Inputs!$K10),Calculations!$P7/Calculations!$R7/(Inputs!$K10+1)*(1+MIN(MOD(MONTH(Output!O$14)-MONTH(Calculations!$D7),12),MOD(MONTH(Output!O$14)-MONTH(Calculations!$G7),12))*Calculations!$O7),0),Calculations!$P7*Calculations!AN7*(1-Calculations!$Q7)+IF(MONTH(O$14)=1,Calculations!$P7*Calculations!$Q7,0))</f>
        <v>0</v>
      </c>
      <c r="P18" s="39" t="str">
        <f>IF(Calculations!$R7&lt;&gt;0,IF(AND(P$14&gt;=Calculations!$D7,MIN(MOD(MONTH(Output!P$14)-MONTH(Calculations!$D7),12),MOD(MONTH(Output!P$14)-MONTH(Calculations!$G7),12))&lt;=Inputs!$K10),Calculations!$P7/Calculations!$R7/(Inputs!$K10+1)*(1+MIN(MOD(MONTH(Output!P$14)-MONTH(Calculations!$D7),12),MOD(MONTH(Output!P$14)-MONTH(Calculations!$G7),12))*Calculations!$O7),0),Calculations!$P7*Calculations!AO7*(1-Calculations!$Q7)+IF(MONTH(P$14)=1,Calculations!$P7*Calculations!$Q7,0))</f>
        <v>0</v>
      </c>
      <c r="Q18" s="39" t="str">
        <f>IF(Calculations!$R7&lt;&gt;0,IF(AND(Q$14&gt;=Calculations!$D7,MIN(MOD(MONTH(Output!Q$14)-MONTH(Calculations!$D7),12),MOD(MONTH(Output!Q$14)-MONTH(Calculations!$G7),12))&lt;=Inputs!$K10),Calculations!$P7/Calculations!$R7/(Inputs!$K10+1)*(1+MIN(MOD(MONTH(Output!Q$14)-MONTH(Calculations!$D7),12),MOD(MONTH(Output!Q$14)-MONTH(Calculations!$G7),12))*Calculations!$O7),0),Calculations!$P7*Calculations!AP7*(1-Calculations!$Q7)+IF(MONTH(Q$14)=1,Calculations!$P7*Calculations!$Q7,0))</f>
        <v>0</v>
      </c>
      <c r="R18" s="39" t="str">
        <f>IF(Calculations!$R7&lt;&gt;0,IF(AND(R$14&gt;=Calculations!$D7,MIN(MOD(MONTH(Output!R$14)-MONTH(Calculations!$D7),12),MOD(MONTH(Output!R$14)-MONTH(Calculations!$G7),12))&lt;=Inputs!$K10),Calculations!$P7/Calculations!$R7/(Inputs!$K10+1)*(1+MIN(MOD(MONTH(Output!R$14)-MONTH(Calculations!$D7),12),MOD(MONTH(Output!R$14)-MONTH(Calculations!$G7),12))*Calculations!$O7),0),Calculations!$P7*Calculations!AQ7*(1-Calculations!$Q7)+IF(MONTH(R$14)=1,Calculations!$P7*Calculations!$Q7,0))</f>
        <v>0</v>
      </c>
      <c r="S18" s="39" t="str">
        <f>IF(Calculations!$R7&lt;&gt;0,IF(AND(S$14&gt;=Calculations!$D7,MIN(MOD(MONTH(Output!S$14)-MONTH(Calculations!$D7),12),MOD(MONTH(Output!S$14)-MONTH(Calculations!$G7),12))&lt;=Inputs!$K10),Calculations!$P7/Calculations!$R7/(Inputs!$K10+1)*(1+MIN(MOD(MONTH(Output!S$14)-MONTH(Calculations!$D7),12),MOD(MONTH(Output!S$14)-MONTH(Calculations!$G7),12))*Calculations!$O7),0),Calculations!$P7*Calculations!AR7*(1-Calculations!$Q7)+IF(MONTH(S$14)=1,Calculations!$P7*Calculations!$Q7,0))</f>
        <v>0</v>
      </c>
      <c r="T18" s="39" t="str">
        <f>SUM(IF($B$7:$S$7+$B$8:$S$8&gt;0,B18:S18,0))</f>
        <v>0</v>
      </c>
      <c r="U18" s="39" t="str">
        <f>SUM(B18:S18)</f>
        <v>0</v>
      </c>
    </row>
    <row r="19" spans="1:23">
      <c r="A19" s="46" t="str">
        <f>IF(Inputs!A11="","",IF(Inputs!A11=Parameters!$A$18,Inputs!$D$15,Inputs!A11))</f>
        <v>0</v>
      </c>
      <c r="B19" s="39" t="str">
        <f>IF(Calculations!$R8&lt;&gt;0,IF(AND(B$14&gt;=Calculations!$D8,MIN(MOD(MONTH(Output!B$14)-MONTH(Calculations!$D8),12),MOD(MONTH(Output!B$14)-MONTH(Calculations!$G8),12))&lt;=Inputs!$K11),Calculations!$P8/Calculations!$R8/(Inputs!$K11+1)*(1+MIN(MOD(MONTH(Output!B$14)-MONTH(Calculations!$D8),12),MOD(MONTH(Output!B$14)-MONTH(Calculations!$G8),12))*Calculations!$O8),0),Calculations!$P8*Calculations!AA8*(1-Calculations!$Q8)+IF(MONTH(B$14)=1,Calculations!$P8*Calculations!$Q8,0))</f>
        <v>0</v>
      </c>
      <c r="C19" s="39" t="str">
        <f>IF(Calculations!$R8&lt;&gt;0,IF(AND(C$14&gt;=Calculations!$D8,MIN(MOD(MONTH(Output!C$14)-MONTH(Calculations!$D8),12),MOD(MONTH(Output!C$14)-MONTH(Calculations!$G8),12))&lt;=Inputs!$K11),Calculations!$P8/Calculations!$R8/(Inputs!$K11+1)*(1+MIN(MOD(MONTH(Output!C$14)-MONTH(Calculations!$D8),12),MOD(MONTH(Output!C$14)-MONTH(Calculations!$G8),12))*Calculations!$O8),0),Calculations!$P8*Calculations!AB8*(1-Calculations!$Q8)+IF(MONTH(C$14)=1,Calculations!$P8*Calculations!$Q8,0))</f>
        <v>0</v>
      </c>
      <c r="D19" s="39" t="str">
        <f>IF(Calculations!$R8&lt;&gt;0,IF(AND(D$14&gt;=Calculations!$D8,MIN(MOD(MONTH(Output!D$14)-MONTH(Calculations!$D8),12),MOD(MONTH(Output!D$14)-MONTH(Calculations!$G8),12))&lt;=Inputs!$K11),Calculations!$P8/Calculations!$R8/(Inputs!$K11+1)*(1+MIN(MOD(MONTH(Output!D$14)-MONTH(Calculations!$D8),12),MOD(MONTH(Output!D$14)-MONTH(Calculations!$G8),12))*Calculations!$O8),0),Calculations!$P8*Calculations!AC8*(1-Calculations!$Q8)+IF(MONTH(D$14)=1,Calculations!$P8*Calculations!$Q8,0))</f>
        <v>0</v>
      </c>
      <c r="E19" s="39" t="str">
        <f>IF(Calculations!$R8&lt;&gt;0,IF(AND(E$14&gt;=Calculations!$D8,MIN(MOD(MONTH(Output!E$14)-MONTH(Calculations!$D8),12),MOD(MONTH(Output!E$14)-MONTH(Calculations!$G8),12))&lt;=Inputs!$K11),Calculations!$P8/Calculations!$R8/(Inputs!$K11+1)*(1+MIN(MOD(MONTH(Output!E$14)-MONTH(Calculations!$D8),12),MOD(MONTH(Output!E$14)-MONTH(Calculations!$G8),12))*Calculations!$O8),0),Calculations!$P8*Calculations!AD8*(1-Calculations!$Q8)+IF(MONTH(E$14)=1,Calculations!$P8*Calculations!$Q8,0))</f>
        <v>0</v>
      </c>
      <c r="F19" s="39" t="str">
        <f>IF(Calculations!$R8&lt;&gt;0,IF(AND(F$14&gt;=Calculations!$D8,MIN(MOD(MONTH(Output!F$14)-MONTH(Calculations!$D8),12),MOD(MONTH(Output!F$14)-MONTH(Calculations!$G8),12))&lt;=Inputs!$K11),Calculations!$P8/Calculations!$R8/(Inputs!$K11+1)*(1+MIN(MOD(MONTH(Output!F$14)-MONTH(Calculations!$D8),12),MOD(MONTH(Output!F$14)-MONTH(Calculations!$G8),12))*Calculations!$O8),0),Calculations!$P8*Calculations!AE8*(1-Calculations!$Q8)+IF(MONTH(F$14)=1,Calculations!$P8*Calculations!$Q8,0))</f>
        <v>0</v>
      </c>
      <c r="G19" s="39" t="str">
        <f>IF(Calculations!$R8&lt;&gt;0,IF(AND(G$14&gt;=Calculations!$D8,MIN(MOD(MONTH(Output!G$14)-MONTH(Calculations!$D8),12),MOD(MONTH(Output!G$14)-MONTH(Calculations!$G8),12))&lt;=Inputs!$K11),Calculations!$P8/Calculations!$R8/(Inputs!$K11+1)*(1+MIN(MOD(MONTH(Output!G$14)-MONTH(Calculations!$D8),12),MOD(MONTH(Output!G$14)-MONTH(Calculations!$G8),12))*Calculations!$O8),0),Calculations!$P8*Calculations!AF8*(1-Calculations!$Q8)+IF(MONTH(G$14)=1,Calculations!$P8*Calculations!$Q8,0))</f>
        <v>0</v>
      </c>
      <c r="H19" s="39" t="str">
        <f>IF(Calculations!$R8&lt;&gt;0,IF(AND(H$14&gt;=Calculations!$D8,MIN(MOD(MONTH(Output!H$14)-MONTH(Calculations!$D8),12),MOD(MONTH(Output!H$14)-MONTH(Calculations!$G8),12))&lt;=Inputs!$K11),Calculations!$P8/Calculations!$R8/(Inputs!$K11+1)*(1+MIN(MOD(MONTH(Output!H$14)-MONTH(Calculations!$D8),12),MOD(MONTH(Output!H$14)-MONTH(Calculations!$G8),12))*Calculations!$O8),0),Calculations!$P8*Calculations!AG8*(1-Calculations!$Q8)+IF(MONTH(H$14)=1,Calculations!$P8*Calculations!$Q8,0))</f>
        <v>0</v>
      </c>
      <c r="I19" s="39" t="str">
        <f>IF(Calculations!$R8&lt;&gt;0,IF(AND(I$14&gt;=Calculations!$D8,MIN(MOD(MONTH(Output!I$14)-MONTH(Calculations!$D8),12),MOD(MONTH(Output!I$14)-MONTH(Calculations!$G8),12))&lt;=Inputs!$K11),Calculations!$P8/Calculations!$R8/(Inputs!$K11+1)*(1+MIN(MOD(MONTH(Output!I$14)-MONTH(Calculations!$D8),12),MOD(MONTH(Output!I$14)-MONTH(Calculations!$G8),12))*Calculations!$O8),0),Calculations!$P8*Calculations!AH8*(1-Calculations!$Q8)+IF(MONTH(I$14)=1,Calculations!$P8*Calculations!$Q8,0))</f>
        <v>0</v>
      </c>
      <c r="J19" s="39" t="str">
        <f>IF(Calculations!$R8&lt;&gt;0,IF(AND(J$14&gt;=Calculations!$D8,MIN(MOD(MONTH(Output!J$14)-MONTH(Calculations!$D8),12),MOD(MONTH(Output!J$14)-MONTH(Calculations!$G8),12))&lt;=Inputs!$K11),Calculations!$P8/Calculations!$R8/(Inputs!$K11+1)*(1+MIN(MOD(MONTH(Output!J$14)-MONTH(Calculations!$D8),12),MOD(MONTH(Output!J$14)-MONTH(Calculations!$G8),12))*Calculations!$O8),0),Calculations!$P8*Calculations!AI8*(1-Calculations!$Q8)+IF(MONTH(J$14)=1,Calculations!$P8*Calculations!$Q8,0))</f>
        <v>0</v>
      </c>
      <c r="K19" s="39" t="str">
        <f>IF(Calculations!$R8&lt;&gt;0,IF(AND(K$14&gt;=Calculations!$D8,MIN(MOD(MONTH(Output!K$14)-MONTH(Calculations!$D8),12),MOD(MONTH(Output!K$14)-MONTH(Calculations!$G8),12))&lt;=Inputs!$K11),Calculations!$P8/Calculations!$R8/(Inputs!$K11+1)*(1+MIN(MOD(MONTH(Output!K$14)-MONTH(Calculations!$D8),12),MOD(MONTH(Output!K$14)-MONTH(Calculations!$G8),12))*Calculations!$O8),0),Calculations!$P8*Calculations!AJ8*(1-Calculations!$Q8)+IF(MONTH(K$14)=1,Calculations!$P8*Calculations!$Q8,0))</f>
        <v>0</v>
      </c>
      <c r="L19" s="39" t="str">
        <f>IF(Calculations!$R8&lt;&gt;0,IF(AND(L$14&gt;=Calculations!$D8,MIN(MOD(MONTH(Output!L$14)-MONTH(Calculations!$D8),12),MOD(MONTH(Output!L$14)-MONTH(Calculations!$G8),12))&lt;=Inputs!$K11),Calculations!$P8/Calculations!$R8/(Inputs!$K11+1)*(1+MIN(MOD(MONTH(Output!L$14)-MONTH(Calculations!$D8),12),MOD(MONTH(Output!L$14)-MONTH(Calculations!$G8),12))*Calculations!$O8),0),Calculations!$P8*Calculations!AK8*(1-Calculations!$Q8)+IF(MONTH(L$14)=1,Calculations!$P8*Calculations!$Q8,0))</f>
        <v>0</v>
      </c>
      <c r="M19" s="39" t="str">
        <f>IF(Calculations!$R8&lt;&gt;0,IF(AND(M$14&gt;=Calculations!$D8,MIN(MOD(MONTH(Output!M$14)-MONTH(Calculations!$D8),12),MOD(MONTH(Output!M$14)-MONTH(Calculations!$G8),12))&lt;=Inputs!$K11),Calculations!$P8/Calculations!$R8/(Inputs!$K11+1)*(1+MIN(MOD(MONTH(Output!M$14)-MONTH(Calculations!$D8),12),MOD(MONTH(Output!M$14)-MONTH(Calculations!$G8),12))*Calculations!$O8),0),Calculations!$P8*Calculations!AL8*(1-Calculations!$Q8)+IF(MONTH(M$14)=1,Calculations!$P8*Calculations!$Q8,0))</f>
        <v>0</v>
      </c>
      <c r="N19" s="39" t="str">
        <f>IF(Calculations!$R8&lt;&gt;0,IF(AND(N$14&gt;=Calculations!$D8,MIN(MOD(MONTH(Output!N$14)-MONTH(Calculations!$D8),12),MOD(MONTH(Output!N$14)-MONTH(Calculations!$G8),12))&lt;=Inputs!$K11),Calculations!$P8/Calculations!$R8/(Inputs!$K11+1)*(1+MIN(MOD(MONTH(Output!N$14)-MONTH(Calculations!$D8),12),MOD(MONTH(Output!N$14)-MONTH(Calculations!$G8),12))*Calculations!$O8),0),Calculations!$P8*Calculations!AM8*(1-Calculations!$Q8)+IF(MONTH(N$14)=1,Calculations!$P8*Calculations!$Q8,0))</f>
        <v>0</v>
      </c>
      <c r="O19" s="39" t="str">
        <f>IF(Calculations!$R8&lt;&gt;0,IF(AND(O$14&gt;=Calculations!$D8,MIN(MOD(MONTH(Output!O$14)-MONTH(Calculations!$D8),12),MOD(MONTH(Output!O$14)-MONTH(Calculations!$G8),12))&lt;=Inputs!$K11),Calculations!$P8/Calculations!$R8/(Inputs!$K11+1)*(1+MIN(MOD(MONTH(Output!O$14)-MONTH(Calculations!$D8),12),MOD(MONTH(Output!O$14)-MONTH(Calculations!$G8),12))*Calculations!$O8),0),Calculations!$P8*Calculations!AN8*(1-Calculations!$Q8)+IF(MONTH(O$14)=1,Calculations!$P8*Calculations!$Q8,0))</f>
        <v>0</v>
      </c>
      <c r="P19" s="39" t="str">
        <f>IF(Calculations!$R8&lt;&gt;0,IF(AND(P$14&gt;=Calculations!$D8,MIN(MOD(MONTH(Output!P$14)-MONTH(Calculations!$D8),12),MOD(MONTH(Output!P$14)-MONTH(Calculations!$G8),12))&lt;=Inputs!$K11),Calculations!$P8/Calculations!$R8/(Inputs!$K11+1)*(1+MIN(MOD(MONTH(Output!P$14)-MONTH(Calculations!$D8),12),MOD(MONTH(Output!P$14)-MONTH(Calculations!$G8),12))*Calculations!$O8),0),Calculations!$P8*Calculations!AO8*(1-Calculations!$Q8)+IF(MONTH(P$14)=1,Calculations!$P8*Calculations!$Q8,0))</f>
        <v>0</v>
      </c>
      <c r="Q19" s="39" t="str">
        <f>IF(Calculations!$R8&lt;&gt;0,IF(AND(Q$14&gt;=Calculations!$D8,MIN(MOD(MONTH(Output!Q$14)-MONTH(Calculations!$D8),12),MOD(MONTH(Output!Q$14)-MONTH(Calculations!$G8),12))&lt;=Inputs!$K11),Calculations!$P8/Calculations!$R8/(Inputs!$K11+1)*(1+MIN(MOD(MONTH(Output!Q$14)-MONTH(Calculations!$D8),12),MOD(MONTH(Output!Q$14)-MONTH(Calculations!$G8),12))*Calculations!$O8),0),Calculations!$P8*Calculations!AP8*(1-Calculations!$Q8)+IF(MONTH(Q$14)=1,Calculations!$P8*Calculations!$Q8,0))</f>
        <v>0</v>
      </c>
      <c r="R19" s="39" t="str">
        <f>IF(Calculations!$R8&lt;&gt;0,IF(AND(R$14&gt;=Calculations!$D8,MIN(MOD(MONTH(Output!R$14)-MONTH(Calculations!$D8),12),MOD(MONTH(Output!R$14)-MONTH(Calculations!$G8),12))&lt;=Inputs!$K11),Calculations!$P8/Calculations!$R8/(Inputs!$K11+1)*(1+MIN(MOD(MONTH(Output!R$14)-MONTH(Calculations!$D8),12),MOD(MONTH(Output!R$14)-MONTH(Calculations!$G8),12))*Calculations!$O8),0),Calculations!$P8*Calculations!AQ8*(1-Calculations!$Q8)+IF(MONTH(R$14)=1,Calculations!$P8*Calculations!$Q8,0))</f>
        <v>0</v>
      </c>
      <c r="S19" s="39" t="str">
        <f>IF(Calculations!$R8&lt;&gt;0,IF(AND(S$14&gt;=Calculations!$D8,MIN(MOD(MONTH(Output!S$14)-MONTH(Calculations!$D8),12),MOD(MONTH(Output!S$14)-MONTH(Calculations!$G8),12))&lt;=Inputs!$K11),Calculations!$P8/Calculations!$R8/(Inputs!$K11+1)*(1+MIN(MOD(MONTH(Output!S$14)-MONTH(Calculations!$D8),12),MOD(MONTH(Output!S$14)-MONTH(Calculations!$G8),12))*Calculations!$O8),0),Calculations!$P8*Calculations!AR8*(1-Calculations!$Q8)+IF(MONTH(S$14)=1,Calculations!$P8*Calculations!$Q8,0))</f>
        <v>0</v>
      </c>
      <c r="T19" s="39" t="str">
        <f>SUM(IF($B$7:$S$7+$B$8:$S$8&gt;0,B19:S19,0))</f>
        <v>0</v>
      </c>
      <c r="U19" s="63" t="str">
        <f>SUM(B19:S19)</f>
        <v>0</v>
      </c>
    </row>
    <row r="20" spans="1:23" customHeight="1" ht="4.5">
      <c r="A20" s="4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 t="str">
        <f>SUM(IF($B$7:$S$7+$B$8:$S$8&gt;0,B20:S20,0))</f>
        <v>0</v>
      </c>
      <c r="U20" s="63"/>
    </row>
    <row r="21" spans="1:23">
      <c r="A21" s="46" t="str">
        <f>IF(Inputs!A25="","",IF(Inputs!A25=Parameters!$A$30,Inputs!$D$31,Inputs!A25))</f>
        <v>0</v>
      </c>
      <c r="B21" s="39" t="str">
        <f>IFERROR(Calculations!$M14/12,"")</f>
        <v>0</v>
      </c>
      <c r="C21" s="39" t="str">
        <f>IFERROR(Calculations!$M14/12,"")</f>
        <v>0</v>
      </c>
      <c r="D21" s="39" t="str">
        <f>IFERROR(Calculations!$M14/12,"")</f>
        <v>0</v>
      </c>
      <c r="E21" s="39" t="str">
        <f>IFERROR(Calculations!$M14/12,"")</f>
        <v>0</v>
      </c>
      <c r="F21" s="39" t="str">
        <f>IFERROR(Calculations!$M14/12,"")</f>
        <v>0</v>
      </c>
      <c r="G21" s="39" t="str">
        <f>IFERROR(Calculations!$M14/12,"")</f>
        <v>0</v>
      </c>
      <c r="H21" s="39" t="str">
        <f>IFERROR(Calculations!$M14/12,"")</f>
        <v>0</v>
      </c>
      <c r="I21" s="39" t="str">
        <f>IFERROR(Calculations!$M14/12,"")</f>
        <v>0</v>
      </c>
      <c r="J21" s="39" t="str">
        <f>IFERROR(Calculations!$M14/12,"")</f>
        <v>0</v>
      </c>
      <c r="K21" s="39" t="str">
        <f>IFERROR(Calculations!$M14/12,"")</f>
        <v>0</v>
      </c>
      <c r="L21" s="39" t="str">
        <f>IFERROR(Calculations!$M14/12,"")</f>
        <v>0</v>
      </c>
      <c r="M21" s="39" t="str">
        <f>IFERROR(Calculations!$M14/12,"")</f>
        <v>0</v>
      </c>
      <c r="N21" s="39" t="str">
        <f>IFERROR(Calculations!$M14/12,"")</f>
        <v>0</v>
      </c>
      <c r="O21" s="39" t="str">
        <f>IFERROR(Calculations!$M14/12,"")</f>
        <v>0</v>
      </c>
      <c r="P21" s="39" t="str">
        <f>IFERROR(Calculations!$M14/12,"")</f>
        <v>0</v>
      </c>
      <c r="Q21" s="39" t="str">
        <f>IFERROR(Calculations!$M14/12,"")</f>
        <v>0</v>
      </c>
      <c r="R21" s="39" t="str">
        <f>IFERROR(Calculations!$M14/12,"")</f>
        <v>0</v>
      </c>
      <c r="S21" s="39" t="str">
        <f>IFERROR(Calculations!$M14/12,"")</f>
        <v>0</v>
      </c>
      <c r="T21" s="39" t="str">
        <f>SUM(IF($B$7:$S$7+$B$8:$S$8&gt;0,B21:S21,0))</f>
        <v>0</v>
      </c>
      <c r="U21" s="63" t="str">
        <f>SUM(B21:S21)</f>
        <v>0</v>
      </c>
    </row>
    <row r="22" spans="1:23">
      <c r="A22" s="46" t="str">
        <f>IF(Inputs!A26="","",IF(Inputs!A26=Parameters!$A$30,Inputs!$D$31,Inputs!A26))</f>
        <v>0</v>
      </c>
      <c r="B22" s="39" t="str">
        <f>IFERROR(Calculations!$M15/12,"")</f>
        <v>0</v>
      </c>
      <c r="C22" s="39" t="str">
        <f>IFERROR(Calculations!$M15/12,"")</f>
        <v>0</v>
      </c>
      <c r="D22" s="39" t="str">
        <f>IFERROR(Calculations!$M15/12,"")</f>
        <v>0</v>
      </c>
      <c r="E22" s="39" t="str">
        <f>IFERROR(Calculations!$M15/12,"")</f>
        <v>0</v>
      </c>
      <c r="F22" s="39" t="str">
        <f>IFERROR(Calculations!$M15/12,"")</f>
        <v>0</v>
      </c>
      <c r="G22" s="39" t="str">
        <f>IFERROR(Calculations!$M15/12,"")</f>
        <v>0</v>
      </c>
      <c r="H22" s="39" t="str">
        <f>IFERROR(Calculations!$M15/12,"")</f>
        <v>0</v>
      </c>
      <c r="I22" s="39" t="str">
        <f>IFERROR(Calculations!$M15/12,"")</f>
        <v>0</v>
      </c>
      <c r="J22" s="39" t="str">
        <f>IFERROR(Calculations!$M15/12,"")</f>
        <v>0</v>
      </c>
      <c r="K22" s="39" t="str">
        <f>IFERROR(Calculations!$M15/12,"")</f>
        <v>0</v>
      </c>
      <c r="L22" s="39" t="str">
        <f>IFERROR(Calculations!$M15/12,"")</f>
        <v>0</v>
      </c>
      <c r="M22" s="39" t="str">
        <f>IFERROR(Calculations!$M15/12,"")</f>
        <v>0</v>
      </c>
      <c r="N22" s="39" t="str">
        <f>IFERROR(Calculations!$M15/12,"")</f>
        <v>0</v>
      </c>
      <c r="O22" s="39" t="str">
        <f>IFERROR(Calculations!$M15/12,"")</f>
        <v>0</v>
      </c>
      <c r="P22" s="39" t="str">
        <f>IFERROR(Calculations!$M15/12,"")</f>
        <v>0</v>
      </c>
      <c r="Q22" s="39" t="str">
        <f>IFERROR(Calculations!$M15/12,"")</f>
        <v>0</v>
      </c>
      <c r="R22" s="39" t="str">
        <f>IFERROR(Calculations!$M15/12,"")</f>
        <v>0</v>
      </c>
      <c r="S22" s="39" t="str">
        <f>IFERROR(Calculations!$M15/12,"")</f>
        <v>0</v>
      </c>
      <c r="T22" s="39" t="str">
        <f>SUM(IF($B$7:$S$7+$B$8:$S$8&gt;0,B22:S22,0))</f>
        <v>0</v>
      </c>
      <c r="U22" s="63" t="str">
        <f>SUM(B22:S22)</f>
        <v>0</v>
      </c>
    </row>
    <row r="23" spans="1:23">
      <c r="A23" s="46" t="str">
        <f>IF(Inputs!A27="","",IF(Inputs!A27=Parameters!$A$30,Inputs!$D$31,Inputs!A27))</f>
        <v>0</v>
      </c>
      <c r="B23" s="39" t="str">
        <f>IFERROR(Calculations!$M16/12,"")</f>
        <v>0</v>
      </c>
      <c r="C23" s="39" t="str">
        <f>IFERROR(Calculations!$M16/12,"")</f>
        <v>0</v>
      </c>
      <c r="D23" s="39" t="str">
        <f>IFERROR(Calculations!$M16/12,"")</f>
        <v>0</v>
      </c>
      <c r="E23" s="39" t="str">
        <f>IFERROR(Calculations!$M16/12,"")</f>
        <v>0</v>
      </c>
      <c r="F23" s="39" t="str">
        <f>IFERROR(Calculations!$M16/12,"")</f>
        <v>0</v>
      </c>
      <c r="G23" s="39" t="str">
        <f>IFERROR(Calculations!$M16/12,"")</f>
        <v>0</v>
      </c>
      <c r="H23" s="39" t="str">
        <f>IFERROR(Calculations!$M16/12,"")</f>
        <v>0</v>
      </c>
      <c r="I23" s="39" t="str">
        <f>IFERROR(Calculations!$M16/12,"")</f>
        <v>0</v>
      </c>
      <c r="J23" s="39" t="str">
        <f>IFERROR(Calculations!$M16/12,"")</f>
        <v>0</v>
      </c>
      <c r="K23" s="39" t="str">
        <f>IFERROR(Calculations!$M16/12,"")</f>
        <v>0</v>
      </c>
      <c r="L23" s="39" t="str">
        <f>IFERROR(Calculations!$M16/12,"")</f>
        <v>0</v>
      </c>
      <c r="M23" s="39" t="str">
        <f>IFERROR(Calculations!$M16/12,"")</f>
        <v>0</v>
      </c>
      <c r="N23" s="39" t="str">
        <f>IFERROR(Calculations!$M16/12,"")</f>
        <v>0</v>
      </c>
      <c r="O23" s="39" t="str">
        <f>IFERROR(Calculations!$M16/12,"")</f>
        <v>0</v>
      </c>
      <c r="P23" s="39" t="str">
        <f>IFERROR(Calculations!$M16/12,"")</f>
        <v>0</v>
      </c>
      <c r="Q23" s="39" t="str">
        <f>IFERROR(Calculations!$M16/12,"")</f>
        <v>0</v>
      </c>
      <c r="R23" s="39" t="str">
        <f>IFERROR(Calculations!$M16/12,"")</f>
        <v>0</v>
      </c>
      <c r="S23" s="39" t="str">
        <f>IFERROR(Calculations!$M16/12,"")</f>
        <v>0</v>
      </c>
      <c r="T23" s="39" t="str">
        <f>SUM(IF($B$7:$S$7+$B$8:$S$8&gt;0,B23:S23,0))</f>
        <v>0</v>
      </c>
      <c r="U23" s="63" t="str">
        <f>SUM(B23:S23)</f>
        <v>0</v>
      </c>
    </row>
    <row r="24" spans="1:23">
      <c r="A24" s="46" t="str">
        <f>Calculations!C17</f>
        <v>0</v>
      </c>
      <c r="B24" s="39" t="str">
        <f>IFERROR(Calculations!$M17/12,"")</f>
        <v>0</v>
      </c>
      <c r="C24" s="39" t="str">
        <f>IFERROR(Calculations!$M17/12,"")</f>
        <v>0</v>
      </c>
      <c r="D24" s="39" t="str">
        <f>IFERROR(Calculations!$M17/12,"")</f>
        <v>0</v>
      </c>
      <c r="E24" s="39" t="str">
        <f>IFERROR(Calculations!$M17/12,"")</f>
        <v>0</v>
      </c>
      <c r="F24" s="39" t="str">
        <f>IFERROR(Calculations!$M17/12,"")</f>
        <v>0</v>
      </c>
      <c r="G24" s="39" t="str">
        <f>IFERROR(Calculations!$M17/12,"")</f>
        <v>0</v>
      </c>
      <c r="H24" s="39" t="str">
        <f>IFERROR(Calculations!$M17/12,"")</f>
        <v>0</v>
      </c>
      <c r="I24" s="39" t="str">
        <f>IFERROR(Calculations!$M17/12,"")</f>
        <v>0</v>
      </c>
      <c r="J24" s="39" t="str">
        <f>IFERROR(Calculations!$M17/12,"")</f>
        <v>0</v>
      </c>
      <c r="K24" s="39" t="str">
        <f>IFERROR(Calculations!$M17/12,"")</f>
        <v>0</v>
      </c>
      <c r="L24" s="39" t="str">
        <f>IFERROR(Calculations!$M17/12,"")</f>
        <v>0</v>
      </c>
      <c r="M24" s="39" t="str">
        <f>IFERROR(Calculations!$M17/12,"")</f>
        <v>0</v>
      </c>
      <c r="N24" s="39" t="str">
        <f>IFERROR(Calculations!$M17/12,"")</f>
        <v>0</v>
      </c>
      <c r="O24" s="39" t="str">
        <f>IFERROR(Calculations!$M17/12,"")</f>
        <v>0</v>
      </c>
      <c r="P24" s="39" t="str">
        <f>IFERROR(Calculations!$M17/12,"")</f>
        <v>0</v>
      </c>
      <c r="Q24" s="39" t="str">
        <f>IFERROR(Calculations!$M17/12,"")</f>
        <v>0</v>
      </c>
      <c r="R24" s="39" t="str">
        <f>IFERROR(Calculations!$M17/12,"")</f>
        <v>0</v>
      </c>
      <c r="S24" s="39" t="str">
        <f>IFERROR(Calculations!$M17/12,"")</f>
        <v>0</v>
      </c>
      <c r="T24" s="39" t="str">
        <f>SUM(IF($B$7:$S$7+$B$8:$S$8&gt;0,B24:S24,0))</f>
        <v>0</v>
      </c>
      <c r="U24" s="63" t="str">
        <f>SUM(B24:S24)</f>
        <v>0</v>
      </c>
    </row>
    <row r="25" spans="1:23" customHeight="1" ht="3.75">
      <c r="A25" s="4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 t="str">
        <f>SUM(IF($B$7:$S$7+$B$8:$S$8&gt;0,B25:S25,0))</f>
        <v>0</v>
      </c>
      <c r="U25" s="63"/>
    </row>
    <row r="26" spans="1:23" customHeight="1" ht="15.75">
      <c r="A26" s="21" t="s">
        <v>28</v>
      </c>
      <c r="B26" s="40" t="str">
        <f>Inputs!$B$43</f>
        <v>0</v>
      </c>
      <c r="C26" s="40" t="str">
        <f>Inputs!$B$43</f>
        <v>0</v>
      </c>
      <c r="D26" s="40" t="str">
        <f>Inputs!$B$43</f>
        <v>0</v>
      </c>
      <c r="E26" s="40" t="str">
        <f>Inputs!$B$43</f>
        <v>0</v>
      </c>
      <c r="F26" s="40" t="str">
        <f>Inputs!$B$43</f>
        <v>0</v>
      </c>
      <c r="G26" s="40" t="str">
        <f>Inputs!$B$43</f>
        <v>0</v>
      </c>
      <c r="H26" s="40" t="str">
        <f>Inputs!$B$43</f>
        <v>0</v>
      </c>
      <c r="I26" s="40" t="str">
        <f>Inputs!$B$43</f>
        <v>0</v>
      </c>
      <c r="J26" s="40" t="str">
        <f>Inputs!$B$43</f>
        <v>0</v>
      </c>
      <c r="K26" s="40" t="str">
        <f>Inputs!$B$43</f>
        <v>0</v>
      </c>
      <c r="L26" s="40" t="str">
        <f>Inputs!$B$43</f>
        <v>0</v>
      </c>
      <c r="M26" s="40" t="str">
        <f>Inputs!$B$43</f>
        <v>0</v>
      </c>
      <c r="N26" s="40" t="str">
        <f>Inputs!$B$43</f>
        <v>0</v>
      </c>
      <c r="O26" s="40" t="str">
        <f>Inputs!$B$43</f>
        <v>0</v>
      </c>
      <c r="P26" s="40" t="str">
        <f>Inputs!$B$43</f>
        <v>0</v>
      </c>
      <c r="Q26" s="40" t="str">
        <f>Inputs!$B$43</f>
        <v>0</v>
      </c>
      <c r="R26" s="40" t="str">
        <f>Inputs!$B$43</f>
        <v>0</v>
      </c>
      <c r="S26" s="40" t="str">
        <f>Inputs!$B$43</f>
        <v>0</v>
      </c>
      <c r="T26" s="40" t="str">
        <f>SUM(IF($B$7:$S$7+$B$8:$S$8&gt;0,B26:S26,0))</f>
        <v>0</v>
      </c>
      <c r="U26" s="40" t="str">
        <f>SUM(B26:S26)</f>
        <v>0</v>
      </c>
    </row>
    <row r="27" spans="1:23" customHeight="1" ht="15.75">
      <c r="A27" s="1" t="s">
        <v>29</v>
      </c>
      <c r="B27" s="22" t="str">
        <f>SUM(B15:B26)</f>
        <v>0</v>
      </c>
      <c r="C27" s="22" t="str">
        <f>SUM(C15:C26)</f>
        <v>0</v>
      </c>
      <c r="D27" s="22" t="str">
        <f>SUM(D15:D26)</f>
        <v>0</v>
      </c>
      <c r="E27" s="22" t="str">
        <f>SUM(E15:E26)</f>
        <v>0</v>
      </c>
      <c r="F27" s="22" t="str">
        <f>SUM(F15:F26)</f>
        <v>0</v>
      </c>
      <c r="G27" s="22" t="str">
        <f>SUM(G15:G26)</f>
        <v>0</v>
      </c>
      <c r="H27" s="22" t="str">
        <f>SUM(H15:H26)</f>
        <v>0</v>
      </c>
      <c r="I27" s="22" t="str">
        <f>SUM(I15:I26)</f>
        <v>0</v>
      </c>
      <c r="J27" s="22" t="str">
        <f>SUM(J15:J26)</f>
        <v>0</v>
      </c>
      <c r="K27" s="22" t="str">
        <f>SUM(K15:K26)</f>
        <v>0</v>
      </c>
      <c r="L27" s="22" t="str">
        <f>SUM(L15:L26)</f>
        <v>0</v>
      </c>
      <c r="M27" s="22" t="str">
        <f>SUM(M15:M26)</f>
        <v>0</v>
      </c>
      <c r="N27" s="22" t="str">
        <f>SUM(N15:N26)</f>
        <v>0</v>
      </c>
      <c r="O27" s="22" t="str">
        <f>SUM(O15:O26)</f>
        <v>0</v>
      </c>
      <c r="P27" s="22" t="str">
        <f>SUM(P15:P26)</f>
        <v>0</v>
      </c>
      <c r="Q27" s="22" t="str">
        <f>SUM(Q15:Q26)</f>
        <v>0</v>
      </c>
      <c r="R27" s="22" t="str">
        <f>SUM(R15:R26)</f>
        <v>0</v>
      </c>
      <c r="S27" s="22" t="str">
        <f>SUM(S15:S26)</f>
        <v>0</v>
      </c>
      <c r="T27" s="22" t="str">
        <f>SUM(IF($B$7:$S$7+$B$8:$S$8&gt;0,B27:S27,0))</f>
        <v>0</v>
      </c>
      <c r="U27" s="22" t="str">
        <f>SUM(U15:U26)</f>
        <v>0</v>
      </c>
      <c r="V27" s="1"/>
      <c r="W27" s="1"/>
    </row>
    <row r="28" spans="1:2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23">
      <c r="A30" s="4" t="s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5"/>
    </row>
    <row r="32" spans="1:23">
      <c r="A32" s="6" t="s">
        <v>27</v>
      </c>
      <c r="B32" s="20" t="str">
        <f>B14</f>
        <v>0</v>
      </c>
      <c r="C32" s="20" t="str">
        <f>C14</f>
        <v>0</v>
      </c>
      <c r="D32" s="20" t="str">
        <f>D14</f>
        <v>0</v>
      </c>
      <c r="E32" s="20" t="str">
        <f>E14</f>
        <v>0</v>
      </c>
      <c r="F32" s="20" t="str">
        <f>F14</f>
        <v>0</v>
      </c>
      <c r="G32" s="20" t="str">
        <f>G14</f>
        <v>0</v>
      </c>
      <c r="H32" s="20" t="str">
        <f>H14</f>
        <v>0</v>
      </c>
      <c r="I32" s="20" t="str">
        <f>I14</f>
        <v>0</v>
      </c>
      <c r="J32" s="20" t="str">
        <f>J14</f>
        <v>0</v>
      </c>
      <c r="K32" s="20" t="str">
        <f>K14</f>
        <v>0</v>
      </c>
      <c r="L32" s="20" t="str">
        <f>L14</f>
        <v>0</v>
      </c>
      <c r="M32" s="20" t="str">
        <f>M14</f>
        <v>0</v>
      </c>
      <c r="N32" s="20" t="str">
        <f>N14</f>
        <v>0</v>
      </c>
      <c r="O32" s="20" t="str">
        <f>O14</f>
        <v>0</v>
      </c>
      <c r="P32" s="20" t="str">
        <f>P14</f>
        <v>0</v>
      </c>
      <c r="Q32" s="20" t="str">
        <f>Q14</f>
        <v>0</v>
      </c>
      <c r="R32" s="20" t="str">
        <f>R14</f>
        <v>0</v>
      </c>
      <c r="S32" s="20" t="str">
        <f>S14</f>
        <v>0</v>
      </c>
      <c r="T32" s="64" t="str">
        <f>T14</f>
        <v>0</v>
      </c>
      <c r="U32" s="64" t="str">
        <f>U14</f>
        <v>0</v>
      </c>
    </row>
    <row r="33" spans="1:23">
      <c r="A33" t="s">
        <v>31</v>
      </c>
      <c r="B33" s="39" t="str">
        <f>SUM(IF(Calculations!$R4:$R8=0,Calculations!$U4:$U8/12,IF(Calculations!$B$4:$B$8=Output!B$32,Calculations!$U$4:$U$8,0)+IF(Calculations!$C$4:$C$8=Output!B$32,Calculations!$V$4:$V$8,0)+IF(Calculations!$E$4:$E$8=Output!B$32,Calculations!$U$4:$U$8,0)+IF(Calculations!$F$4:$F$8=Output!B$32,Calculations!$V$4:$V$8,0)))</f>
        <v>0</v>
      </c>
      <c r="C33" s="39" t="str">
        <f>SUM(IF(Calculations!$R4:$R8=0,Calculations!$U4:$U8/12,IF(Calculations!$B$4:$B$8=Output!C$32,Calculations!$U$4:$U$8,0)+IF(Calculations!$C$4:$C$8=Output!C$32,Calculations!$V$4:$V$8,0)+IF(Calculations!$E$4:$E$8=Output!C$32,Calculations!$U$4:$U$8,0)+IF(Calculations!$F$4:$F$8=Output!C$32,Calculations!$V$4:$V$8,0)))</f>
        <v>0</v>
      </c>
      <c r="D33" s="39" t="str">
        <f>SUM(IF(Calculations!$R4:$R8=0,Calculations!$U4:$U8/12,IF(Calculations!$B$4:$B$8=Output!D$32,Calculations!$U$4:$U$8,0)+IF(Calculations!$C$4:$C$8=Output!D$32,Calculations!$V$4:$V$8,0)+IF(Calculations!$E$4:$E$8=Output!D$32,Calculations!$U$4:$U$8,0)+IF(Calculations!$F$4:$F$8=Output!D$32,Calculations!$V$4:$V$8,0)))</f>
        <v>0</v>
      </c>
      <c r="E33" s="39" t="str">
        <f>SUM(IF(Calculations!$R4:$R8=0,Calculations!$U4:$U8/12,IF(Calculations!$B$4:$B$8=Output!E$32,Calculations!$U$4:$U$8,0)+IF(Calculations!$C$4:$C$8=Output!E$32,Calculations!$V$4:$V$8,0)+IF(Calculations!$E$4:$E$8=Output!E$32,Calculations!$U$4:$U$8,0)+IF(Calculations!$F$4:$F$8=Output!E$32,Calculations!$V$4:$V$8,0)))</f>
        <v>0</v>
      </c>
      <c r="F33" s="39" t="str">
        <f>SUM(IF(Calculations!$R4:$R8=0,Calculations!$U4:$U8/12,IF(Calculations!$B$4:$B$8=Output!F$32,Calculations!$U$4:$U$8,0)+IF(Calculations!$C$4:$C$8=Output!F$32,Calculations!$V$4:$V$8,0)+IF(Calculations!$E$4:$E$8=Output!F$32,Calculations!$U$4:$U$8,0)+IF(Calculations!$F$4:$F$8=Output!F$32,Calculations!$V$4:$V$8,0)))</f>
        <v>0</v>
      </c>
      <c r="G33" s="39" t="str">
        <f>SUM(IF(Calculations!$R4:$R8=0,Calculations!$U4:$U8/12,IF(Calculations!$B$4:$B$8=Output!G$32,Calculations!$U$4:$U$8,0)+IF(Calculations!$C$4:$C$8=Output!G$32,Calculations!$V$4:$V$8,0)+IF(Calculations!$E$4:$E$8=Output!G$32,Calculations!$U$4:$U$8,0)+IF(Calculations!$F$4:$F$8=Output!G$32,Calculations!$V$4:$V$8,0)))</f>
        <v>0</v>
      </c>
      <c r="H33" s="39" t="str">
        <f>SUM(IF(Calculations!$R4:$R8=0,Calculations!$U4:$U8/12,IF(Calculations!$B$4:$B$8=Output!H$32,Calculations!$U$4:$U$8,0)+IF(Calculations!$C$4:$C$8=Output!H$32,Calculations!$V$4:$V$8,0)+IF(Calculations!$E$4:$E$8=Output!H$32,Calculations!$U$4:$U$8,0)+IF(Calculations!$F$4:$F$8=Output!H$32,Calculations!$V$4:$V$8,0)))</f>
        <v>0</v>
      </c>
      <c r="I33" s="39" t="str">
        <f>SUM(IF(Calculations!$R4:$R8=0,Calculations!$U4:$U8/12,IF(Calculations!$B$4:$B$8=Output!I$32,Calculations!$U$4:$U$8,0)+IF(Calculations!$C$4:$C$8=Output!I$32,Calculations!$V$4:$V$8,0)+IF(Calculations!$E$4:$E$8=Output!I$32,Calculations!$U$4:$U$8,0)+IF(Calculations!$F$4:$F$8=Output!I$32,Calculations!$V$4:$V$8,0)))</f>
        <v>0</v>
      </c>
      <c r="J33" s="39" t="str">
        <f>SUM(IF(Calculations!$R4:$R8=0,Calculations!$U4:$U8/12,IF(Calculations!$B$4:$B$8=Output!J$32,Calculations!$U$4:$U$8,0)+IF(Calculations!$C$4:$C$8=Output!J$32,Calculations!$V$4:$V$8,0)+IF(Calculations!$E$4:$E$8=Output!J$32,Calculations!$U$4:$U$8,0)+IF(Calculations!$F$4:$F$8=Output!J$32,Calculations!$V$4:$V$8,0)))</f>
        <v>0</v>
      </c>
      <c r="K33" s="39" t="str">
        <f>SUM(IF(Calculations!$R4:$R8=0,Calculations!$U4:$U8/12,IF(Calculations!$B$4:$B$8=Output!K$32,Calculations!$U$4:$U$8,0)+IF(Calculations!$C$4:$C$8=Output!K$32,Calculations!$V$4:$V$8,0)+IF(Calculations!$E$4:$E$8=Output!K$32,Calculations!$U$4:$U$8,0)+IF(Calculations!$F$4:$F$8=Output!K$32,Calculations!$V$4:$V$8,0)))</f>
        <v>0</v>
      </c>
      <c r="L33" s="39" t="str">
        <f>SUM(IF(Calculations!$R4:$R8=0,Calculations!$U4:$U8/12,IF(Calculations!$B$4:$B$8=Output!L$32,Calculations!$U$4:$U$8,0)+IF(Calculations!$C$4:$C$8=Output!L$32,Calculations!$V$4:$V$8,0)+IF(Calculations!$E$4:$E$8=Output!L$32,Calculations!$U$4:$U$8,0)+IF(Calculations!$F$4:$F$8=Output!L$32,Calculations!$V$4:$V$8,0)))</f>
        <v>0</v>
      </c>
      <c r="M33" s="39" t="str">
        <f>SUM(IF(Calculations!$R4:$R8=0,Calculations!$U4:$U8/12,IF(Calculations!$B$4:$B$8=Output!M$32,Calculations!$U$4:$U$8,0)+IF(Calculations!$C$4:$C$8=Output!M$32,Calculations!$V$4:$V$8,0)+IF(Calculations!$E$4:$E$8=Output!M$32,Calculations!$U$4:$U$8,0)+IF(Calculations!$F$4:$F$8=Output!M$32,Calculations!$V$4:$V$8,0)))</f>
        <v>0</v>
      </c>
      <c r="N33" s="39" t="str">
        <f>SUM(IF(Calculations!$R4:$R8=0,Calculations!$U4:$U8/12,IF(Calculations!$B$4:$B$8=Output!N$32,Calculations!$U$4:$U$8,0)+IF(Calculations!$C$4:$C$8=Output!N$32,Calculations!$V$4:$V$8,0)+IF(Calculations!$E$4:$E$8=Output!N$32,Calculations!$U$4:$U$8,0)+IF(Calculations!$F$4:$F$8=Output!N$32,Calculations!$V$4:$V$8,0)))</f>
        <v>0</v>
      </c>
      <c r="O33" s="39" t="str">
        <f>SUM(IF(Calculations!$R4:$R8=0,Calculations!$U4:$U8/12,IF(Calculations!$B$4:$B$8=Output!O$32,Calculations!$U$4:$U$8,0)+IF(Calculations!$C$4:$C$8=Output!O$32,Calculations!$V$4:$V$8,0)+IF(Calculations!$E$4:$E$8=Output!O$32,Calculations!$U$4:$U$8,0)+IF(Calculations!$F$4:$F$8=Output!O$32,Calculations!$V$4:$V$8,0)))</f>
        <v>0</v>
      </c>
      <c r="P33" s="39" t="str">
        <f>SUM(IF(Calculations!$R4:$R8=0,Calculations!$U4:$U8/12,IF(Calculations!$B$4:$B$8=Output!P$32,Calculations!$U$4:$U$8,0)+IF(Calculations!$C$4:$C$8=Output!P$32,Calculations!$V$4:$V$8,0)+IF(Calculations!$E$4:$E$8=Output!P$32,Calculations!$U$4:$U$8,0)+IF(Calculations!$F$4:$F$8=Output!P$32,Calculations!$V$4:$V$8,0)))</f>
        <v>0</v>
      </c>
      <c r="Q33" s="39" t="str">
        <f>SUM(IF(Calculations!$R4:$R8=0,Calculations!$U4:$U8/12,IF(Calculations!$B$4:$B$8=Output!Q$32,Calculations!$U$4:$U$8,0)+IF(Calculations!$C$4:$C$8=Output!Q$32,Calculations!$V$4:$V$8,0)+IF(Calculations!$E$4:$E$8=Output!Q$32,Calculations!$U$4:$U$8,0)+IF(Calculations!$F$4:$F$8=Output!Q$32,Calculations!$V$4:$V$8,0)))</f>
        <v>0</v>
      </c>
      <c r="R33" s="39" t="str">
        <f>SUM(IF(Calculations!$R4:$R8=0,Calculations!$U4:$U8/12,IF(Calculations!$B$4:$B$8=Output!R$32,Calculations!$U$4:$U$8,0)+IF(Calculations!$C$4:$C$8=Output!R$32,Calculations!$V$4:$V$8,0)+IF(Calculations!$E$4:$E$8=Output!R$32,Calculations!$U$4:$U$8,0)+IF(Calculations!$F$4:$F$8=Output!R$32,Calculations!$V$4:$V$8,0)))</f>
        <v>0</v>
      </c>
      <c r="S33" s="39" t="str">
        <f>SUM(IF(Calculations!$R4:$R8=0,Calculations!$U4:$U8/12,IF(Calculations!$B$4:$B$8=Output!S$32,Calculations!$U$4:$U$8,0)+IF(Calculations!$C$4:$C$8=Output!S$32,Calculations!$V$4:$V$8,0)+IF(Calculations!$E$4:$E$8=Output!S$32,Calculations!$U$4:$U$8,0)+IF(Calculations!$F$4:$F$8=Output!S$32,Calculations!$V$4:$V$8,0)))</f>
        <v>0</v>
      </c>
      <c r="T33" s="39" t="str">
        <f>SUM(IF($B$7:$S$7+$B$8:$S$8&gt;0,B33:S33,0))</f>
        <v>0</v>
      </c>
      <c r="U33" s="39" t="str">
        <f>SUM(B33:S33)</f>
        <v>0</v>
      </c>
    </row>
    <row r="34" spans="1:23">
      <c r="A34" t="s">
        <v>32</v>
      </c>
      <c r="B34" s="39" t="str">
        <f>SUM(IF(Calculations!$B$4:$B$8=Output!B$32,Calculations!$T$4:$T$8,0)+IF(Calculations!$E$4:$E$8=Output!B$32,Calculations!$T$4:$T$8,0))</f>
        <v>0</v>
      </c>
      <c r="C34" s="39" t="str">
        <f>SUM(IF(Calculations!$B$4:$B$8=Output!C$32,Calculations!$T$4:$T$8,0)+IF(Calculations!$E$4:$E$8=Output!C$32,Calculations!$T$4:$T$8,0))</f>
        <v>0</v>
      </c>
      <c r="D34" s="39" t="str">
        <f>SUM(IF(Calculations!$B$4:$B$8=Output!D$32,Calculations!$T$4:$T$8,0)+IF(Calculations!$E$4:$E$8=Output!D$32,Calculations!$T$4:$T$8,0))</f>
        <v>0</v>
      </c>
      <c r="E34" s="39" t="str">
        <f>SUM(IF(Calculations!$B$4:$B$8=Output!E$32,Calculations!$T$4:$T$8,0)+IF(Calculations!$E$4:$E$8=Output!E$32,Calculations!$T$4:$T$8,0))</f>
        <v>0</v>
      </c>
      <c r="F34" s="39" t="str">
        <f>SUM(IF(Calculations!$B$4:$B$8=Output!F$32,Calculations!$T$4:$T$8,0)+IF(Calculations!$E$4:$E$8=Output!F$32,Calculations!$T$4:$T$8,0))</f>
        <v>0</v>
      </c>
      <c r="G34" s="39" t="str">
        <f>SUM(IF(Calculations!$B$4:$B$8=Output!G$32,Calculations!$T$4:$T$8,0)+IF(Calculations!$E$4:$E$8=Output!G$32,Calculations!$T$4:$T$8,0))</f>
        <v>0</v>
      </c>
      <c r="H34" s="39" t="str">
        <f>SUM(IF(Calculations!$B$4:$B$8=Output!H$32,Calculations!$T$4:$T$8,0)+IF(Calculations!$E$4:$E$8=Output!H$32,Calculations!$T$4:$T$8,0))</f>
        <v>0</v>
      </c>
      <c r="I34" s="39" t="str">
        <f>SUM(IF(Calculations!$B$4:$B$8=Output!I$32,Calculations!$T$4:$T$8,0)+IF(Calculations!$E$4:$E$8=Output!I$32,Calculations!$T$4:$T$8,0))</f>
        <v>0</v>
      </c>
      <c r="J34" s="39" t="str">
        <f>SUM(IF(Calculations!$B$4:$B$8=Output!J$32,Calculations!$T$4:$T$8,0)+IF(Calculations!$E$4:$E$8=Output!J$32,Calculations!$T$4:$T$8,0))</f>
        <v>0</v>
      </c>
      <c r="K34" s="39" t="str">
        <f>SUM(IF(Calculations!$B$4:$B$8=Output!K$32,Calculations!$T$4:$T$8,0)+IF(Calculations!$E$4:$E$8=Output!K$32,Calculations!$T$4:$T$8,0))</f>
        <v>0</v>
      </c>
      <c r="L34" s="39" t="str">
        <f>SUM(IF(Calculations!$B$4:$B$8=Output!L$32,Calculations!$T$4:$T$8,0)+IF(Calculations!$E$4:$E$8=Output!L$32,Calculations!$T$4:$T$8,0))</f>
        <v>0</v>
      </c>
      <c r="M34" s="39" t="str">
        <f>SUM(IF(Calculations!$B$4:$B$8=Output!M$32,Calculations!$T$4:$T$8,0)+IF(Calculations!$E$4:$E$8=Output!M$32,Calculations!$T$4:$T$8,0))</f>
        <v>0</v>
      </c>
      <c r="N34" s="39" t="str">
        <f>SUM(IF(Calculations!$B$4:$B$8=Output!N$32,Calculations!$T$4:$T$8,0)+IF(Calculations!$E$4:$E$8=Output!N$32,Calculations!$T$4:$T$8,0))</f>
        <v>0</v>
      </c>
      <c r="O34" s="39" t="str">
        <f>SUM(IF(Calculations!$B$4:$B$8=Output!O$32,Calculations!$T$4:$T$8,0)+IF(Calculations!$E$4:$E$8=Output!O$32,Calculations!$T$4:$T$8,0))</f>
        <v>0</v>
      </c>
      <c r="P34" s="39" t="str">
        <f>SUM(IF(Calculations!$B$4:$B$8=Output!P$32,Calculations!$T$4:$T$8,0)+IF(Calculations!$E$4:$E$8=Output!P$32,Calculations!$T$4:$T$8,0))</f>
        <v>0</v>
      </c>
      <c r="Q34" s="39" t="str">
        <f>SUM(IF(Calculations!$B$4:$B$8=Output!Q$32,Calculations!$T$4:$T$8,0)+IF(Calculations!$E$4:$E$8=Output!Q$32,Calculations!$T$4:$T$8,0))</f>
        <v>0</v>
      </c>
      <c r="R34" s="39" t="str">
        <f>SUM(IF(Calculations!$B$4:$B$8=Output!R$32,Calculations!$T$4:$T$8,0)+IF(Calculations!$E$4:$E$8=Output!R$32,Calculations!$T$4:$T$8,0))</f>
        <v>0</v>
      </c>
      <c r="S34" s="39" t="str">
        <f>SUM(IF(Calculations!$B$4:$B$8=Output!S$32,Calculations!$T$4:$T$8,0)+IF(Calculations!$E$4:$E$8=Output!S$32,Calculations!$T$4:$T$8,0))</f>
        <v>0</v>
      </c>
      <c r="T34" s="39" t="str">
        <f>SUM(IF($B$7:$S$7+$B$8:$S$8&gt;0,B34:S34,0))</f>
        <v>0</v>
      </c>
      <c r="U34" s="39" t="str">
        <f>SUM(B34:S34)</f>
        <v>0</v>
      </c>
    </row>
    <row r="35" spans="1:23">
      <c r="A35" s="46" t="s">
        <v>33</v>
      </c>
      <c r="B35" s="63" t="str">
        <f>SUM(IF(Calculations!$C$4:$C$8=Output!B$32,Calculations!$W$4:$W$8,0)+IF(Calculations!$F$4:$F$8=Output!B$32,Calculations!$W$4:$W$8,0))</f>
        <v>0</v>
      </c>
      <c r="C35" s="63" t="str">
        <f>SUM(IF(Calculations!$C$4:$C$8=Output!C$32,Calculations!$W$4:$W$8,0)+IF(Calculations!$F$4:$F$8=Output!C$32,Calculations!$W$4:$W$8,0))</f>
        <v>0</v>
      </c>
      <c r="D35" s="63" t="str">
        <f>SUM(IF(Calculations!$C$4:$C$8=Output!D$32,Calculations!$W$4:$W$8,0)+IF(Calculations!$F$4:$F$8=Output!D$32,Calculations!$W$4:$W$8,0))</f>
        <v>0</v>
      </c>
      <c r="E35" s="63" t="str">
        <f>SUM(IF(Calculations!$C$4:$C$8=Output!E$32,Calculations!$W$4:$W$8,0)+IF(Calculations!$F$4:$F$8=Output!E$32,Calculations!$W$4:$W$8,0))</f>
        <v>0</v>
      </c>
      <c r="F35" s="63" t="str">
        <f>SUM(IF(Calculations!$C$4:$C$8=Output!F$32,Calculations!$W$4:$W$8,0)+IF(Calculations!$F$4:$F$8=Output!F$32,Calculations!$W$4:$W$8,0))</f>
        <v>0</v>
      </c>
      <c r="G35" s="63" t="str">
        <f>SUM(IF(Calculations!$C$4:$C$8=Output!G$32,Calculations!$W$4:$W$8,0)+IF(Calculations!$F$4:$F$8=Output!G$32,Calculations!$W$4:$W$8,0))</f>
        <v>0</v>
      </c>
      <c r="H35" s="63" t="str">
        <f>SUM(IF(Calculations!$C$4:$C$8=Output!H$32,Calculations!$W$4:$W$8,0)+IF(Calculations!$F$4:$F$8=Output!H$32,Calculations!$W$4:$W$8,0))</f>
        <v>0</v>
      </c>
      <c r="I35" s="63" t="str">
        <f>SUM(IF(Calculations!$C$4:$C$8=Output!I$32,Calculations!$W$4:$W$8,0)+IF(Calculations!$F$4:$F$8=Output!I$32,Calculations!$W$4:$W$8,0))</f>
        <v>0</v>
      </c>
      <c r="J35" s="63" t="str">
        <f>SUM(IF(Calculations!$C$4:$C$8=Output!J$32,Calculations!$W$4:$W$8,0)+IF(Calculations!$F$4:$F$8=Output!J$32,Calculations!$W$4:$W$8,0))</f>
        <v>0</v>
      </c>
      <c r="K35" s="63" t="str">
        <f>SUM(IF(Calculations!$C$4:$C$8=Output!K$32,Calculations!$W$4:$W$8,0)+IF(Calculations!$F$4:$F$8=Output!K$32,Calculations!$W$4:$W$8,0))</f>
        <v>0</v>
      </c>
      <c r="L35" s="63" t="str">
        <f>SUM(IF(Calculations!$C$4:$C$8=Output!L$32,Calculations!$W$4:$W$8,0)+IF(Calculations!$F$4:$F$8=Output!L$32,Calculations!$W$4:$W$8,0))</f>
        <v>0</v>
      </c>
      <c r="M35" s="63" t="str">
        <f>SUM(IF(Calculations!$C$4:$C$8=Output!M$32,Calculations!$W$4:$W$8,0)+IF(Calculations!$F$4:$F$8=Output!M$32,Calculations!$W$4:$W$8,0))</f>
        <v>0</v>
      </c>
      <c r="N35" s="63" t="str">
        <f>SUM(IF(Calculations!$C$4:$C$8=Output!N$32,Calculations!$W$4:$W$8,0)+IF(Calculations!$F$4:$F$8=Output!N$32,Calculations!$W$4:$W$8,0))</f>
        <v>0</v>
      </c>
      <c r="O35" s="63" t="str">
        <f>SUM(IF(Calculations!$C$4:$C$8=Output!O$32,Calculations!$W$4:$W$8,0)+IF(Calculations!$F$4:$F$8=Output!O$32,Calculations!$W$4:$W$8,0))</f>
        <v>0</v>
      </c>
      <c r="P35" s="63" t="str">
        <f>SUM(IF(Calculations!$C$4:$C$8=Output!P$32,Calculations!$W$4:$W$8,0)+IF(Calculations!$F$4:$F$8=Output!P$32,Calculations!$W$4:$W$8,0))</f>
        <v>0</v>
      </c>
      <c r="Q35" s="63" t="str">
        <f>SUM(IF(Calculations!$C$4:$C$8=Output!Q$32,Calculations!$W$4:$W$8,0)+IF(Calculations!$F$4:$F$8=Output!Q$32,Calculations!$W$4:$W$8,0))</f>
        <v>0</v>
      </c>
      <c r="R35" s="63" t="str">
        <f>SUM(IF(Calculations!$C$4:$C$8=Output!R$32,Calculations!$W$4:$W$8,0)+IF(Calculations!$F$4:$F$8=Output!R$32,Calculations!$W$4:$W$8,0))</f>
        <v>0</v>
      </c>
      <c r="S35" s="63" t="str">
        <f>SUM(IF(Calculations!$C$4:$C$8=Output!S$32,Calculations!$W$4:$W$8,0)+IF(Calculations!$F$4:$F$8=Output!S$32,Calculations!$W$4:$W$8,0))</f>
        <v>0</v>
      </c>
      <c r="T35" s="63" t="str">
        <f>SUM(IF($B$7:$S$7+$B$8:$S$8&gt;0,B35:S35,0))</f>
        <v>0</v>
      </c>
      <c r="U35" s="63" t="str">
        <f>SUM(B35:S35)</f>
        <v>0</v>
      </c>
    </row>
    <row r="36" spans="1:23">
      <c r="A36" s="17" t="s">
        <v>34</v>
      </c>
      <c r="B36" s="63" t="str">
        <f>SUM(IF(Calculations!$D$4:$D$8=Output!B$32,Calculations!$Y$4:$Y$8,0)+IF(Calculations!$G$4:$G$8=Output!B$32,Calculations!$Y$4:$Y$8,0))</f>
        <v>0</v>
      </c>
      <c r="C36" s="63" t="str">
        <f>SUM(IF(Calculations!$D$4:$D$8=Output!C$32,Calculations!$Y$4:$Y$8,0)+IF(Calculations!$G$4:$G$8=Output!C$32,Calculations!$Y$4:$Y$8,0))</f>
        <v>0</v>
      </c>
      <c r="D36" s="63" t="str">
        <f>SUM(IF(Calculations!$D$4:$D$8=Output!D$32,Calculations!$Y$4:$Y$8,0)+IF(Calculations!$G$4:$G$8=Output!D$32,Calculations!$Y$4:$Y$8,0))</f>
        <v>0</v>
      </c>
      <c r="E36" s="63" t="str">
        <f>SUM(IF(Calculations!$D$4:$D$8=Output!E$32,Calculations!$Y$4:$Y$8,0)+IF(Calculations!$G$4:$G$8=Output!E$32,Calculations!$Y$4:$Y$8,0))</f>
        <v>0</v>
      </c>
      <c r="F36" s="63" t="str">
        <f>SUM(IF(Calculations!$D$4:$D$8=Output!F$32,Calculations!$Y$4:$Y$8,0)+IF(Calculations!$G$4:$G$8=Output!F$32,Calculations!$Y$4:$Y$8,0))</f>
        <v>0</v>
      </c>
      <c r="G36" s="63" t="str">
        <f>SUM(IF(Calculations!$D$4:$D$8=Output!G$32,Calculations!$Y$4:$Y$8,0)+IF(Calculations!$G$4:$G$8=Output!G$32,Calculations!$Y$4:$Y$8,0))</f>
        <v>0</v>
      </c>
      <c r="H36" s="63" t="str">
        <f>SUM(IF(Calculations!$D$4:$D$8=Output!H$32,Calculations!$Y$4:$Y$8,0)+IF(Calculations!$G$4:$G$8=Output!H$32,Calculations!$Y$4:$Y$8,0))</f>
        <v>0</v>
      </c>
      <c r="I36" s="63" t="str">
        <f>SUM(IF(Calculations!$D$4:$D$8=Output!I$32,Calculations!$Y$4:$Y$8,0)+IF(Calculations!$G$4:$G$8=Output!I$32,Calculations!$Y$4:$Y$8,0))</f>
        <v>0</v>
      </c>
      <c r="J36" s="63" t="str">
        <f>SUM(IF(Calculations!$D$4:$D$8=Output!J$32,Calculations!$Y$4:$Y$8,0)+IF(Calculations!$G$4:$G$8=Output!J$32,Calculations!$Y$4:$Y$8,0))</f>
        <v>0</v>
      </c>
      <c r="K36" s="63" t="str">
        <f>SUM(IF(Calculations!$D$4:$D$8=Output!K$32,Calculations!$Y$4:$Y$8,0)+IF(Calculations!$G$4:$G$8=Output!K$32,Calculations!$Y$4:$Y$8,0))</f>
        <v>0</v>
      </c>
      <c r="L36" s="63" t="str">
        <f>SUM(IF(Calculations!$D$4:$D$8=Output!L$32,Calculations!$Y$4:$Y$8,0)+IF(Calculations!$G$4:$G$8=Output!L$32,Calculations!$Y$4:$Y$8,0))</f>
        <v>0</v>
      </c>
      <c r="M36" s="63" t="str">
        <f>SUM(IF(Calculations!$D$4:$D$8=Output!M$32,Calculations!$Y$4:$Y$8,0)+IF(Calculations!$G$4:$G$8=Output!M$32,Calculations!$Y$4:$Y$8,0))</f>
        <v>0</v>
      </c>
      <c r="N36" s="63" t="str">
        <f>SUM(IF(Calculations!$D$4:$D$8=Output!N$32,Calculations!$Y$4:$Y$8,0)+IF(Calculations!$G$4:$G$8=Output!N$32,Calculations!$Y$4:$Y$8,0))</f>
        <v>0</v>
      </c>
      <c r="O36" s="63" t="str">
        <f>SUM(IF(Calculations!$D$4:$D$8=Output!O$32,Calculations!$Y$4:$Y$8,0)+IF(Calculations!$G$4:$G$8=Output!O$32,Calculations!$Y$4:$Y$8,0))</f>
        <v>0</v>
      </c>
      <c r="P36" s="63" t="str">
        <f>SUM(IF(Calculations!$D$4:$D$8=Output!P$32,Calculations!$Y$4:$Y$8,0)+IF(Calculations!$G$4:$G$8=Output!P$32,Calculations!$Y$4:$Y$8,0))</f>
        <v>0</v>
      </c>
      <c r="Q36" s="63" t="str">
        <f>SUM(IF(Calculations!$D$4:$D$8=Output!Q$32,Calculations!$Y$4:$Y$8,0)+IF(Calculations!$G$4:$G$8=Output!Q$32,Calculations!$Y$4:$Y$8,0))</f>
        <v>0</v>
      </c>
      <c r="R36" s="63" t="str">
        <f>SUM(IF(Calculations!$D$4:$D$8=Output!R$32,Calculations!$Y$4:$Y$8,0)+IF(Calculations!$G$4:$G$8=Output!R$32,Calculations!$Y$4:$Y$8,0))</f>
        <v>0</v>
      </c>
      <c r="S36" s="63" t="str">
        <f>SUM(IF(Calculations!$D$4:$D$8=Output!S$32,Calculations!$Y$4:$Y$8,0)+IF(Calculations!$G$4:$G$8=Output!S$32,Calculations!$Y$4:$Y$8,0))</f>
        <v>0</v>
      </c>
      <c r="T36" s="63" t="str">
        <f>SUM(IF($B$7:$S$7+$B$8:$S$8&gt;0,B36:S36,0))</f>
        <v>0</v>
      </c>
      <c r="U36" s="63" t="str">
        <f>SUM(B36:S36)</f>
        <v>0</v>
      </c>
    </row>
    <row r="37" spans="1:23">
      <c r="A37" s="17" t="s">
        <v>35</v>
      </c>
      <c r="B37" s="63" t="str">
        <f>SUM(IF(Calculations!$R$4:$R$8&lt;&gt;0,IFERROR(IF(MOD(MONTH(Output!B32)-MONTH(Calculations!$B$4:$B$8),12)&lt;=Calculations!$S$4:$S$8,Calculations!$X$4:$X$8/(Calculations!$S$4:$S$8+1),0),0)+IFERROR(IF(MOD(MONTH(Output!B32)-MONTH(Calculations!$E$4:$E$8),12)&lt;=Calculations!$S$4:$S$8,Calculations!$X$4:$X$8/(Calculations!$S$4:$S$8+1),0),0),Calculations!$X$4:$X$8/12))</f>
        <v>0</v>
      </c>
      <c r="C37" s="63" t="str">
        <f>SUM(IF(Calculations!$R$4:$R$8&lt;&gt;0,IFERROR(IF(MOD(MONTH(Output!C32)-MONTH(Calculations!$B$4:$B$8),12)&lt;=Calculations!$S$4:$S$8,Calculations!$X$4:$X$8/(Calculations!$S$4:$S$8+1),0),0)+IFERROR(IF(MOD(MONTH(Output!C32)-MONTH(Calculations!$E$4:$E$8),12)&lt;=Calculations!$S$4:$S$8,Calculations!$X$4:$X$8/(Calculations!$S$4:$S$8+1),0),0),Calculations!$X$4:$X$8/12))</f>
        <v>0</v>
      </c>
      <c r="D37" s="63" t="str">
        <f>SUM(IF(Calculations!$R$4:$R$8&lt;&gt;0,IFERROR(IF(MOD(MONTH(Output!D32)-MONTH(Calculations!$B$4:$B$8),12)&lt;=Calculations!$S$4:$S$8,Calculations!$X$4:$X$8/(Calculations!$S$4:$S$8+1),0),0)+IFERROR(IF(MOD(MONTH(Output!D32)-MONTH(Calculations!$E$4:$E$8),12)&lt;=Calculations!$S$4:$S$8,Calculations!$X$4:$X$8/(Calculations!$S$4:$S$8+1),0),0),Calculations!$X$4:$X$8/12))</f>
        <v>0</v>
      </c>
      <c r="E37" s="63" t="str">
        <f>SUM(IF(Calculations!$R$4:$R$8&lt;&gt;0,IFERROR(IF(MOD(MONTH(Output!E32)-MONTH(Calculations!$B$4:$B$8),12)&lt;=Calculations!$S$4:$S$8,Calculations!$X$4:$X$8/(Calculations!$S$4:$S$8+1),0),0)+IFERROR(IF(MOD(MONTH(Output!E32)-MONTH(Calculations!$E$4:$E$8),12)&lt;=Calculations!$S$4:$S$8,Calculations!$X$4:$X$8/(Calculations!$S$4:$S$8+1),0),0),Calculations!$X$4:$X$8/12))</f>
        <v>0</v>
      </c>
      <c r="F37" s="63" t="str">
        <f>SUM(IF(Calculations!$R$4:$R$8&lt;&gt;0,IFERROR(IF(MOD(MONTH(Output!F32)-MONTH(Calculations!$B$4:$B$8),12)&lt;=Calculations!$S$4:$S$8,Calculations!$X$4:$X$8/(Calculations!$S$4:$S$8+1),0),0)+IFERROR(IF(MOD(MONTH(Output!F32)-MONTH(Calculations!$E$4:$E$8),12)&lt;=Calculations!$S$4:$S$8,Calculations!$X$4:$X$8/(Calculations!$S$4:$S$8+1),0),0),Calculations!$X$4:$X$8/12))</f>
        <v>0</v>
      </c>
      <c r="G37" s="63" t="str">
        <f>SUM(IF(Calculations!$R$4:$R$8&lt;&gt;0,IFERROR(IF(MOD(MONTH(Output!G32)-MONTH(Calculations!$B$4:$B$8),12)&lt;=Calculations!$S$4:$S$8,Calculations!$X$4:$X$8/(Calculations!$S$4:$S$8+1),0),0)+IFERROR(IF(MOD(MONTH(Output!G32)-MONTH(Calculations!$E$4:$E$8),12)&lt;=Calculations!$S$4:$S$8,Calculations!$X$4:$X$8/(Calculations!$S$4:$S$8+1),0),0),Calculations!$X$4:$X$8/12))</f>
        <v>0</v>
      </c>
      <c r="H37" s="63" t="str">
        <f>SUM(IF(Calculations!$R$4:$R$8&lt;&gt;0,IFERROR(IF(MOD(MONTH(Output!H32)-MONTH(Calculations!$B$4:$B$8),12)&lt;=Calculations!$S$4:$S$8,Calculations!$X$4:$X$8/(Calculations!$S$4:$S$8+1),0),0)+IFERROR(IF(MOD(MONTH(Output!H32)-MONTH(Calculations!$E$4:$E$8),12)&lt;=Calculations!$S$4:$S$8,Calculations!$X$4:$X$8/(Calculations!$S$4:$S$8+1),0),0),Calculations!$X$4:$X$8/12))</f>
        <v>0</v>
      </c>
      <c r="I37" s="63" t="str">
        <f>SUM(IF(Calculations!$R$4:$R$8&lt;&gt;0,IFERROR(IF(MOD(MONTH(Output!I32)-MONTH(Calculations!$B$4:$B$8),12)&lt;=Calculations!$S$4:$S$8,Calculations!$X$4:$X$8/(Calculations!$S$4:$S$8+1),0),0)+IFERROR(IF(MOD(MONTH(Output!I32)-MONTH(Calculations!$E$4:$E$8),12)&lt;=Calculations!$S$4:$S$8,Calculations!$X$4:$X$8/(Calculations!$S$4:$S$8+1),0),0),Calculations!$X$4:$X$8/12))</f>
        <v>0</v>
      </c>
      <c r="J37" s="63" t="str">
        <f>SUM(IF(Calculations!$R$4:$R$8&lt;&gt;0,IFERROR(IF(MOD(MONTH(Output!J32)-MONTH(Calculations!$B$4:$B$8),12)&lt;=Calculations!$S$4:$S$8,Calculations!$X$4:$X$8/(Calculations!$S$4:$S$8+1),0),0)+IFERROR(IF(MOD(MONTH(Output!J32)-MONTH(Calculations!$E$4:$E$8),12)&lt;=Calculations!$S$4:$S$8,Calculations!$X$4:$X$8/(Calculations!$S$4:$S$8+1),0),0),Calculations!$X$4:$X$8/12))</f>
        <v>0</v>
      </c>
      <c r="K37" s="63" t="str">
        <f>SUM(IF(Calculations!$R$4:$R$8&lt;&gt;0,IFERROR(IF(MOD(MONTH(Output!K32)-MONTH(Calculations!$B$4:$B$8),12)&lt;=Calculations!$S$4:$S$8,Calculations!$X$4:$X$8/(Calculations!$S$4:$S$8+1),0),0)+IFERROR(IF(MOD(MONTH(Output!K32)-MONTH(Calculations!$E$4:$E$8),12)&lt;=Calculations!$S$4:$S$8,Calculations!$X$4:$X$8/(Calculations!$S$4:$S$8+1),0),0),Calculations!$X$4:$X$8/12))</f>
        <v>0</v>
      </c>
      <c r="L37" s="63" t="str">
        <f>SUM(IF(Calculations!$R$4:$R$8&lt;&gt;0,IFERROR(IF(MOD(MONTH(Output!L32)-MONTH(Calculations!$B$4:$B$8),12)&lt;=Calculations!$S$4:$S$8,Calculations!$X$4:$X$8/(Calculations!$S$4:$S$8+1),0),0)+IFERROR(IF(MOD(MONTH(Output!L32)-MONTH(Calculations!$E$4:$E$8),12)&lt;=Calculations!$S$4:$S$8,Calculations!$X$4:$X$8/(Calculations!$S$4:$S$8+1),0),0),Calculations!$X$4:$X$8/12))</f>
        <v>0</v>
      </c>
      <c r="M37" s="63" t="str">
        <f>SUM(IF(Calculations!$R$4:$R$8&lt;&gt;0,IFERROR(IF(MOD(MONTH(Output!M32)-MONTH(Calculations!$B$4:$B$8),12)&lt;=Calculations!$S$4:$S$8,Calculations!$X$4:$X$8/(Calculations!$S$4:$S$8+1),0),0)+IFERROR(IF(MOD(MONTH(Output!M32)-MONTH(Calculations!$E$4:$E$8),12)&lt;=Calculations!$S$4:$S$8,Calculations!$X$4:$X$8/(Calculations!$S$4:$S$8+1),0),0),Calculations!$X$4:$X$8/12))</f>
        <v>0</v>
      </c>
      <c r="N37" s="63" t="str">
        <f>SUM(IF(Calculations!$R$4:$R$8&lt;&gt;0,IFERROR(IF(MOD(MONTH(Output!N32)-MONTH(Calculations!$B$4:$B$8),12)&lt;=Calculations!$S$4:$S$8,Calculations!$X$4:$X$8/(Calculations!$S$4:$S$8+1),0),0)+IFERROR(IF(MOD(MONTH(Output!N32)-MONTH(Calculations!$E$4:$E$8),12)&lt;=Calculations!$S$4:$S$8,Calculations!$X$4:$X$8/(Calculations!$S$4:$S$8+1),0),0),Calculations!$X$4:$X$8/12))</f>
        <v>0</v>
      </c>
      <c r="O37" s="63" t="str">
        <f>SUM(IF(Calculations!$R$4:$R$8&lt;&gt;0,IFERROR(IF(MOD(MONTH(Output!O32)-MONTH(Calculations!$B$4:$B$8),12)&lt;=Calculations!$S$4:$S$8,Calculations!$X$4:$X$8/(Calculations!$S$4:$S$8+1),0),0)+IFERROR(IF(MOD(MONTH(Output!O32)-MONTH(Calculations!$E$4:$E$8),12)&lt;=Calculations!$S$4:$S$8,Calculations!$X$4:$X$8/(Calculations!$S$4:$S$8+1),0),0),Calculations!$X$4:$X$8/12))</f>
        <v>0</v>
      </c>
      <c r="P37" s="63" t="str">
        <f>SUM(IF(Calculations!$R$4:$R$8&lt;&gt;0,IFERROR(IF(MOD(MONTH(Output!P32)-MONTH(Calculations!$B$4:$B$8),12)&lt;=Calculations!$S$4:$S$8,Calculations!$X$4:$X$8/(Calculations!$S$4:$S$8+1),0),0)+IFERROR(IF(MOD(MONTH(Output!P32)-MONTH(Calculations!$E$4:$E$8),12)&lt;=Calculations!$S$4:$S$8,Calculations!$X$4:$X$8/(Calculations!$S$4:$S$8+1),0),0),Calculations!$X$4:$X$8/12))</f>
        <v>0</v>
      </c>
      <c r="Q37" s="63" t="str">
        <f>SUM(IF(Calculations!$R$4:$R$8&lt;&gt;0,IFERROR(IF(MOD(MONTH(Output!Q32)-MONTH(Calculations!$B$4:$B$8),12)&lt;=Calculations!$S$4:$S$8,Calculations!$X$4:$X$8/(Calculations!$S$4:$S$8+1),0),0)+IFERROR(IF(MOD(MONTH(Output!Q32)-MONTH(Calculations!$E$4:$E$8),12)&lt;=Calculations!$S$4:$S$8,Calculations!$X$4:$X$8/(Calculations!$S$4:$S$8+1),0),0),Calculations!$X$4:$X$8/12))</f>
        <v>0</v>
      </c>
      <c r="R37" s="63" t="str">
        <f>SUM(IF(Calculations!$R$4:$R$8&lt;&gt;0,IFERROR(IF(MOD(MONTH(Output!R32)-MONTH(Calculations!$B$4:$B$8),12)&lt;=Calculations!$S$4:$S$8,Calculations!$X$4:$X$8/(Calculations!$S$4:$S$8+1),0),0)+IFERROR(IF(MOD(MONTH(Output!R32)-MONTH(Calculations!$E$4:$E$8),12)&lt;=Calculations!$S$4:$S$8,Calculations!$X$4:$X$8/(Calculations!$S$4:$S$8+1),0),0),Calculations!$X$4:$X$8/12))</f>
        <v>0</v>
      </c>
      <c r="S37" s="63" t="str">
        <f>SUM(IF(Calculations!$R$4:$R$8&lt;&gt;0,IFERROR(IF(MOD(MONTH(Output!S32)-MONTH(Calculations!$B$4:$B$8),12)&lt;=Calculations!$S$4:$S$8,Calculations!$X$4:$X$8/(Calculations!$S$4:$S$8+1),0),0)+IFERROR(IF(MOD(MONTH(Output!S32)-MONTH(Calculations!$E$4:$E$8),12)&lt;=Calculations!$S$4:$S$8,Calculations!$X$4:$X$8/(Calculations!$S$4:$S$8+1),0),0),Calculations!$X$4:$X$8/12))</f>
        <v>0</v>
      </c>
      <c r="T37" s="63" t="str">
        <f>SUM(IF($B$7:$S$7+$B$8:$S$8&gt;0,B37:S37,0))</f>
        <v>0</v>
      </c>
      <c r="U37" s="63" t="str">
        <f>SUM(B37:S37)</f>
        <v>0</v>
      </c>
    </row>
    <row r="38" spans="1:23">
      <c r="A38" s="46" t="s">
        <v>36</v>
      </c>
      <c r="B38" s="63" t="str">
        <f>SUM(IF(Calculations!$R$4:$R$8&lt;&gt;0,IFERROR(IF(MOD(MONTH(Output!B32)-MONTH(Calculations!$B$4:$B$8),12)&lt;=Calculations!$S$4:$S$8,Calculations!$Z$4:$Z$8/(Calculations!$S$4:$S$8+1),0),0)+IFERROR(IF(MOD(MONTH(Output!B32)-MONTH(Calculations!$E$4:$E$8),12)&lt;=Calculations!$S$4:$S$8,Calculations!$Z$4:$Z$8/(Calculations!$S$4:$S$8+1),0),0),Calculations!$Z$4:$Z$8/12)*(1-Inputs!$B$38))</f>
        <v>0</v>
      </c>
      <c r="C38" s="63" t="str">
        <f>SUM(IF(Calculations!$R$4:$R$8&lt;&gt;0,IFERROR(IF(MOD(MONTH(Output!C32)-MONTH(Calculations!$B$4:$B$8),12)&lt;=Calculations!$S$4:$S$8,Calculations!$Z$4:$Z$8/(Calculations!$S$4:$S$8+1),0),0)+IFERROR(IF(MOD(MONTH(Output!C32)-MONTH(Calculations!$E$4:$E$8),12)&lt;=Calculations!$S$4:$S$8,Calculations!$Z$4:$Z$8/(Calculations!$S$4:$S$8+1),0),0),Calculations!$Z$4:$Z$8/12)*(1-Inputs!$B$38))</f>
        <v>0</v>
      </c>
      <c r="D38" s="63" t="str">
        <f>SUM(IF(Calculations!$R$4:$R$8&lt;&gt;0,IFERROR(IF(MOD(MONTH(Output!D32)-MONTH(Calculations!$B$4:$B$8),12)&lt;=Calculations!$S$4:$S$8,Calculations!$Z$4:$Z$8/(Calculations!$S$4:$S$8+1),0),0)+IFERROR(IF(MOD(MONTH(Output!D32)-MONTH(Calculations!$E$4:$E$8),12)&lt;=Calculations!$S$4:$S$8,Calculations!$Z$4:$Z$8/(Calculations!$S$4:$S$8+1),0),0),Calculations!$Z$4:$Z$8/12)*(1-Inputs!$B$38))</f>
        <v>0</v>
      </c>
      <c r="E38" s="63" t="str">
        <f>SUM(IF(Calculations!$R$4:$R$8&lt;&gt;0,IFERROR(IF(MOD(MONTH(Output!E32)-MONTH(Calculations!$B$4:$B$8),12)&lt;=Calculations!$S$4:$S$8,Calculations!$Z$4:$Z$8/(Calculations!$S$4:$S$8+1),0),0)+IFERROR(IF(MOD(MONTH(Output!E32)-MONTH(Calculations!$E$4:$E$8),12)&lt;=Calculations!$S$4:$S$8,Calculations!$Z$4:$Z$8/(Calculations!$S$4:$S$8+1),0),0),Calculations!$Z$4:$Z$8/12)*(1-Inputs!$B$38))</f>
        <v>0</v>
      </c>
      <c r="F38" s="63" t="str">
        <f>SUM(IF(Calculations!$R$4:$R$8&lt;&gt;0,IFERROR(IF(MOD(MONTH(Output!F32)-MONTH(Calculations!$B$4:$B$8),12)&lt;=Calculations!$S$4:$S$8,Calculations!$Z$4:$Z$8/(Calculations!$S$4:$S$8+1),0),0)+IFERROR(IF(MOD(MONTH(Output!F32)-MONTH(Calculations!$E$4:$E$8),12)&lt;=Calculations!$S$4:$S$8,Calculations!$Z$4:$Z$8/(Calculations!$S$4:$S$8+1),0),0),Calculations!$Z$4:$Z$8/12)*(1-Inputs!$B$38))</f>
        <v>0</v>
      </c>
      <c r="G38" s="63" t="str">
        <f>SUM(IF(Calculations!$R$4:$R$8&lt;&gt;0,IFERROR(IF(MOD(MONTH(Output!G32)-MONTH(Calculations!$B$4:$B$8),12)&lt;=Calculations!$S$4:$S$8,Calculations!$Z$4:$Z$8/(Calculations!$S$4:$S$8+1),0),0)+IFERROR(IF(MOD(MONTH(Output!G32)-MONTH(Calculations!$E$4:$E$8),12)&lt;=Calculations!$S$4:$S$8,Calculations!$Z$4:$Z$8/(Calculations!$S$4:$S$8+1),0),0),Calculations!$Z$4:$Z$8/12)*(1-Inputs!$B$38))</f>
        <v>0</v>
      </c>
      <c r="H38" s="63" t="str">
        <f>SUM(IF(Calculations!$R$4:$R$8&lt;&gt;0,IFERROR(IF(MOD(MONTH(Output!H32)-MONTH(Calculations!$B$4:$B$8),12)&lt;=Calculations!$S$4:$S$8,Calculations!$Z$4:$Z$8/(Calculations!$S$4:$S$8+1),0),0)+IFERROR(IF(MOD(MONTH(Output!H32)-MONTH(Calculations!$E$4:$E$8),12)&lt;=Calculations!$S$4:$S$8,Calculations!$Z$4:$Z$8/(Calculations!$S$4:$S$8+1),0),0),Calculations!$Z$4:$Z$8/12)*(1-Inputs!$B$38))</f>
        <v>0</v>
      </c>
      <c r="I38" s="63" t="str">
        <f>SUM(IF(Calculations!$R$4:$R$8&lt;&gt;0,IFERROR(IF(MOD(MONTH(Output!I32)-MONTH(Calculations!$B$4:$B$8),12)&lt;=Calculations!$S$4:$S$8,Calculations!$Z$4:$Z$8/(Calculations!$S$4:$S$8+1),0),0)+IFERROR(IF(MOD(MONTH(Output!I32)-MONTH(Calculations!$E$4:$E$8),12)&lt;=Calculations!$S$4:$S$8,Calculations!$Z$4:$Z$8/(Calculations!$S$4:$S$8+1),0),0),Calculations!$Z$4:$Z$8/12)*(1-Inputs!$B$38))</f>
        <v>0</v>
      </c>
      <c r="J38" s="63" t="str">
        <f>SUM(IF(Calculations!$R$4:$R$8&lt;&gt;0,IFERROR(IF(MOD(MONTH(Output!J32)-MONTH(Calculations!$B$4:$B$8),12)&lt;=Calculations!$S$4:$S$8,Calculations!$Z$4:$Z$8/(Calculations!$S$4:$S$8+1),0),0)+IFERROR(IF(MOD(MONTH(Output!J32)-MONTH(Calculations!$E$4:$E$8),12)&lt;=Calculations!$S$4:$S$8,Calculations!$Z$4:$Z$8/(Calculations!$S$4:$S$8+1),0),0),Calculations!$Z$4:$Z$8/12)*(1-Inputs!$B$38))</f>
        <v>0</v>
      </c>
      <c r="K38" s="63" t="str">
        <f>SUM(IF(Calculations!$R$4:$R$8&lt;&gt;0,IFERROR(IF(MOD(MONTH(Output!K32)-MONTH(Calculations!$B$4:$B$8),12)&lt;=Calculations!$S$4:$S$8,Calculations!$Z$4:$Z$8/(Calculations!$S$4:$S$8+1),0),0)+IFERROR(IF(MOD(MONTH(Output!K32)-MONTH(Calculations!$E$4:$E$8),12)&lt;=Calculations!$S$4:$S$8,Calculations!$Z$4:$Z$8/(Calculations!$S$4:$S$8+1),0),0),Calculations!$Z$4:$Z$8/12)*(1-Inputs!$B$38))</f>
        <v>0</v>
      </c>
      <c r="L38" s="63" t="str">
        <f>SUM(IF(Calculations!$R$4:$R$8&lt;&gt;0,IFERROR(IF(MOD(MONTH(Output!L32)-MONTH(Calculations!$B$4:$B$8),12)&lt;=Calculations!$S$4:$S$8,Calculations!$Z$4:$Z$8/(Calculations!$S$4:$S$8+1),0),0)+IFERROR(IF(MOD(MONTH(Output!L32)-MONTH(Calculations!$E$4:$E$8),12)&lt;=Calculations!$S$4:$S$8,Calculations!$Z$4:$Z$8/(Calculations!$S$4:$S$8+1),0),0),Calculations!$Z$4:$Z$8/12)*(1-Inputs!$B$38))</f>
        <v>0</v>
      </c>
      <c r="M38" s="63" t="str">
        <f>SUM(IF(Calculations!$R$4:$R$8&lt;&gt;0,IFERROR(IF(MOD(MONTH(Output!M32)-MONTH(Calculations!$B$4:$B$8),12)&lt;=Calculations!$S$4:$S$8,Calculations!$Z$4:$Z$8/(Calculations!$S$4:$S$8+1),0),0)+IFERROR(IF(MOD(MONTH(Output!M32)-MONTH(Calculations!$E$4:$E$8),12)&lt;=Calculations!$S$4:$S$8,Calculations!$Z$4:$Z$8/(Calculations!$S$4:$S$8+1),0),0),Calculations!$Z$4:$Z$8/12)*(1-Inputs!$B$38))</f>
        <v>0</v>
      </c>
      <c r="N38" s="63" t="str">
        <f>SUM(IF(Calculations!$R$4:$R$8&lt;&gt;0,IFERROR(IF(MOD(MONTH(Output!N32)-MONTH(Calculations!$B$4:$B$8),12)&lt;=Calculations!$S$4:$S$8,Calculations!$Z$4:$Z$8/(Calculations!$S$4:$S$8+1),0),0)+IFERROR(IF(MOD(MONTH(Output!N32)-MONTH(Calculations!$E$4:$E$8),12)&lt;=Calculations!$S$4:$S$8,Calculations!$Z$4:$Z$8/(Calculations!$S$4:$S$8+1),0),0),Calculations!$Z$4:$Z$8/12)*(1-Inputs!$B$38))</f>
        <v>0</v>
      </c>
      <c r="O38" s="63" t="str">
        <f>SUM(IF(Calculations!$R$4:$R$8&lt;&gt;0,IFERROR(IF(MOD(MONTH(Output!O32)-MONTH(Calculations!$B$4:$B$8),12)&lt;=Calculations!$S$4:$S$8,Calculations!$Z$4:$Z$8/(Calculations!$S$4:$S$8+1),0),0)+IFERROR(IF(MOD(MONTH(Output!O32)-MONTH(Calculations!$E$4:$E$8),12)&lt;=Calculations!$S$4:$S$8,Calculations!$Z$4:$Z$8/(Calculations!$S$4:$S$8+1),0),0),Calculations!$Z$4:$Z$8/12)*(1-Inputs!$B$38))</f>
        <v>0</v>
      </c>
      <c r="P38" s="63" t="str">
        <f>SUM(IF(Calculations!$R$4:$R$8&lt;&gt;0,IFERROR(IF(MOD(MONTH(Output!P32)-MONTH(Calculations!$B$4:$B$8),12)&lt;=Calculations!$S$4:$S$8,Calculations!$Z$4:$Z$8/(Calculations!$S$4:$S$8+1),0),0)+IFERROR(IF(MOD(MONTH(Output!P32)-MONTH(Calculations!$E$4:$E$8),12)&lt;=Calculations!$S$4:$S$8,Calculations!$Z$4:$Z$8/(Calculations!$S$4:$S$8+1),0),0),Calculations!$Z$4:$Z$8/12)*(1-Inputs!$B$38))</f>
        <v>0</v>
      </c>
      <c r="Q38" s="63" t="str">
        <f>SUM(IF(Calculations!$R$4:$R$8&lt;&gt;0,IFERROR(IF(MOD(MONTH(Output!Q32)-MONTH(Calculations!$B$4:$B$8),12)&lt;=Calculations!$S$4:$S$8,Calculations!$Z$4:$Z$8/(Calculations!$S$4:$S$8+1),0),0)+IFERROR(IF(MOD(MONTH(Output!Q32)-MONTH(Calculations!$E$4:$E$8),12)&lt;=Calculations!$S$4:$S$8,Calculations!$Z$4:$Z$8/(Calculations!$S$4:$S$8+1),0),0),Calculations!$Z$4:$Z$8/12)*(1-Inputs!$B$38))</f>
        <v>0</v>
      </c>
      <c r="R38" s="63" t="str">
        <f>SUM(IF(Calculations!$R$4:$R$8&lt;&gt;0,IFERROR(IF(MOD(MONTH(Output!R32)-MONTH(Calculations!$B$4:$B$8),12)&lt;=Calculations!$S$4:$S$8,Calculations!$Z$4:$Z$8/(Calculations!$S$4:$S$8+1),0),0)+IFERROR(IF(MOD(MONTH(Output!R32)-MONTH(Calculations!$E$4:$E$8),12)&lt;=Calculations!$S$4:$S$8,Calculations!$Z$4:$Z$8/(Calculations!$S$4:$S$8+1),0),0),Calculations!$Z$4:$Z$8/12)*(1-Inputs!$B$38))</f>
        <v>0</v>
      </c>
      <c r="S38" s="63" t="str">
        <f>SUM(IF(Calculations!$R$4:$R$8&lt;&gt;0,IFERROR(IF(MOD(MONTH(Output!S32)-MONTH(Calculations!$B$4:$B$8),12)&lt;=Calculations!$S$4:$S$8,Calculations!$Z$4:$Z$8/(Calculations!$S$4:$S$8+1),0),0)+IFERROR(IF(MOD(MONTH(Output!S32)-MONTH(Calculations!$E$4:$E$8),12)&lt;=Calculations!$S$4:$S$8,Calculations!$Z$4:$Z$8/(Calculations!$S$4:$S$8+1),0),0),Calculations!$Z$4:$Z$8/12)*(1-Inputs!$B$38))</f>
        <v>0</v>
      </c>
      <c r="T38" s="63" t="str">
        <f>SUM(IF($B$7:$S$7+$B$8:$S$8&gt;0,B38:S38,0))</f>
        <v>0</v>
      </c>
      <c r="U38" s="63" t="str">
        <f>SUM(B38:S38)</f>
        <v>0</v>
      </c>
    </row>
    <row r="39" spans="1:23" customHeight="1" ht="5.25">
      <c r="A39" s="46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 t="str">
        <f>SUM(IF($B$7:$S$7+$B$8:$S$8&gt;0,B39:S39,0))</f>
        <v>0</v>
      </c>
      <c r="U39" s="63"/>
    </row>
    <row r="40" spans="1:23">
      <c r="A40" s="17" t="s">
        <v>37</v>
      </c>
      <c r="B40" s="63" t="str">
        <f>SUM(Calculations!$N$14:$N$16)/12</f>
        <v>0</v>
      </c>
      <c r="C40" s="63" t="str">
        <f>SUM(Calculations!$N$14:$N$16)/12</f>
        <v>0</v>
      </c>
      <c r="D40" s="63" t="str">
        <f>SUM(Calculations!$N$14:$N$16)/12</f>
        <v>0</v>
      </c>
      <c r="E40" s="63" t="str">
        <f>SUM(Calculations!$N$14:$N$16)/12</f>
        <v>0</v>
      </c>
      <c r="F40" s="63" t="str">
        <f>SUM(Calculations!$N$14:$N$16)/12</f>
        <v>0</v>
      </c>
      <c r="G40" s="63" t="str">
        <f>SUM(Calculations!$N$14:$N$16)/12</f>
        <v>0</v>
      </c>
      <c r="H40" s="63" t="str">
        <f>SUM(Calculations!$N$14:$N$16)/12</f>
        <v>0</v>
      </c>
      <c r="I40" s="63" t="str">
        <f>SUM(Calculations!$N$14:$N$16)/12</f>
        <v>0</v>
      </c>
      <c r="J40" s="63" t="str">
        <f>SUM(Calculations!$N$14:$N$16)/12</f>
        <v>0</v>
      </c>
      <c r="K40" s="63" t="str">
        <f>SUM(Calculations!$N$14:$N$16)/12</f>
        <v>0</v>
      </c>
      <c r="L40" s="63" t="str">
        <f>SUM(Calculations!$N$14:$N$16)/12</f>
        <v>0</v>
      </c>
      <c r="M40" s="63" t="str">
        <f>SUM(Calculations!$N$14:$N$16)/12</f>
        <v>0</v>
      </c>
      <c r="N40" s="63" t="str">
        <f>SUM(Calculations!$N$14:$N$16)/12</f>
        <v>0</v>
      </c>
      <c r="O40" s="63" t="str">
        <f>SUM(Calculations!$N$14:$N$16)/12</f>
        <v>0</v>
      </c>
      <c r="P40" s="63" t="str">
        <f>SUM(Calculations!$N$14:$N$16)/12</f>
        <v>0</v>
      </c>
      <c r="Q40" s="63" t="str">
        <f>SUM(Calculations!$N$14:$N$16)/12</f>
        <v>0</v>
      </c>
      <c r="R40" s="63" t="str">
        <f>SUM(Calculations!$N$14:$N$16)/12</f>
        <v>0</v>
      </c>
      <c r="S40" s="63" t="str">
        <f>SUM(Calculations!$N$14:$N$16)/12</f>
        <v>0</v>
      </c>
      <c r="T40" s="63" t="str">
        <f>SUM(IF($B$7:$S$7+$B$8:$S$8&gt;0,B40:S40,0))</f>
        <v>0</v>
      </c>
      <c r="U40" s="63" t="str">
        <f>SUM(B40:S40)</f>
        <v>0</v>
      </c>
    </row>
    <row r="41" spans="1:23">
      <c r="A41" s="17" t="s">
        <v>38</v>
      </c>
      <c r="B41" s="63" t="str">
        <f>SUM(Calculations!$O$14:$O$16)/12</f>
        <v>0</v>
      </c>
      <c r="C41" s="63" t="str">
        <f>SUM(Calculations!$O$14:$O$16)/12</f>
        <v>0</v>
      </c>
      <c r="D41" s="63" t="str">
        <f>SUM(Calculations!$O$14:$O$16)/12</f>
        <v>0</v>
      </c>
      <c r="E41" s="63" t="str">
        <f>SUM(Calculations!$O$14:$O$16)/12</f>
        <v>0</v>
      </c>
      <c r="F41" s="63" t="str">
        <f>SUM(Calculations!$O$14:$O$16)/12</f>
        <v>0</v>
      </c>
      <c r="G41" s="63" t="str">
        <f>SUM(Calculations!$O$14:$O$16)/12</f>
        <v>0</v>
      </c>
      <c r="H41" s="63" t="str">
        <f>SUM(Calculations!$O$14:$O$16)/12</f>
        <v>0</v>
      </c>
      <c r="I41" s="63" t="str">
        <f>SUM(Calculations!$O$14:$O$16)/12</f>
        <v>0</v>
      </c>
      <c r="J41" s="63" t="str">
        <f>SUM(Calculations!$O$14:$O$16)/12</f>
        <v>0</v>
      </c>
      <c r="K41" s="63" t="str">
        <f>SUM(Calculations!$O$14:$O$16)/12</f>
        <v>0</v>
      </c>
      <c r="L41" s="63" t="str">
        <f>SUM(Calculations!$O$14:$O$16)/12</f>
        <v>0</v>
      </c>
      <c r="M41" s="63" t="str">
        <f>SUM(Calculations!$O$14:$O$16)/12</f>
        <v>0</v>
      </c>
      <c r="N41" s="63" t="str">
        <f>SUM(Calculations!$O$14:$O$16)/12</f>
        <v>0</v>
      </c>
      <c r="O41" s="63" t="str">
        <f>SUM(Calculations!$O$14:$O$16)/12</f>
        <v>0</v>
      </c>
      <c r="P41" s="63" t="str">
        <f>SUM(Calculations!$O$14:$O$16)/12</f>
        <v>0</v>
      </c>
      <c r="Q41" s="63" t="str">
        <f>SUM(Calculations!$O$14:$O$16)/12</f>
        <v>0</v>
      </c>
      <c r="R41" s="63" t="str">
        <f>SUM(Calculations!$O$14:$O$16)/12</f>
        <v>0</v>
      </c>
      <c r="S41" s="63" t="str">
        <f>SUM(Calculations!$O$14:$O$16)/12</f>
        <v>0</v>
      </c>
      <c r="T41" s="63" t="str">
        <f>SUM(IF($B$7:$S$7+$B$8:$S$8&gt;0,B41:S41,0))</f>
        <v>0</v>
      </c>
      <c r="U41" s="63" t="str">
        <f>SUM(B41:S41)</f>
        <v>0</v>
      </c>
    </row>
    <row r="42" spans="1:23">
      <c r="A42" s="17" t="s">
        <v>39</v>
      </c>
      <c r="B42" s="63" t="str">
        <f>SUM(Calculations!$P$14:$P$16)/12</f>
        <v>0</v>
      </c>
      <c r="C42" s="63" t="str">
        <f>SUM(Calculations!$P$14:$P$16)/12</f>
        <v>0</v>
      </c>
      <c r="D42" s="63" t="str">
        <f>SUM(Calculations!$P$14:$P$16)/12</f>
        <v>0</v>
      </c>
      <c r="E42" s="63" t="str">
        <f>SUM(Calculations!$P$14:$P$16)/12</f>
        <v>0</v>
      </c>
      <c r="F42" s="63" t="str">
        <f>SUM(Calculations!$P$14:$P$16)/12</f>
        <v>0</v>
      </c>
      <c r="G42" s="63" t="str">
        <f>SUM(Calculations!$P$14:$P$16)/12</f>
        <v>0</v>
      </c>
      <c r="H42" s="63" t="str">
        <f>SUM(Calculations!$P$14:$P$16)/12</f>
        <v>0</v>
      </c>
      <c r="I42" s="63" t="str">
        <f>SUM(Calculations!$P$14:$P$16)/12</f>
        <v>0</v>
      </c>
      <c r="J42" s="63" t="str">
        <f>SUM(Calculations!$P$14:$P$16)/12</f>
        <v>0</v>
      </c>
      <c r="K42" s="63" t="str">
        <f>SUM(Calculations!$P$14:$P$16)/12</f>
        <v>0</v>
      </c>
      <c r="L42" s="63" t="str">
        <f>SUM(Calculations!$P$14:$P$16)/12</f>
        <v>0</v>
      </c>
      <c r="M42" s="63" t="str">
        <f>SUM(Calculations!$P$14:$P$16)/12</f>
        <v>0</v>
      </c>
      <c r="N42" s="63" t="str">
        <f>SUM(Calculations!$P$14:$P$16)/12</f>
        <v>0</v>
      </c>
      <c r="O42" s="63" t="str">
        <f>SUM(Calculations!$P$14:$P$16)/12</f>
        <v>0</v>
      </c>
      <c r="P42" s="63" t="str">
        <f>SUM(Calculations!$P$14:$P$16)/12</f>
        <v>0</v>
      </c>
      <c r="Q42" s="63" t="str">
        <f>SUM(Calculations!$P$14:$P$16)/12</f>
        <v>0</v>
      </c>
      <c r="R42" s="63" t="str">
        <f>SUM(Calculations!$P$14:$P$16)/12</f>
        <v>0</v>
      </c>
      <c r="S42" s="63" t="str">
        <f>SUM(Calculations!$P$14:$P$16)/12</f>
        <v>0</v>
      </c>
      <c r="T42" s="63" t="str">
        <f>SUM(IF($B$7:$S$7+$B$8:$S$8&gt;0,B42:S42,0))</f>
        <v>0</v>
      </c>
      <c r="U42" s="63" t="str">
        <f>SUM(B42:S42)</f>
        <v>0</v>
      </c>
    </row>
    <row r="43" spans="1:23">
      <c r="A43" s="17" t="s">
        <v>40</v>
      </c>
      <c r="B43" s="63" t="str">
        <f>IF(Inputs!$A$29&lt;&gt;"",Inputs!$D$34,0)</f>
        <v>0</v>
      </c>
      <c r="C43" s="63" t="str">
        <f>IF(Inputs!$A$29&lt;&gt;"",Inputs!$D$34,0)</f>
        <v>0</v>
      </c>
      <c r="D43" s="63" t="str">
        <f>IF(Inputs!$A$29&lt;&gt;"",Inputs!$D$34,0)</f>
        <v>0</v>
      </c>
      <c r="E43" s="63" t="str">
        <f>IF(Inputs!$A$29&lt;&gt;"",Inputs!$D$34,0)</f>
        <v>0</v>
      </c>
      <c r="F43" s="63" t="str">
        <f>IF(Inputs!$A$29&lt;&gt;"",Inputs!$D$34,0)</f>
        <v>0</v>
      </c>
      <c r="G43" s="63" t="str">
        <f>IF(Inputs!$A$29&lt;&gt;"",Inputs!$D$34,0)</f>
        <v>0</v>
      </c>
      <c r="H43" s="63" t="str">
        <f>IF(Inputs!$A$29&lt;&gt;"",Inputs!$D$34,0)</f>
        <v>0</v>
      </c>
      <c r="I43" s="63" t="str">
        <f>IF(Inputs!$A$29&lt;&gt;"",Inputs!$D$34,0)</f>
        <v>0</v>
      </c>
      <c r="J43" s="63" t="str">
        <f>IF(Inputs!$A$29&lt;&gt;"",Inputs!$D$34,0)</f>
        <v>0</v>
      </c>
      <c r="K43" s="63" t="str">
        <f>IF(Inputs!$A$29&lt;&gt;"",Inputs!$D$34,0)</f>
        <v>0</v>
      </c>
      <c r="L43" s="63" t="str">
        <f>IF(Inputs!$A$29&lt;&gt;"",Inputs!$D$34,0)</f>
        <v>0</v>
      </c>
      <c r="M43" s="63" t="str">
        <f>IF(Inputs!$A$29&lt;&gt;"",Inputs!$D$34,0)</f>
        <v>0</v>
      </c>
      <c r="N43" s="63" t="str">
        <f>IF(Inputs!$A$29&lt;&gt;"",Inputs!$D$34,0)</f>
        <v>0</v>
      </c>
      <c r="O43" s="63" t="str">
        <f>IF(Inputs!$A$29&lt;&gt;"",Inputs!$D$34,0)</f>
        <v>0</v>
      </c>
      <c r="P43" s="63" t="str">
        <f>IF(Inputs!$A$29&lt;&gt;"",Inputs!$D$34,0)</f>
        <v>0</v>
      </c>
      <c r="Q43" s="63" t="str">
        <f>IF(Inputs!$A$29&lt;&gt;"",Inputs!$D$34,0)</f>
        <v>0</v>
      </c>
      <c r="R43" s="63" t="str">
        <f>IF(Inputs!$A$29&lt;&gt;"",Inputs!$D$34,0)</f>
        <v>0</v>
      </c>
      <c r="S43" s="63" t="str">
        <f>IF(Inputs!$A$29&lt;&gt;"",Inputs!$D$34,0)</f>
        <v>0</v>
      </c>
      <c r="T43" s="63" t="str">
        <f>SUM(IF($B$7:$S$7+$B$8:$S$8&gt;0,B43:S43,0))</f>
        <v>0</v>
      </c>
      <c r="U43" s="63" t="str">
        <f>SUM(B43:S43)</f>
        <v>0</v>
      </c>
    </row>
    <row r="44" spans="1:23" customHeight="1" ht="5.25">
      <c r="A44" s="1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 t="str">
        <f>SUM(IF($B$7:$S$7+$B$8:$S$8&gt;0,B44:S44,0))</f>
        <v>0</v>
      </c>
      <c r="U44" s="63"/>
    </row>
    <row r="45" spans="1:23">
      <c r="A45" s="46" t="s">
        <v>28</v>
      </c>
      <c r="B45" s="63" t="str">
        <f>Inputs!$B$44</f>
        <v>0</v>
      </c>
      <c r="C45" s="63" t="str">
        <f>Inputs!$B$44</f>
        <v>0</v>
      </c>
      <c r="D45" s="63" t="str">
        <f>Inputs!$B$44</f>
        <v>0</v>
      </c>
      <c r="E45" s="63" t="str">
        <f>Inputs!$B$44</f>
        <v>0</v>
      </c>
      <c r="F45" s="63" t="str">
        <f>Inputs!$B$44</f>
        <v>0</v>
      </c>
      <c r="G45" s="63" t="str">
        <f>Inputs!$B$44</f>
        <v>0</v>
      </c>
      <c r="H45" s="63" t="str">
        <f>Inputs!$B$44</f>
        <v>0</v>
      </c>
      <c r="I45" s="63" t="str">
        <f>Inputs!$B$44</f>
        <v>0</v>
      </c>
      <c r="J45" s="63" t="str">
        <f>Inputs!$B$44</f>
        <v>0</v>
      </c>
      <c r="K45" s="63" t="str">
        <f>Inputs!$B$44</f>
        <v>0</v>
      </c>
      <c r="L45" s="63" t="str">
        <f>Inputs!$B$44</f>
        <v>0</v>
      </c>
      <c r="M45" s="63" t="str">
        <f>Inputs!$B$44</f>
        <v>0</v>
      </c>
      <c r="N45" s="63" t="str">
        <f>Inputs!$B$44</f>
        <v>0</v>
      </c>
      <c r="O45" s="63" t="str">
        <f>Inputs!$B$44</f>
        <v>0</v>
      </c>
      <c r="P45" s="63" t="str">
        <f>Inputs!$B$44</f>
        <v>0</v>
      </c>
      <c r="Q45" s="63" t="str">
        <f>Inputs!$B$44</f>
        <v>0</v>
      </c>
      <c r="R45" s="63" t="str">
        <f>Inputs!$B$44</f>
        <v>0</v>
      </c>
      <c r="S45" s="63" t="str">
        <f>Inputs!$B$44</f>
        <v>0</v>
      </c>
      <c r="T45" s="63" t="str">
        <f>SUM(IF($B$7:$S$7+$B$8:$S$8&gt;0,B45:S45,0))</f>
        <v>0</v>
      </c>
      <c r="U45" s="63" t="str">
        <f>SUM(B45:S45)</f>
        <v>0</v>
      </c>
    </row>
    <row r="46" spans="1:23">
      <c r="A46" s="17" t="s">
        <v>41</v>
      </c>
      <c r="B46" s="63" t="str">
        <f>SUMIF(Inputs!$D$48:$D$49,MONTH(Output!B32),Inputs!$B$48:$B$49)</f>
        <v>0</v>
      </c>
      <c r="C46" s="63" t="str">
        <f>SUMIF(Inputs!$D$48:$D$49,MONTH(Output!C32),Inputs!$B$48:$B$49)</f>
        <v>0</v>
      </c>
      <c r="D46" s="63" t="str">
        <f>SUMIF(Inputs!$D$48:$D$49,MONTH(Output!D32),Inputs!$B$48:$B$49)</f>
        <v>0</v>
      </c>
      <c r="E46" s="63" t="str">
        <f>SUMIF(Inputs!$D$48:$D$49,MONTH(Output!E32),Inputs!$B$48:$B$49)</f>
        <v>0</v>
      </c>
      <c r="F46" s="63" t="str">
        <f>SUMIF(Inputs!$D$48:$D$49,MONTH(Output!F32),Inputs!$B$48:$B$49)</f>
        <v>0</v>
      </c>
      <c r="G46" s="63" t="str">
        <f>SUMIF(Inputs!$D$48:$D$49,MONTH(Output!G32),Inputs!$B$48:$B$49)</f>
        <v>0</v>
      </c>
      <c r="H46" s="63" t="str">
        <f>SUMIF(Inputs!$D$48:$D$49,MONTH(Output!H32),Inputs!$B$48:$B$49)</f>
        <v>0</v>
      </c>
      <c r="I46" s="63" t="str">
        <f>SUMIF(Inputs!$D$48:$D$49,MONTH(Output!I32),Inputs!$B$48:$B$49)</f>
        <v>0</v>
      </c>
      <c r="J46" s="63" t="str">
        <f>SUMIF(Inputs!$D$48:$D$49,MONTH(Output!J32),Inputs!$B$48:$B$49)</f>
        <v>0</v>
      </c>
      <c r="K46" s="63" t="str">
        <f>SUMIF(Inputs!$D$48:$D$49,MONTH(Output!K32),Inputs!$B$48:$B$49)</f>
        <v>0</v>
      </c>
      <c r="L46" s="63" t="str">
        <f>SUMIF(Inputs!$D$48:$D$49,MONTH(Output!L32),Inputs!$B$48:$B$49)</f>
        <v>0</v>
      </c>
      <c r="M46" s="63" t="str">
        <f>SUMIF(Inputs!$D$48:$D$49,MONTH(Output!M32),Inputs!$B$48:$B$49)</f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 t="str">
        <f>SUM(IF($B$7:$S$7+$B$8:$S$8&gt;0,B46:S46,0))</f>
        <v>0</v>
      </c>
      <c r="U46" s="63" t="str">
        <f>SUM(B46:S46)</f>
        <v>0</v>
      </c>
    </row>
    <row r="47" spans="1:23">
      <c r="A47" s="46" t="s">
        <v>42</v>
      </c>
      <c r="B47" s="63" t="str">
        <f>(SUM($U$15:$U$26)-SUM($U$33:$U$45))*Parameters!$B$37/12</f>
        <v>0</v>
      </c>
      <c r="C47" s="63" t="str">
        <f>(SUM($U$15:$U$26)-SUM($U$33:$U$45))*Parameters!$B$37/12</f>
        <v>0</v>
      </c>
      <c r="D47" s="63" t="str">
        <f>(SUM($U$15:$U$26)-SUM($U$33:$U$45))*Parameters!$B$37/12</f>
        <v>0</v>
      </c>
      <c r="E47" s="63" t="str">
        <f>(SUM($U$15:$U$26)-SUM($U$33:$U$45))*Parameters!$B$37/12</f>
        <v>0</v>
      </c>
      <c r="F47" s="63" t="str">
        <f>(SUM($U$15:$U$26)-SUM($U$33:$U$45))*Parameters!$B$37/12</f>
        <v>0</v>
      </c>
      <c r="G47" s="63" t="str">
        <f>(SUM($U$15:$U$26)-SUM($U$33:$U$45))*Parameters!$B$37/12</f>
        <v>0</v>
      </c>
      <c r="H47" s="63" t="str">
        <f>(SUM($U$15:$U$26)-SUM($U$33:$U$45))*Parameters!$B$37/12</f>
        <v>0</v>
      </c>
      <c r="I47" s="63" t="str">
        <f>(SUM($U$15:$U$26)-SUM($U$33:$U$45))*Parameters!$B$37/12</f>
        <v>0</v>
      </c>
      <c r="J47" s="63" t="str">
        <f>(SUM($U$15:$U$26)-SUM($U$33:$U$45))*Parameters!$B$37/12</f>
        <v>0</v>
      </c>
      <c r="K47" s="63" t="str">
        <f>(SUM($U$15:$U$26)-SUM($U$33:$U$45))*Parameters!$B$37/12</f>
        <v>0</v>
      </c>
      <c r="L47" s="63" t="str">
        <f>(SUM($U$15:$U$26)-SUM($U$33:$U$45))*Parameters!$B$37/12</f>
        <v>0</v>
      </c>
      <c r="M47" s="63" t="str">
        <f>(SUM($U$15:$U$26)-SUM($U$33:$U$45))*Parameters!$B$37/12</f>
        <v>0</v>
      </c>
      <c r="N47" s="63" t="str">
        <f>(SUM($U$15:$U$26)-SUM($U$33:$U$45))*Parameters!$B$37/12</f>
        <v>0</v>
      </c>
      <c r="O47" s="63" t="str">
        <f>(SUM($U$15:$U$26)-SUM($U$33:$U$45))*Parameters!$B$37/12</f>
        <v>0</v>
      </c>
      <c r="P47" s="63" t="str">
        <f>(SUM($U$15:$U$26)-SUM($U$33:$U$45))*Parameters!$B$37/12</f>
        <v>0</v>
      </c>
      <c r="Q47" s="63" t="str">
        <f>(SUM($U$15:$U$26)-SUM($U$33:$U$45))*Parameters!$B$37/12</f>
        <v>0</v>
      </c>
      <c r="R47" s="63" t="str">
        <f>(SUM($U$15:$U$26)-SUM($U$33:$U$45))*Parameters!$B$37/12</f>
        <v>0</v>
      </c>
      <c r="S47" s="63" t="str">
        <f>(SUM($U$15:$U$26)-SUM($U$33:$U$45))*Parameters!$B$37/12</f>
        <v>0</v>
      </c>
      <c r="T47" s="63" t="str">
        <f>SUM(IF($B$7:$S$7+$B$8:$S$8&gt;0,B47:S47,0))</f>
        <v>0</v>
      </c>
      <c r="U47" s="63" t="str">
        <f>SUM(B47:S47)</f>
        <v>0</v>
      </c>
    </row>
    <row r="48" spans="1:23" customHeight="1" ht="15.75">
      <c r="A48" s="116" t="s">
        <v>43</v>
      </c>
      <c r="B48" s="40" t="str">
        <f>SUM(IF(Calculations!$E$23:$E$27&gt;COUNT(Output!$B$32:B32),Calculations!$B$23:$B$27,IF(Calculations!$E$23:$E$27=COUNT(Output!$B$32:B32),Inputs!$B$67:$B$71-Calculations!$C$23:$C$27*(Calculations!$E$23:$E$27-1)+Calculations!$D$23:$D$27)))</f>
        <v>0</v>
      </c>
      <c r="C48" s="40" t="str">
        <f>SUM(IF(Calculations!$E$23:$E$27&gt;COUNT(Output!$B$32:C32),Calculations!$B$23:$B$27,IF(Calculations!$E$23:$E$27=COUNT(Output!$B$32:C32),Inputs!$B$67:$B$71-Calculations!$C$23:$C$27*(Calculations!$E$23:$E$27-1)+Calculations!$D$23:$D$27)))</f>
        <v>0</v>
      </c>
      <c r="D48" s="40" t="str">
        <f>SUM(IF(Calculations!$E$23:$E$27&gt;COUNT(Output!$B$32:D32),Calculations!$B$23:$B$27,IF(Calculations!$E$23:$E$27=COUNT(Output!$B$32:D32),Inputs!$B$67:$B$71-Calculations!$C$23:$C$27*(Calculations!$E$23:$E$27-1)+Calculations!$D$23:$D$27)))</f>
        <v>0</v>
      </c>
      <c r="E48" s="40" t="str">
        <f>SUM(IF(Calculations!$E$23:$E$27&gt;COUNT(Output!$B$32:E32),Calculations!$B$23:$B$27,IF(Calculations!$E$23:$E$27=COUNT(Output!$B$32:E32),Inputs!$B$67:$B$71-Calculations!$C$23:$C$27*(Calculations!$E$23:$E$27-1)+Calculations!$D$23:$D$27)))</f>
        <v>0</v>
      </c>
      <c r="F48" s="40" t="str">
        <f>SUM(IF(Calculations!$E$23:$E$27&gt;COUNT(Output!$B$32:F32),Calculations!$B$23:$B$27,IF(Calculations!$E$23:$E$27=COUNT(Output!$B$32:F32),Inputs!$B$67:$B$71-Calculations!$C$23:$C$27*(Calculations!$E$23:$E$27-1)+Calculations!$D$23:$D$27)))</f>
        <v>0</v>
      </c>
      <c r="G48" s="40" t="str">
        <f>SUM(IF(Calculations!$E$23:$E$27&gt;COUNT(Output!$B$32:G32),Calculations!$B$23:$B$27,IF(Calculations!$E$23:$E$27=COUNT(Output!$B$32:G32),Inputs!$B$67:$B$71-Calculations!$C$23:$C$27*(Calculations!$E$23:$E$27-1)+Calculations!$D$23:$D$27)))</f>
        <v>0</v>
      </c>
      <c r="H48" s="40" t="str">
        <f>SUM(IF(Calculations!$E$23:$E$27&gt;COUNT(Output!$B$32:H32),Calculations!$B$23:$B$27,IF(Calculations!$E$23:$E$27=COUNT(Output!$B$32:H32),Inputs!$B$67:$B$71-Calculations!$C$23:$C$27*(Calculations!$E$23:$E$27-1)+Calculations!$D$23:$D$27)))</f>
        <v>0</v>
      </c>
      <c r="I48" s="40" t="str">
        <f>SUM(IF(Calculations!$E$23:$E$27&gt;COUNT(Output!$B$32:I32),Calculations!$B$23:$B$27,IF(Calculations!$E$23:$E$27=COUNT(Output!$B$32:I32),Inputs!$B$67:$B$71-Calculations!$C$23:$C$27*(Calculations!$E$23:$E$27-1)+Calculations!$D$23:$D$27)))</f>
        <v>0</v>
      </c>
      <c r="J48" s="40" t="str">
        <f>SUM(IF(Calculations!$E$23:$E$27&gt;COUNT(Output!$B$32:J32),Calculations!$B$23:$B$27,IF(Calculations!$E$23:$E$27=COUNT(Output!$B$32:J32),Inputs!$B$67:$B$71-Calculations!$C$23:$C$27*(Calculations!$E$23:$E$27-1)+Calculations!$D$23:$D$27)))</f>
        <v>0</v>
      </c>
      <c r="K48" s="40" t="str">
        <f>SUM(IF(Calculations!$E$23:$E$27&gt;COUNT(Output!$B$32:K32),Calculations!$B$23:$B$27,IF(Calculations!$E$23:$E$27=COUNT(Output!$B$32:K32),Inputs!$B$67:$B$71-Calculations!$C$23:$C$27*(Calculations!$E$23:$E$27-1)+Calculations!$D$23:$D$27)))</f>
        <v>0</v>
      </c>
      <c r="L48" s="40" t="str">
        <f>SUM(IF(Calculations!$E$23:$E$27&gt;COUNT(Output!$B$32:L32),Calculations!$B$23:$B$27,IF(Calculations!$E$23:$E$27=COUNT(Output!$B$32:L32),Inputs!$B$67:$B$71-Calculations!$C$23:$C$27*(Calculations!$E$23:$E$27-1)+Calculations!$D$23:$D$27)))</f>
        <v>0</v>
      </c>
      <c r="M48" s="40" t="str">
        <f>SUM(IF(Calculations!$E$23:$E$27&gt;COUNT(Output!$B$32:M32),Calculations!$B$23:$B$27,IF(Calculations!$E$23:$E$27=COUNT(Output!$B$32:M32),Inputs!$B$67:$B$71-Calculations!$C$23:$C$27*(Calculations!$E$23:$E$27-1)+Calculations!$D$23:$D$27)))</f>
        <v>0</v>
      </c>
      <c r="N48" s="40" t="str">
        <f>SUM(IF(Calculations!$E$23:$E$27&gt;COUNT(Output!$B$32:N32),Calculations!$B$23:$B$27,IF(Calculations!$E$23:$E$27=COUNT(Output!$B$32:N32),Inputs!$B$67:$B$71-Calculations!$C$23:$C$27*(Calculations!$E$23:$E$27-1)+Calculations!$D$23:$D$27)))</f>
        <v>0</v>
      </c>
      <c r="O48" s="40" t="str">
        <f>SUM(IF(Calculations!$E$23:$E$27&gt;COUNT(Output!$B$32:O32),Calculations!$B$23:$B$27,IF(Calculations!$E$23:$E$27=COUNT(Output!$B$32:O32),Inputs!$B$67:$B$71-Calculations!$C$23:$C$27*(Calculations!$E$23:$E$27-1)+Calculations!$D$23:$D$27)))</f>
        <v>0</v>
      </c>
      <c r="P48" s="40" t="str">
        <f>SUM(IF(Calculations!$E$23:$E$27&gt;COUNT(Output!$B$32:P32),Calculations!$B$23:$B$27,IF(Calculations!$E$23:$E$27=COUNT(Output!$B$32:P32),Inputs!$B$67:$B$71-Calculations!$C$23:$C$27*(Calculations!$E$23:$E$27-1)+Calculations!$D$23:$D$27)))</f>
        <v>0</v>
      </c>
      <c r="Q48" s="40" t="str">
        <f>SUM(IF(Calculations!$E$23:$E$27&gt;COUNT(Output!$B$32:Q32),Calculations!$B$23:$B$27,IF(Calculations!$E$23:$E$27=COUNT(Output!$B$32:Q32),Inputs!$B$67:$B$71-Calculations!$C$23:$C$27*(Calculations!$E$23:$E$27-1)+Calculations!$D$23:$D$27)))</f>
        <v>0</v>
      </c>
      <c r="R48" s="40" t="str">
        <f>SUM(IF(Calculations!$E$23:$E$27&gt;COUNT(Output!$B$32:R32),Calculations!$B$23:$B$27,IF(Calculations!$E$23:$E$27=COUNT(Output!$B$32:R32),Inputs!$B$67:$B$71-Calculations!$C$23:$C$27*(Calculations!$E$23:$E$27-1)+Calculations!$D$23:$D$27)))</f>
        <v>0</v>
      </c>
      <c r="S48" s="40" t="str">
        <f>SUM(IF(Calculations!$E$23:$E$27&gt;COUNT(Output!$B$32:S32),Calculations!$B$23:$B$27,IF(Calculations!$E$23:$E$27=COUNT(Output!$B$32:S32),Inputs!$B$67:$B$71-Calculations!$C$23:$C$27*(Calculations!$E$23:$E$27-1)+Calculations!$D$23:$D$27)))</f>
        <v>0</v>
      </c>
      <c r="T48" s="40" t="str">
        <f>SUM(IF($B$7:$S$7+$B$8:$S$8&gt;0,B48:S48,0))</f>
        <v>0</v>
      </c>
      <c r="U48" s="40" t="str">
        <f>SUM(B48:S48)</f>
        <v>0</v>
      </c>
    </row>
    <row r="49" spans="1:23" customHeight="1" ht="15.75">
      <c r="A49" s="1" t="s">
        <v>29</v>
      </c>
      <c r="B49" s="22" t="str">
        <f>SUM(B33:B48)</f>
        <v>0</v>
      </c>
      <c r="C49" s="22" t="str">
        <f>SUM(C33:C48)</f>
        <v>0</v>
      </c>
      <c r="D49" s="22" t="str">
        <f>SUM(D33:D48)</f>
        <v>0</v>
      </c>
      <c r="E49" s="22" t="str">
        <f>SUM(E33:E48)</f>
        <v>0</v>
      </c>
      <c r="F49" s="22" t="str">
        <f>SUM(F33:F48)</f>
        <v>0</v>
      </c>
      <c r="G49" s="22" t="str">
        <f>SUM(G33:G48)</f>
        <v>0</v>
      </c>
      <c r="H49" s="22" t="str">
        <f>SUM(H33:H48)</f>
        <v>0</v>
      </c>
      <c r="I49" s="22" t="str">
        <f>SUM(I33:I48)</f>
        <v>0</v>
      </c>
      <c r="J49" s="22" t="str">
        <f>SUM(J33:J48)</f>
        <v>0</v>
      </c>
      <c r="K49" s="22" t="str">
        <f>SUM(K33:K48)</f>
        <v>0</v>
      </c>
      <c r="L49" s="22" t="str">
        <f>SUM(L33:L48)</f>
        <v>0</v>
      </c>
      <c r="M49" s="22" t="str">
        <f>SUM(M33:M48)</f>
        <v>0</v>
      </c>
      <c r="N49" s="22" t="str">
        <f>SUM(N33:N48)</f>
        <v>0</v>
      </c>
      <c r="O49" s="22" t="str">
        <f>SUM(O33:O48)</f>
        <v>0</v>
      </c>
      <c r="P49" s="22" t="str">
        <f>SUM(P33:P48)</f>
        <v>0</v>
      </c>
      <c r="Q49" s="22" t="str">
        <f>SUM(Q33:Q48)</f>
        <v>0</v>
      </c>
      <c r="R49" s="22" t="str">
        <f>SUM(R33:R48)</f>
        <v>0</v>
      </c>
      <c r="S49" s="22" t="str">
        <f>SUM(S33:S48)</f>
        <v>0</v>
      </c>
      <c r="T49" s="22" t="str">
        <f>SUM(IF($B$7:$S$7+$B$8:$S$8&gt;0,B49:S49,0))</f>
        <v>0</v>
      </c>
      <c r="U49" s="22" t="str">
        <f>SUM(U33:U48)</f>
        <v>0</v>
      </c>
    </row>
    <row r="50" spans="1:23"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</row>
    <row r="51" spans="1:23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</row>
    <row r="52" spans="1:23">
      <c r="A52" s="4" t="s">
        <v>44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5"/>
    </row>
    <row r="54" spans="1:23">
      <c r="A54" s="6" t="s">
        <v>45</v>
      </c>
      <c r="B54" s="6"/>
    </row>
    <row r="55" spans="1:23">
      <c r="A55" t="s">
        <v>46</v>
      </c>
      <c r="B55" s="39" t="str">
        <f>Inputs!B60</f>
        <v>0</v>
      </c>
    </row>
    <row r="56" spans="1:23">
      <c r="A56" t="s">
        <v>47</v>
      </c>
      <c r="B56" s="39" t="str">
        <f>Inputs!B58</f>
        <v>0</v>
      </c>
    </row>
    <row r="57" spans="1:23">
      <c r="A57" t="s">
        <v>48</v>
      </c>
      <c r="B57" s="39" t="str">
        <f>SUMPRODUCT(Inputs!B25:B27,Calculations!L14:L16)</f>
        <v>0</v>
      </c>
    </row>
    <row r="58" spans="1:23">
      <c r="A58" t="s">
        <v>49</v>
      </c>
      <c r="B58" s="39" t="str">
        <f>IF(Inputs!B53="Yes",SUM(Inputs!B7:B11)*INDEX(Parameters!$G$58:$H$72,MATCH(Inputs!$B$86,Parameters!$A$58:$A$72,0),MATCH(Inputs!$B$54,Parameters!$G$56:$H$56,0)),0)</f>
        <v>0</v>
      </c>
    </row>
    <row r="59" spans="1:23">
      <c r="A59" t="s">
        <v>50</v>
      </c>
      <c r="B59" s="39" t="str">
        <f>IF(Inputs!B55="Yes",Inputs!B56,0)</f>
        <v>0</v>
      </c>
    </row>
    <row r="60" spans="1:23">
      <c r="A60" t="s">
        <v>51</v>
      </c>
      <c r="B60" s="39" t="str">
        <f>Inputs!B57</f>
        <v>0</v>
      </c>
    </row>
    <row r="61" spans="1:23" customHeight="1" ht="15.75">
      <c r="A61" s="21" t="s">
        <v>52</v>
      </c>
      <c r="B61" s="40" t="str">
        <f>Inputs!B59</f>
        <v>0</v>
      </c>
    </row>
    <row r="62" spans="1:23" customHeight="1" ht="15.75">
      <c r="A62" s="1" t="s">
        <v>53</v>
      </c>
      <c r="B62" s="22" t="str">
        <f>SUM(B55:B61)</f>
        <v>0</v>
      </c>
    </row>
    <row r="64" spans="1:23">
      <c r="A64" s="6" t="s">
        <v>54</v>
      </c>
      <c r="B64" s="6"/>
    </row>
    <row r="65" spans="1:23">
      <c r="A65" t="s">
        <v>55</v>
      </c>
      <c r="B65" s="39" t="str">
        <f>Inputs!B62</f>
        <v>0</v>
      </c>
    </row>
    <row r="66" spans="1:23">
      <c r="A66" t="s">
        <v>56</v>
      </c>
      <c r="B66" s="39" t="str">
        <f>SUM(Inputs!B67:B71)</f>
        <v>0</v>
      </c>
    </row>
    <row r="67" spans="1:23" customHeight="1" ht="15.75">
      <c r="A67" s="21" t="s">
        <v>57</v>
      </c>
      <c r="B67" s="40" t="str">
        <f>Calculations!F35</f>
        <v>0</v>
      </c>
    </row>
    <row r="68" spans="1:23" customHeight="1" ht="15.75">
      <c r="A68" s="1" t="s">
        <v>58</v>
      </c>
      <c r="B68" s="22" t="str">
        <f>SUM(B65:B67)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97"/>
  <sheetViews>
    <sheetView tabSelected="1" workbookViewId="0" zoomScale="90" zoomScaleNormal="90" showGridLines="false" showRowColHeaders="1">
      <selection activeCell="D31" sqref="D3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.5703125" customWidth="true" style="0"/>
    <col min="4" max="4" width="30.140625" customWidth="true" style="0"/>
    <col min="5" max="5" width="34.85546875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32.28515625" customWidth="true" style="0"/>
  </cols>
  <sheetData>
    <row r="2" spans="1:49">
      <c r="A2" s="4" t="s">
        <v>59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5"/>
      <c r="P2" s="5"/>
    </row>
    <row r="4" spans="1:49">
      <c r="A4" s="15" t="s">
        <v>60</v>
      </c>
    </row>
    <row r="5" spans="1:49">
      <c r="A5" s="46"/>
      <c r="B5" s="46"/>
      <c r="C5" s="46"/>
      <c r="D5" s="46"/>
      <c r="E5" s="46"/>
      <c r="F5" s="46"/>
      <c r="G5" s="46"/>
      <c r="H5" s="46"/>
      <c r="I5" s="46"/>
    </row>
    <row r="6" spans="1:49" customHeight="1" ht="28.5">
      <c r="A6" s="11" t="s">
        <v>61</v>
      </c>
      <c r="B6" s="11" t="s">
        <v>62</v>
      </c>
      <c r="C6" s="11" t="s">
        <v>63</v>
      </c>
      <c r="D6" s="11" t="s">
        <v>64</v>
      </c>
      <c r="E6" s="11" t="s">
        <v>65</v>
      </c>
      <c r="F6" s="11" t="s">
        <v>66</v>
      </c>
      <c r="G6" s="11" t="s">
        <v>67</v>
      </c>
      <c r="H6" s="11" t="s">
        <v>68</v>
      </c>
      <c r="I6" s="11" t="s">
        <v>69</v>
      </c>
      <c r="J6" s="11" t="s">
        <v>70</v>
      </c>
      <c r="K6" s="11" t="s">
        <v>71</v>
      </c>
    </row>
    <row r="7" spans="1:49">
      <c r="A7" s="49" t="s">
        <v>72</v>
      </c>
      <c r="B7" s="49">
        <v>12</v>
      </c>
      <c r="C7" s="178">
        <v>5</v>
      </c>
      <c r="D7" s="53" t="s">
        <v>73</v>
      </c>
      <c r="E7" s="123" t="s">
        <v>74</v>
      </c>
      <c r="F7" s="53">
        <v>14</v>
      </c>
      <c r="G7" s="53" t="s">
        <v>73</v>
      </c>
      <c r="H7" s="124" t="s">
        <v>75</v>
      </c>
      <c r="I7" s="58" t="s">
        <v>76</v>
      </c>
      <c r="J7" s="59">
        <v>40</v>
      </c>
      <c r="K7" s="74">
        <v>5</v>
      </c>
      <c r="L7" s="44"/>
    </row>
    <row r="8" spans="1:49">
      <c r="A8" s="50"/>
      <c r="B8" s="50"/>
      <c r="C8" s="179"/>
      <c r="D8" s="55"/>
      <c r="E8" s="124"/>
      <c r="F8" s="55"/>
      <c r="G8" s="55"/>
      <c r="H8" s="124"/>
      <c r="I8" s="58"/>
      <c r="J8" s="60"/>
      <c r="K8" s="75"/>
    </row>
    <row r="9" spans="1:49">
      <c r="A9" s="50"/>
      <c r="B9" s="50"/>
      <c r="C9" s="179"/>
      <c r="D9" s="55"/>
      <c r="E9" s="124"/>
      <c r="F9" s="55"/>
      <c r="G9" s="55"/>
      <c r="H9" s="124"/>
      <c r="I9" s="58"/>
      <c r="J9" s="60"/>
      <c r="K9" s="75"/>
    </row>
    <row r="10" spans="1:49">
      <c r="A10" s="50"/>
      <c r="B10" s="50"/>
      <c r="C10" s="179"/>
      <c r="D10" s="55"/>
      <c r="E10" s="124"/>
      <c r="F10" s="55"/>
      <c r="G10" s="55"/>
      <c r="H10" s="124"/>
      <c r="I10" s="58"/>
      <c r="J10" s="60"/>
      <c r="K10" s="75"/>
    </row>
    <row r="11" spans="1:49">
      <c r="A11" s="51"/>
      <c r="B11" s="51"/>
      <c r="C11" s="180"/>
      <c r="D11" s="57"/>
      <c r="E11" s="125"/>
      <c r="F11" s="57"/>
      <c r="G11" s="57"/>
      <c r="H11" s="125"/>
      <c r="I11" s="61"/>
      <c r="J11" s="62"/>
      <c r="K11" s="76"/>
    </row>
    <row r="13" spans="1:49">
      <c r="A13" s="15" t="str">
        <f>IF(OR(A11="Other crops",A10="Other crops",A9="Other crops",A8="Other crops",A7="Other crops"),"Please provide the following details about the 'Other crops' crop(s) indicated above","")</f>
        <v>0</v>
      </c>
    </row>
    <row r="15" spans="1:49">
      <c r="A15" t="str">
        <f>IF(A13&lt;&gt;"","What is the Other crop(s) that you are planting?","")</f>
        <v>0</v>
      </c>
      <c r="D15" s="18"/>
    </row>
    <row r="16" spans="1:49">
      <c r="A16" t="str">
        <f>IF(A13&lt;&gt;"","How many Kg are you expecting to harvest in one cycle?","")</f>
        <v>0</v>
      </c>
      <c r="D16" s="19"/>
    </row>
    <row r="17" spans="1:49">
      <c r="A17" t="s">
        <v>77</v>
      </c>
      <c r="D17" s="19"/>
    </row>
    <row r="18" spans="1:49">
      <c r="A18" t="str">
        <f>IF(A13&lt;&gt;"","What is the price/ Kg you are going to be paid (in Ksh)?","")</f>
        <v>0</v>
      </c>
      <c r="D18" s="19"/>
    </row>
    <row r="20" spans="1:49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5"/>
      <c r="P20" s="5"/>
    </row>
    <row r="22" spans="1:49">
      <c r="A22" s="15" t="s">
        <v>78</v>
      </c>
    </row>
    <row r="23" spans="1:49">
      <c r="A23" s="46"/>
      <c r="B23" s="46"/>
      <c r="C23" s="46"/>
      <c r="D23" s="46"/>
      <c r="E23" s="46"/>
      <c r="F23" s="46"/>
      <c r="G23" s="46"/>
    </row>
    <row r="24" spans="1:49" customHeight="1" ht="41.25">
      <c r="A24" s="11" t="s">
        <v>79</v>
      </c>
      <c r="B24" s="11" t="s">
        <v>80</v>
      </c>
      <c r="C24" s="11" t="s">
        <v>81</v>
      </c>
      <c r="D24" s="11" t="s">
        <v>82</v>
      </c>
      <c r="E24" s="11" t="s">
        <v>83</v>
      </c>
      <c r="F24" s="11" t="s">
        <v>84</v>
      </c>
      <c r="G24" s="11" t="s">
        <v>85</v>
      </c>
    </row>
    <row r="25" spans="1:49">
      <c r="A25" s="49" t="s">
        <v>86</v>
      </c>
      <c r="B25" s="49">
        <v>23</v>
      </c>
      <c r="C25" s="53">
        <v>23</v>
      </c>
      <c r="D25" s="53" t="s">
        <v>73</v>
      </c>
      <c r="E25" s="53" t="s">
        <v>87</v>
      </c>
      <c r="F25" s="59">
        <v>10</v>
      </c>
      <c r="G25" s="59">
        <v>10</v>
      </c>
    </row>
    <row r="26" spans="1:49">
      <c r="A26" s="50"/>
      <c r="B26" s="50"/>
      <c r="C26" s="55"/>
      <c r="D26" s="55"/>
      <c r="E26" s="55"/>
      <c r="F26" s="60"/>
      <c r="G26" s="60"/>
    </row>
    <row r="27" spans="1:49">
      <c r="A27" s="51"/>
      <c r="B27" s="51"/>
      <c r="C27" s="57"/>
      <c r="D27" s="57"/>
      <c r="E27" s="57"/>
      <c r="F27" s="62"/>
      <c r="G27" s="62"/>
    </row>
    <row r="29" spans="1:49">
      <c r="A29" s="15" t="str">
        <f>IF(OR(A27="Other animals",A26="Other animals",A25="Other animals"),"Please provide the following details about the 'Other animals' animal(s) indicated above","")</f>
        <v>0</v>
      </c>
    </row>
    <row r="31" spans="1:49">
      <c r="A31" t="str">
        <f>IF(A29&lt;&gt;"","What is the Other animal(s) that you are breeding?","")</f>
        <v>0</v>
      </c>
      <c r="D31" s="18"/>
    </row>
    <row r="32" spans="1:49">
      <c r="A32" t="str">
        <f>IF(A29&lt;&gt;"","How many animals are you going to sell in one year?","")</f>
        <v>0</v>
      </c>
      <c r="D32" s="19"/>
    </row>
    <row r="33" spans="1:49">
      <c r="A33" t="str">
        <f>IF(A29&lt;&gt;"","What is the price you are going to be paid per animal (in Ksh)?","")</f>
        <v>0</v>
      </c>
      <c r="D33" s="19"/>
    </row>
    <row r="34" spans="1:49">
      <c r="A34" t="str">
        <f>IF(A29&lt;&gt;"","How much do you spend per month in feeds + labor + veterinary for these 'Other animals'?","")</f>
        <v>0</v>
      </c>
      <c r="D34" s="19"/>
    </row>
    <row r="36" spans="1:49">
      <c r="A36" s="4" t="s">
        <v>88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5"/>
      <c r="P36" s="5"/>
    </row>
    <row r="37" spans="1:49" customHeight="1" ht="6"/>
    <row r="38" spans="1:49" customHeight="1" ht="30">
      <c r="A38" s="80" t="s">
        <v>89</v>
      </c>
      <c r="B38" s="81">
        <v>30</v>
      </c>
    </row>
    <row r="40" spans="1:49">
      <c r="A40" s="15" t="s">
        <v>90</v>
      </c>
    </row>
    <row r="42" spans="1:49">
      <c r="A42" s="48" t="s">
        <v>91</v>
      </c>
      <c r="B42" s="181" t="s">
        <v>92</v>
      </c>
    </row>
    <row r="43" spans="1:49">
      <c r="A43" s="47" t="s">
        <v>93</v>
      </c>
      <c r="B43" s="54">
        <v>7000</v>
      </c>
    </row>
    <row r="44" spans="1:49">
      <c r="A44" s="6" t="s">
        <v>94</v>
      </c>
      <c r="B44" s="56">
        <v>2000</v>
      </c>
    </row>
    <row r="46" spans="1:49">
      <c r="A46" s="15" t="s">
        <v>95</v>
      </c>
    </row>
    <row r="47" spans="1:49">
      <c r="A47" s="11" t="s">
        <v>96</v>
      </c>
      <c r="B47" s="11" t="s">
        <v>97</v>
      </c>
      <c r="C47" s="11" t="s">
        <v>98</v>
      </c>
      <c r="D47" s="65" t="s">
        <v>99</v>
      </c>
    </row>
    <row r="48" spans="1:49">
      <c r="A48" s="49"/>
      <c r="B48" s="52"/>
      <c r="C48" s="53"/>
      <c r="D48" s="66"/>
    </row>
    <row r="49" spans="1:49">
      <c r="A49" s="51"/>
      <c r="B49" s="56"/>
      <c r="C49" s="57"/>
      <c r="D49" s="66" t="str">
        <f>IFERROR(VLOOKUP(C49,Parameters!$C$79:$D$90,2,0),"")</f>
        <v>0</v>
      </c>
    </row>
    <row r="51" spans="1:49">
      <c r="A51" s="4" t="s">
        <v>100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5"/>
      <c r="P51" s="5"/>
    </row>
    <row r="53" spans="1:49">
      <c r="A53" s="77" t="s">
        <v>101</v>
      </c>
      <c r="B53" s="72" t="s">
        <v>73</v>
      </c>
    </row>
    <row r="54" spans="1:49">
      <c r="A54" s="77" t="s">
        <v>102</v>
      </c>
      <c r="B54" s="72" t="s">
        <v>103</v>
      </c>
    </row>
    <row r="55" spans="1:49">
      <c r="A55" s="78" t="s">
        <v>104</v>
      </c>
      <c r="B55" s="72" t="s">
        <v>105</v>
      </c>
    </row>
    <row r="56" spans="1:49">
      <c r="A56" s="78" t="s">
        <v>106</v>
      </c>
      <c r="B56" s="73"/>
    </row>
    <row r="57" spans="1:49" customHeight="1" ht="30">
      <c r="A57" s="79" t="s">
        <v>107</v>
      </c>
      <c r="B57" s="73">
        <v>23232323</v>
      </c>
    </row>
    <row r="58" spans="1:49" customHeight="1" ht="30">
      <c r="A58" s="79" t="s">
        <v>108</v>
      </c>
      <c r="B58" s="73">
        <v>23232</v>
      </c>
    </row>
    <row r="59" spans="1:49" customHeight="1" ht="45">
      <c r="A59" s="79" t="s">
        <v>109</v>
      </c>
      <c r="B59" s="73">
        <v>2323</v>
      </c>
    </row>
    <row r="60" spans="1:49" customHeight="1" ht="30">
      <c r="A60" s="79" t="s">
        <v>110</v>
      </c>
      <c r="B60" s="73">
        <v>23345</v>
      </c>
    </row>
    <row r="61" spans="1:49">
      <c r="A61" s="46"/>
      <c r="B61" s="39"/>
    </row>
    <row r="62" spans="1:49">
      <c r="A62" s="80" t="s">
        <v>111</v>
      </c>
      <c r="B62" s="73">
        <v>234</v>
      </c>
    </row>
    <row r="63" spans="1:49">
      <c r="A63" s="46"/>
    </row>
    <row r="64" spans="1:49">
      <c r="A64" s="4" t="s">
        <v>112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5"/>
      <c r="P64" s="5"/>
    </row>
    <row r="66" spans="1:49" customHeight="1" ht="30.75">
      <c r="A66" s="90" t="s">
        <v>113</v>
      </c>
      <c r="B66" s="11" t="s">
        <v>114</v>
      </c>
      <c r="C66" s="11" t="s">
        <v>115</v>
      </c>
      <c r="D66" s="11" t="s">
        <v>116</v>
      </c>
      <c r="E66" s="11" t="s">
        <v>117</v>
      </c>
      <c r="F66" s="11" t="s">
        <v>118</v>
      </c>
    </row>
    <row r="67" spans="1:49">
      <c r="A67" s="52">
        <v>60000</v>
      </c>
      <c r="B67" s="52">
        <v>40000</v>
      </c>
      <c r="C67" s="94" t="s">
        <v>119</v>
      </c>
      <c r="D67" s="91">
        <v>10000</v>
      </c>
      <c r="E67" s="91" t="s">
        <v>73</v>
      </c>
      <c r="F67" s="91" t="s">
        <v>120</v>
      </c>
    </row>
    <row r="68" spans="1:49">
      <c r="A68" s="54"/>
      <c r="B68" s="54"/>
      <c r="C68" s="95"/>
      <c r="D68" s="92"/>
      <c r="E68" s="92"/>
      <c r="F68" s="92"/>
    </row>
    <row r="69" spans="1:49">
      <c r="A69" s="54"/>
      <c r="B69" s="54"/>
      <c r="C69" s="95"/>
      <c r="D69" s="92"/>
      <c r="E69" s="92"/>
      <c r="F69" s="92"/>
    </row>
    <row r="70" spans="1:49">
      <c r="A70" s="54"/>
      <c r="B70" s="54"/>
      <c r="C70" s="95"/>
      <c r="D70" s="92"/>
      <c r="E70" s="92"/>
      <c r="F70" s="92"/>
    </row>
    <row r="71" spans="1:49">
      <c r="A71" s="56"/>
      <c r="B71" s="56"/>
      <c r="C71" s="96"/>
      <c r="D71" s="93"/>
      <c r="E71" s="93"/>
      <c r="F71" s="93"/>
    </row>
    <row r="74" spans="1:49">
      <c r="A74" s="4" t="s">
        <v>121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5"/>
      <c r="P74" s="5"/>
    </row>
    <row r="76" spans="1:49">
      <c r="A76" s="90" t="s">
        <v>99</v>
      </c>
      <c r="B76" s="11" t="s">
        <v>122</v>
      </c>
      <c r="C76" s="11" t="s">
        <v>123</v>
      </c>
    </row>
    <row r="77" spans="1:49">
      <c r="A77" s="49" t="s">
        <v>124</v>
      </c>
      <c r="B77" s="52">
        <v>40000</v>
      </c>
      <c r="C77" s="91">
        <v>4000</v>
      </c>
      <c r="D77" s="66"/>
    </row>
    <row r="78" spans="1:49">
      <c r="A78" s="50" t="s">
        <v>125</v>
      </c>
      <c r="B78" s="54">
        <v>8000</v>
      </c>
      <c r="C78" s="92">
        <v>4600</v>
      </c>
      <c r="D78" s="66"/>
    </row>
    <row r="79" spans="1:49">
      <c r="A79" s="50" t="s">
        <v>126</v>
      </c>
      <c r="B79" s="54">
        <v>8070</v>
      </c>
      <c r="C79" s="92">
        <v>5670</v>
      </c>
      <c r="D79" s="66"/>
    </row>
    <row r="80" spans="1:49">
      <c r="A80" s="50" t="s">
        <v>127</v>
      </c>
      <c r="B80" s="54">
        <v>87705</v>
      </c>
      <c r="C80" s="92">
        <v>8770</v>
      </c>
      <c r="D80" s="66"/>
    </row>
    <row r="81" spans="1:49">
      <c r="A81" s="50" t="s">
        <v>128</v>
      </c>
      <c r="B81" s="54">
        <v>877098</v>
      </c>
      <c r="C81" s="92">
        <v>7098</v>
      </c>
      <c r="D81" s="66"/>
    </row>
    <row r="82" spans="1:49">
      <c r="A82" s="51" t="s">
        <v>129</v>
      </c>
      <c r="B82" s="56">
        <v>34567</v>
      </c>
      <c r="C82" s="93">
        <v>567</v>
      </c>
      <c r="D82" s="66"/>
    </row>
    <row r="84" spans="1:49">
      <c r="A84" s="4" t="s">
        <v>130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5"/>
      <c r="P84" s="5"/>
    </row>
    <row r="86" spans="1:49">
      <c r="A86" t="s">
        <v>131</v>
      </c>
      <c r="B86" s="73"/>
    </row>
    <row r="87" spans="1:49">
      <c r="A87" t="s">
        <v>132</v>
      </c>
      <c r="B87" s="104" t="s">
        <v>133</v>
      </c>
    </row>
    <row r="89" spans="1:49" customHeight="1" ht="20.25">
      <c r="B89" s="170" t="s">
        <v>134</v>
      </c>
      <c r="C89" s="170" t="s">
        <v>135</v>
      </c>
    </row>
    <row r="90" spans="1:49">
      <c r="A90" t="s">
        <v>136</v>
      </c>
      <c r="B90" s="104" t="s">
        <v>133</v>
      </c>
      <c r="C90" s="16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</row>
    <row r="91" spans="1:49">
      <c r="A91" t="s">
        <v>137</v>
      </c>
      <c r="B91" s="104" t="s">
        <v>138</v>
      </c>
      <c r="C91" s="16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</row>
    <row r="92" spans="1:49">
      <c r="A92" t="s">
        <v>139</v>
      </c>
      <c r="B92" s="73">
        <v>5000</v>
      </c>
      <c r="C92" s="167"/>
    </row>
    <row r="93" spans="1:49">
      <c r="A93" t="s">
        <v>140</v>
      </c>
      <c r="B93" s="164">
        <v>22</v>
      </c>
      <c r="C93" s="168"/>
    </row>
    <row r="94" spans="1:49">
      <c r="A94" t="s">
        <v>141</v>
      </c>
      <c r="B94" s="165" t="s">
        <v>142</v>
      </c>
      <c r="C94" s="169"/>
    </row>
    <row r="95" spans="1:49">
      <c r="A95" t="s">
        <v>143</v>
      </c>
      <c r="B95" s="165">
        <v>24</v>
      </c>
      <c r="C95" s="169"/>
    </row>
    <row r="96" spans="1:49">
      <c r="A96" t="s">
        <v>144</v>
      </c>
      <c r="B96" s="73">
        <v>2</v>
      </c>
      <c r="C96" s="167"/>
    </row>
    <row r="97" spans="1:49">
      <c r="A97" t="s">
        <v>145</v>
      </c>
      <c r="B97" s="73">
        <v>2</v>
      </c>
      <c r="C97" s="1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15:D18">
    <cfRule type="expression" dxfId="0" priority="1">
      <formula>$A$13&lt;&gt;""</formula>
    </cfRule>
  </conditionalFormatting>
  <conditionalFormatting sqref="D31:D34">
    <cfRule type="expression" dxfId="0" priority="2">
      <formula>$A$13&lt;&gt;""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H5" sqref="H5"/>
    </sheetView>
  </sheetViews>
  <sheetFormatPr defaultRowHeight="14.4" outlineLevelRow="0" outlineLevelCol="0"/>
  <cols>
    <col min="1" max="1" width="15.7109375" customWidth="true" style="0"/>
    <col min="2" max="2" width="18.85546875" customWidth="true" style="46"/>
    <col min="3" max="3" width="23.7109375" customWidth="true" style="46"/>
    <col min="4" max="4" width="19.42578125" customWidth="true" style="0"/>
    <col min="5" max="5" width="2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8.710937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5"/>
    </row>
    <row r="2" spans="1:46">
      <c r="B2" s="46"/>
      <c r="C2" s="46"/>
    </row>
    <row r="3" spans="1:46" customHeight="1" ht="28.5">
      <c r="A3" s="16" t="s">
        <v>61</v>
      </c>
      <c r="B3" s="16" t="s">
        <v>146</v>
      </c>
      <c r="C3" s="16" t="s">
        <v>147</v>
      </c>
      <c r="D3" s="16" t="s">
        <v>148</v>
      </c>
      <c r="E3" s="16" t="s">
        <v>149</v>
      </c>
      <c r="F3" s="16" t="s">
        <v>150</v>
      </c>
      <c r="G3" s="16" t="s">
        <v>151</v>
      </c>
      <c r="H3" s="16" t="s">
        <v>152</v>
      </c>
      <c r="I3" s="16" t="s">
        <v>153</v>
      </c>
      <c r="J3" s="16" t="s">
        <v>154</v>
      </c>
      <c r="K3" s="16" t="s">
        <v>155</v>
      </c>
      <c r="L3" s="16" t="s">
        <v>156</v>
      </c>
      <c r="M3" s="16" t="s">
        <v>157</v>
      </c>
      <c r="N3" s="16" t="s">
        <v>158</v>
      </c>
      <c r="O3" s="16" t="s">
        <v>159</v>
      </c>
      <c r="P3" s="35" t="s">
        <v>160</v>
      </c>
      <c r="Q3" s="16" t="s">
        <v>161</v>
      </c>
      <c r="R3" s="16" t="s">
        <v>162</v>
      </c>
      <c r="S3" s="16" t="s">
        <v>163</v>
      </c>
      <c r="T3" s="35" t="s">
        <v>164</v>
      </c>
      <c r="U3" s="35" t="s">
        <v>165</v>
      </c>
      <c r="V3" s="35" t="s">
        <v>166</v>
      </c>
      <c r="W3" s="35" t="s">
        <v>167</v>
      </c>
      <c r="X3" s="35" t="s">
        <v>35</v>
      </c>
      <c r="Y3" s="35" t="s">
        <v>168</v>
      </c>
      <c r="Z3" s="35" t="s">
        <v>169</v>
      </c>
      <c r="AA3" s="82" t="str">
        <f>Output!B3</f>
        <v>0</v>
      </c>
      <c r="AB3" s="82" t="str">
        <f>Output!C3</f>
        <v>0</v>
      </c>
      <c r="AC3" s="82" t="str">
        <f>Output!D3</f>
        <v>0</v>
      </c>
      <c r="AD3" s="82" t="str">
        <f>Output!E3</f>
        <v>0</v>
      </c>
      <c r="AE3" s="82" t="str">
        <f>Output!F3</f>
        <v>0</v>
      </c>
      <c r="AF3" s="82" t="str">
        <f>Output!G3</f>
        <v>0</v>
      </c>
      <c r="AG3" s="82" t="str">
        <f>Output!H3</f>
        <v>0</v>
      </c>
      <c r="AH3" s="82" t="str">
        <f>Output!I3</f>
        <v>0</v>
      </c>
      <c r="AI3" s="82" t="str">
        <f>Output!J3</f>
        <v>0</v>
      </c>
      <c r="AJ3" s="82" t="str">
        <f>Output!K3</f>
        <v>0</v>
      </c>
      <c r="AK3" s="82" t="str">
        <f>Output!L3</f>
        <v>0</v>
      </c>
      <c r="AL3" s="82" t="str">
        <f>Output!M3</f>
        <v>0</v>
      </c>
      <c r="AM3" s="82" t="str">
        <f>Output!N3</f>
        <v>0</v>
      </c>
      <c r="AN3" s="82" t="str">
        <f>Output!O3</f>
        <v>0</v>
      </c>
      <c r="AO3" s="82" t="str">
        <f>Output!P3</f>
        <v>0</v>
      </c>
      <c r="AP3" s="82" t="str">
        <f>Output!Q3</f>
        <v>0</v>
      </c>
      <c r="AQ3" s="82" t="str">
        <f>Output!R3</f>
        <v>0</v>
      </c>
      <c r="AR3" s="82" t="str">
        <f>Output!S3</f>
        <v>0</v>
      </c>
    </row>
    <row r="4" spans="1:46" s="24" customFormat="1">
      <c r="A4" s="23" t="str">
        <f>Inputs!A7</f>
        <v>0</v>
      </c>
      <c r="B4" s="41" t="str">
        <f>IFERROR(IF(DATE(YEAR(Inputs!$B$87),VLOOKUP(VLOOKUP(A4,Inputs!$A$7:$I$11,MATCH(Inputs!$I$6,Inputs!$A$6:$J$6,0),0),Parameters!$C$79:$D$90,2,0)+1,1)&gt;Inputs!$B$87,DATE(YEAR(Inputs!$B$87),VLOOKUP(VLOOKUP(A4,Inputs!$A$7:$I$11,MATCH(Inputs!$I$6,Inputs!$A$6:$J$6,0),0),Parameters!$C$79:$D$90,2,0),1),DATE(YEAR(Inputs!$B$87)+1,VLOOKUP(VLOOKUP(A4,Inputs!$A$7:$I$11,MATCH(Inputs!$I$6,Inputs!$A$6:$J$6,0),0),Parameters!$C$79:$D$90,2,0),1)),"")</f>
        <v>0</v>
      </c>
      <c r="C4" s="41" t="str">
        <f>IFERROR(DATE(YEAR(B4),MONTH(B4)+ROUND(S4/2,0),DAY(B4)),B4)</f>
        <v>0</v>
      </c>
      <c r="D4" s="41" t="str">
        <f>IFERROR(DATE(YEAR(B4),MONTH(B4)+S4,DAY(B4)),"")</f>
        <v>0</v>
      </c>
      <c r="E4" s="41" t="str">
        <f>IF($R4=0,"",IF($R4=2,DATE(YEAR(B4),MONTH(B4)+6,DAY(B4)),IF($R4=1,B4,"")))</f>
        <v>0</v>
      </c>
      <c r="F4" s="41" t="str">
        <f>IF($R4=0,"",IF($R4=2,DATE(YEAR(C4),MONTH(C4)+6,DAY(C4)),IF($R4=1,C4,"")))</f>
        <v>0</v>
      </c>
      <c r="G4" s="41" t="str">
        <f>IF($R4=0,"",IF($R4=2,DATE(YEAR(D4),MONTH(D4)+6,DAY(D4)),IF($R4=1,D4,"")))</f>
        <v>0</v>
      </c>
      <c r="H4" s="23" t="str">
        <f>IF(AND(Inputs!A7&lt;&gt;Parameters!$A$4,Inputs!A7&lt;&gt;Parameters!$A$9,Inputs!A7&lt;&gt;Parameters!$A$11,Inputs!A7&lt;&gt;Parameters!$A$15),Inputs!B7+Inputs!C7,Inputs!B7)</f>
        <v>0</v>
      </c>
      <c r="I4" s="29" t="str">
        <f>IFERROR(Inputs!F7/Calculations!H4*50,"")</f>
        <v>0</v>
      </c>
      <c r="J4" s="29" t="str">
        <f>IFERROR(INDEX(Parameters!$A$3:$V$17,MATCH(Calculations!$A4,Parameters!$A$3:$A$17,0),MATCH(Parameters!$I$3,Parameters!$A$3:$V$3,0)),0)</f>
        <v>0</v>
      </c>
      <c r="K4" s="32" t="str">
        <f>IFERROR(IF(A4="Other crops",Inputs!$D$16/Calculations!H4,IF(NOT(ISERROR(MATCH(Inputs!A7,Parameters!$C$56:$H$56,0))),INDEX(Parameters!$A$57:$H$72,MATCH(Inputs!$B$86,Parameters!$A$57:$A$72,0),MATCH(Parameters!$C$57,Parameters!$A$57:$H$57,0)),INDEX(Parameters!$A$3:$V$17,MATCH(Calculations!$A4,Parameters!$A$3:$A$17,0),MATCH(Parameters!$B$3,Parameters!$A$3:$V$3,0)))*(1+IF(Inputs!D7="Yes",INDEX(Parameters!$A$3:$V$17,MATCH(Calculations!$A4,Parameters!$A$3:$A$17,0),MATCH(Parameters!$C$3,Parameters!$A$3:$V$3,0)),0))*(1+IF(Inputs!G7="Yes",INDEX(Parameters!$A$3:$V$17,MATCH(Calculations!$A4,Parameters!$A$3:$A$17,0),MATCH(Parameters!$F$3,Parameters!$A$3:$V$3,0)),0))*(1+IF(I4=0,0,IF(I4/J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A$57:$F$72,MATCH(Inputs!$B$86,Parameters!$A$57:$A$72,0),MATCH(Parameters!$F$57,Parameters!$A$57:$F$57,0))="Yes",Inputs!H7="No"),INDEX(Parameters!$A$3:$AI$17,MATCH(Inputs!A7,Parameters!$A$3:$A$17,0),MATCH(Parameters!$H$3,Parameters!$A$3:$AI$3,0)),1),1),0)</f>
        <v>0</v>
      </c>
      <c r="L4" s="28" t="str">
        <f>K4*H4</f>
        <v>0</v>
      </c>
      <c r="M4" s="25" t="str">
        <f>Inputs!J7</f>
        <v>0</v>
      </c>
      <c r="N4" s="33" t="str">
        <f>IFERROR(IF(A4="Other crops",Inputs!$D$18,IF(Inputs!D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O4" s="25" t="str">
        <f>IFERROR(INDEX(Parameters!$A$3:$V$17,MATCH(Calculations!$A4,Parameters!$A$3:$A$17,0),MATCH($O$3,Parameters!$A$3:$V$3,0)),0)</f>
        <v>0</v>
      </c>
      <c r="P4" s="36" t="str">
        <f>L4*N4*(1-M4)*MAX(R4,1)</f>
        <v>0</v>
      </c>
      <c r="Q4" s="25" t="str">
        <f>IFERROR(INDEX(Parameters!$A$3:$V$17,MATCH(Calculations!$A4,Parameters!$A$3:$A$17,0),MATCH($Q$3,Parameters!$A$3:$V$3,0)),0)</f>
        <v>0</v>
      </c>
      <c r="R4" s="28" t="str">
        <f>IF(ISERROR(MATCH(Inputs!A7,Parameters!$C$56:$H$56,0)),IF(S4&lt;6,2,IF(S4="N/A",0,1)),INDEX(Parameters!$A$57:$H$72,MATCH(Inputs!$B$86,Parameters!$A$57:$A$72,0),MATCH(Parameters!$D$57,Parameters!$A$57:$H$57,0)))</f>
        <v>0</v>
      </c>
      <c r="S4" s="28" t="str">
        <f>IF(ISERROR(MATCH(Inputs!A7,Parameters!$C$56:$H$56,0)),IFERROR(INDEX(Parameters!$A$3:$AI$17,MATCH(Inputs!A7,Parameters!$A$3:$A$17,0),MATCH(Parameters!$W$3,Parameters!$A$3:$AI$3,0)),IF(Inputs!$D$17&lt;&gt;Parameters!$C$78,MOD(VLOOKUP(Inputs!$D$17,Parameters!$C$79:$D$90,2,0)-MONTH(Calculations!B4),12),"N/A")),INDEX(Parameters!$A$57:$H$72,MATCH(Inputs!$B$86,Parameters!$A$57:$A$72,0),MATCH(Parameters!$E$57,Parameters!$A$57:$H$57,0)))</f>
        <v>0</v>
      </c>
      <c r="T4" s="36" t="str">
        <f>IFERROR(IF(Inputs!D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U4" s="36" t="str">
        <f>IFERROR(I4*H4*Parameters!$B$35+IF(OR(Inputs!E7=Parameters!$E$79,Inputs!E7=Parameters!$E$81),Calculations!H4*Parameters!$B$36,0),0)</f>
        <v>0</v>
      </c>
      <c r="V4" s="36" t="str">
        <f>IFERROR(IF(I4/J4&gt;0.5,H4*INDEX(Parameters!$A$3:$AI$17,MATCH(Calculations!A4,Parameters!$A$3:$A$17,0),MATCH(Parameters!$J$3,Parameters!$A$3:$AI$3,0)),0),0)</f>
        <v>0</v>
      </c>
      <c r="W4" s="36" t="str">
        <f>IF(Inputs!G7="Yes",IFERROR(H4*INDEX(Parameters!$A$3:$AI$17,MATCH(Calculations!A4,Parameters!$A$3:$A$17,0),MATCH(Parameters!$P$3,Parameters!$A$3:$AI$3,0)),AVERAGE(Parameters!$P$4:$P$17)),0)</f>
        <v>0</v>
      </c>
      <c r="X4" s="36" t="str">
        <f>IF(Inputs!H7=Parameters!$F$79,H4*INDEX(Parameters!$A$3:$AI$17,MATCH(Calculations!A4,Parameters!$A$3:$A$17,0),MATCH(Parameters!$Q$3,Parameters!$A$3:$AI$3,0)),0)</f>
        <v>0</v>
      </c>
      <c r="Y4" s="36" t="str">
        <f>IFERROR(IF(Inputs!K7&gt;0,INDEX(Parameters!$A$3:$AI$17,MATCH(Calculations!A4,Parameters!$A$3:$A$17,0),MATCH(Parameters!$R$3,Parameters!$A$3:$AI$3,0)),0)*L4/R4,0)</f>
        <v>0</v>
      </c>
      <c r="Z4" s="36" t="str">
        <f>H4*IFERROR(INDEX(Parameters!$A$3:$AI$17,MATCH(Calculations!A4,Parameters!$A$3:$A$17,0),MATCH(Parameters!$O$3,Parameters!$A$3:$AI$3,0)),AVERAGE(Parameters!$O$4:$O$17))*(1-Inputs!$B$38)</f>
        <v>0</v>
      </c>
      <c r="AA4" s="83" t="str">
        <f>IFERROR(IF($A4="Other crops",1/12,INDEX(Parameters!$X$2:$AI$17,MATCH(Calculations!$A4,Parameters!$A$2:$A$17,0),MATCH(MONTH(Calculations!AA$3),Parameters!$X$2:$AI$2,0))),0)</f>
        <v>0</v>
      </c>
      <c r="AB4" s="83" t="str">
        <f>IFERROR(IF($A4="Other crops",1/12,INDEX(Parameters!$X$2:$AI$17,MATCH(Calculations!$A4,Parameters!$A$2:$A$17,0),MATCH(MONTH(Calculations!AB$3),Parameters!$X$2:$AI$2,0))),0)</f>
        <v>0</v>
      </c>
      <c r="AC4" s="83" t="str">
        <f>IFERROR(IF($A4="Other crops",1/12,INDEX(Parameters!$X$2:$AI$17,MATCH(Calculations!$A4,Parameters!$A$2:$A$17,0),MATCH(MONTH(Calculations!AC$3),Parameters!$X$2:$AI$2,0))),0)</f>
        <v>0</v>
      </c>
      <c r="AD4" s="83" t="str">
        <f>IFERROR(IF($A4="Other crops",1/12,INDEX(Parameters!$X$2:$AI$17,MATCH(Calculations!$A4,Parameters!$A$2:$A$17,0),MATCH(MONTH(Calculations!AD$3),Parameters!$X$2:$AI$2,0))),0)</f>
        <v>0</v>
      </c>
      <c r="AE4" s="83" t="str">
        <f>IFERROR(IF($A4="Other crops",1/12,INDEX(Parameters!$X$2:$AI$17,MATCH(Calculations!$A4,Parameters!$A$2:$A$17,0),MATCH(MONTH(Calculations!AE$3),Parameters!$X$2:$AI$2,0))),0)</f>
        <v>0</v>
      </c>
      <c r="AF4" s="83" t="str">
        <f>IFERROR(IF($A4="Other crops",1/12,INDEX(Parameters!$X$2:$AI$17,MATCH(Calculations!$A4,Parameters!$A$2:$A$17,0),MATCH(MONTH(Calculations!AF$3),Parameters!$X$2:$AI$2,0))),0)</f>
        <v>0</v>
      </c>
      <c r="AG4" s="83" t="str">
        <f>IFERROR(IF($A4="Other crops",1/12,INDEX(Parameters!$X$2:$AI$17,MATCH(Calculations!$A4,Parameters!$A$2:$A$17,0),MATCH(MONTH(Calculations!AG$3),Parameters!$X$2:$AI$2,0))),0)</f>
        <v>0</v>
      </c>
      <c r="AH4" s="83" t="str">
        <f>IFERROR(IF($A4="Other crops",1/12,INDEX(Parameters!$X$2:$AI$17,MATCH(Calculations!$A4,Parameters!$A$2:$A$17,0),MATCH(MONTH(Calculations!AH$3),Parameters!$X$2:$AI$2,0))),0)</f>
        <v>0</v>
      </c>
      <c r="AI4" s="83" t="str">
        <f>IFERROR(IF($A4="Other crops",1/12,INDEX(Parameters!$X$2:$AI$17,MATCH(Calculations!$A4,Parameters!$A$2:$A$17,0),MATCH(MONTH(Calculations!AI$3),Parameters!$X$2:$AI$2,0))),0)</f>
        <v>0</v>
      </c>
      <c r="AJ4" s="83" t="str">
        <f>IFERROR(IF($A4="Other crops",1/12,INDEX(Parameters!$X$2:$AI$17,MATCH(Calculations!$A4,Parameters!$A$2:$A$17,0),MATCH(MONTH(Calculations!AJ$3),Parameters!$X$2:$AI$2,0))),0)</f>
        <v>0</v>
      </c>
      <c r="AK4" s="83" t="str">
        <f>IFERROR(IF($A4="Other crops",1/12,INDEX(Parameters!$X$2:$AI$17,MATCH(Calculations!$A4,Parameters!$A$2:$A$17,0),MATCH(MONTH(Calculations!AK$3),Parameters!$X$2:$AI$2,0))),0)</f>
        <v>0</v>
      </c>
      <c r="AL4" s="83" t="str">
        <f>IFERROR(IF($A4="Other crops",1/12,INDEX(Parameters!$X$2:$AI$17,MATCH(Calculations!$A4,Parameters!$A$2:$A$17,0),MATCH(MONTH(Calculations!AL$3),Parameters!$X$2:$AI$2,0))),0)</f>
        <v>0</v>
      </c>
      <c r="AM4" s="83" t="str">
        <f>IFERROR(IF($A4="Other crops",1/12,INDEX(Parameters!$X$2:$AI$17,MATCH(Calculations!$A4,Parameters!$A$2:$A$17,0),MATCH(MONTH(Calculations!AM$3),Parameters!$X$2:$AI$2,0))),0)</f>
        <v>0</v>
      </c>
      <c r="AN4" s="83" t="str">
        <f>IFERROR(IF($A4="Other crops",1/12,INDEX(Parameters!$X$2:$AI$17,MATCH(Calculations!$A4,Parameters!$A$2:$A$17,0),MATCH(MONTH(Calculations!AN$3),Parameters!$X$2:$AI$2,0))),0)</f>
        <v>0</v>
      </c>
      <c r="AO4" s="83" t="str">
        <f>IFERROR(IF($A4="Other crops",1/12,INDEX(Parameters!$X$2:$AI$17,MATCH(Calculations!$A4,Parameters!$A$2:$A$17,0),MATCH(MONTH(Calculations!AO$3),Parameters!$X$2:$AI$2,0))),0)</f>
        <v>0</v>
      </c>
      <c r="AP4" s="83" t="str">
        <f>IFERROR(IF($A4="Other crops",1/12,INDEX(Parameters!$X$2:$AI$17,MATCH(Calculations!$A4,Parameters!$A$2:$A$17,0),MATCH(MONTH(Calculations!AP$3),Parameters!$X$2:$AI$2,0))),0)</f>
        <v>0</v>
      </c>
      <c r="AQ4" s="83" t="str">
        <f>IFERROR(IF($A4="Other crops",1/12,INDEX(Parameters!$X$2:$AI$17,MATCH(Calculations!$A4,Parameters!$A$2:$A$17,0),MATCH(MONTH(Calculations!AQ$3),Parameters!$X$2:$AI$2,0))),0)</f>
        <v>0</v>
      </c>
      <c r="AR4" s="83" t="str">
        <f>IFERROR(IF($A4="Other crops",1/12,INDEX(Parameters!$X$2:$AI$17,MATCH(Calculations!$A4,Parameters!$A$2:$A$17,0),MATCH(MONTH(Calculations!AR$3),Parameters!$X$2:$AI$2,0))),0)</f>
        <v>0</v>
      </c>
    </row>
    <row r="5" spans="1:46" s="24" customFormat="1">
      <c r="A5" s="17" t="str">
        <f>Inputs!A8</f>
        <v>0</v>
      </c>
      <c r="B5" s="42" t="str">
        <f>IFERROR(IF(DATE(YEAR(Inputs!$B$87),VLOOKUP(VLOOKUP(A5,Inputs!$A$7:$I$11,MATCH(Inputs!$I$6,Inputs!$A$6:$J$6,0),0),Parameters!$C$79:$D$90,2,0)+1,1)&gt;Inputs!$B$87,DATE(YEAR(Inputs!$B$87),VLOOKUP(VLOOKUP(A5,Inputs!$A$7:$I$11,MATCH(Inputs!$I$6,Inputs!$A$6:$J$6,0),0),Parameters!$C$79:$D$90,2,0),1),DATE(YEAR(Inputs!$B$87)+1,VLOOKUP(VLOOKUP(A5,Inputs!$A$7:$I$11,MATCH(Inputs!$I$6,Inputs!$A$6:$J$6,0),0),Parameters!$C$79:$D$90,2,0),1)),"")</f>
        <v>0</v>
      </c>
      <c r="C5" s="42" t="str">
        <f>IFERROR(DATE(YEAR(B5),MONTH(B5)+ROUND(S5/2,0),DAY(B5)),B5)</f>
        <v>0</v>
      </c>
      <c r="D5" s="42" t="str">
        <f>IFERROR(DATE(YEAR(B5),MONTH(B5)+S5,DAY(B5)),"")</f>
        <v>0</v>
      </c>
      <c r="E5" s="42" t="str">
        <f>IF($R5=0,"",IF($R5=2,DATE(YEAR(B5),MONTH(B5)+6,DAY(B5)),IF($R5=1,B5,"")))</f>
        <v>0</v>
      </c>
      <c r="F5" s="42" t="str">
        <f>IF($R5=0,"",IF($R5=2,DATE(YEAR(C5),MONTH(C5)+6,DAY(C5)),IF($R5=1,C5,"")))</f>
        <v>0</v>
      </c>
      <c r="G5" s="42" t="str">
        <f>IF($R5=0,"",IF($R5=2,DATE(YEAR(D5),MONTH(D5)+6,DAY(D5)),IF($R5=1,D5,"")))</f>
        <v>0</v>
      </c>
      <c r="H5" s="17" t="str">
        <f>IF(AND(Inputs!A8&lt;&gt;Parameters!$A$4,Inputs!A8&lt;&gt;Parameters!$A$9,Inputs!A8&lt;&gt;Parameters!$A$11,Inputs!A8&lt;&gt;Parameters!$A$15),Inputs!B8+Inputs!C8,Inputs!B8)</f>
        <v>0</v>
      </c>
      <c r="I5" s="30" t="str">
        <f>IFERROR(Inputs!F8/Calculations!H5*50,"")</f>
        <v>0</v>
      </c>
      <c r="J5" s="30" t="str">
        <f>IFERROR(INDEX(Parameters!$A$3:$V$17,MATCH(Calculations!$A5,Parameters!$A$3:$A$17,0),MATCH(Parameters!$I$3,Parameters!$A$3:$V$3,0)),0)</f>
        <v>0</v>
      </c>
      <c r="K5" s="127" t="str">
        <f>IFERROR(IF(A5="Other crops",Inputs!$D$16/Calculations!H5,IF(NOT(ISERROR(MATCH(Inputs!A8,Parameters!$C$56:$H$56,0))),INDEX(Parameters!$A$57:$H$72,MATCH(Inputs!$B$86,Parameters!$A$57:$A$72,0),MATCH(Parameters!$C$57,Parameters!$A$57:$H$57,0)),INDEX(Parameters!$A$3:$V$17,MATCH(Calculations!$A5,Parameters!$A$3:$A$17,0),MATCH(Parameters!$B$3,Parameters!$A$3:$V$3,0)))*(1+IF(Inputs!D8="Yes",INDEX(Parameters!$A$3:$V$17,MATCH(Calculations!$A5,Parameters!$A$3:$A$17,0),MATCH(Parameters!$C$3,Parameters!$A$3:$V$3,0)),0))*(1+IF(Inputs!G8="Yes",INDEX(Parameters!$A$3:$V$17,MATCH(Calculations!$A5,Parameters!$A$3:$A$17,0),MATCH(Parameters!$F$3,Parameters!$A$3:$V$3,0)),0))*(1+IF(I5=0,0,IF(I5/J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A$57:$F$72,MATCH(Inputs!$B$86,Parameters!$A$57:$A$72,0),MATCH(Parameters!$F$57,Parameters!$A$57:$F$57,0))="Yes",Inputs!H8="No"),INDEX(Parameters!$A$3:$AI$17,MATCH(Inputs!A8,Parameters!$A$3:$A$17,0),MATCH(Parameters!$H$3,Parameters!$A$3:$AI$3,0)),1),1),0)</f>
        <v>0</v>
      </c>
      <c r="L5" s="33" t="str">
        <f>K5*H5</f>
        <v>0</v>
      </c>
      <c r="M5" s="25" t="str">
        <f>Inputs!J8</f>
        <v>0</v>
      </c>
      <c r="N5" s="33" t="str">
        <f>IFERROR(IF(A5="Other crops",Inputs!$D$18,IF(Inputs!D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O5" s="25" t="str">
        <f>IFERROR(INDEX(Parameters!$A$3:$V$17,MATCH(Calculations!$A5,Parameters!$A$3:$A$17,0),MATCH($O$3,Parameters!$A$3:$V$3,0)),0)</f>
        <v>0</v>
      </c>
      <c r="P5" s="37" t="str">
        <f>L5*N5*(1-M5)*MAX(R5,1)</f>
        <v>0</v>
      </c>
      <c r="Q5" s="25" t="str">
        <f>IFERROR(INDEX(Parameters!$A$3:$V$17,MATCH(Calculations!$A5,Parameters!$A$3:$A$17,0),MATCH($Q$3,Parameters!$A$3:$V$3,0)),0)</f>
        <v>0</v>
      </c>
      <c r="R5" s="33" t="str">
        <f>IF(ISERROR(MATCH(Inputs!A8,Parameters!$C$56:$H$56,0)),IF(S5&lt;6,2,IF(S5="N/A",0,1)),INDEX(Parameters!$A$57:$H$72,MATCH(Inputs!$B$86,Parameters!$A$57:$A$72,0),MATCH(Parameters!$D$57,Parameters!$A$57:$H$57,0)))</f>
        <v>0</v>
      </c>
      <c r="S5" s="33" t="str">
        <f>IF(ISERROR(MATCH(Inputs!A8,Parameters!$C$56:$H$56,0)),IFERROR(INDEX(Parameters!$A$3:$AI$17,MATCH(Inputs!A8,Parameters!$A$3:$A$17,0),MATCH(Parameters!$W$3,Parameters!$A$3:$AI$3,0)),IF(Inputs!$D$17&lt;&gt;Parameters!$C$78,MOD(VLOOKUP(Inputs!$D$17,Parameters!$C$79:$D$90,2,0)-MONTH(Calculations!B5),12),"N/A")),INDEX(Parameters!$A$57:$H$72,MATCH(Inputs!$B$86,Parameters!$A$57:$A$72,0),MATCH(Parameters!$E$57,Parameters!$A$57:$H$57,0)))</f>
        <v>0</v>
      </c>
      <c r="T5" s="37" t="str">
        <f>IFERROR(IF(Inputs!D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U5" s="37" t="str">
        <f>IFERROR(I5*H5*Parameters!$B$35+IF(OR(Inputs!E8=Parameters!$E$79,Inputs!E8=Parameters!$E$81),Calculations!H5*Parameters!$B$36,0),0)</f>
        <v>0</v>
      </c>
      <c r="V5" s="37" t="str">
        <f>IFERROR(IF(I5/J5&gt;0.5,H5*INDEX(Parameters!$A$3:$AI$17,MATCH(Calculations!A5,Parameters!$A$3:$A$17,0),MATCH(Parameters!$J$3,Parameters!$A$3:$AI$3,0)),0),0)</f>
        <v>0</v>
      </c>
      <c r="W5" s="37" t="str">
        <f>IF(Inputs!G8="Yes",IFERROR(H5*INDEX(Parameters!$A$3:$AI$17,MATCH(Calculations!A5,Parameters!$A$3:$A$17,0),MATCH(Parameters!$P$3,Parameters!$A$3:$AI$3,0)),AVERAGE(Parameters!$P$4:$P$17)),0)</f>
        <v>0</v>
      </c>
      <c r="X5" s="37" t="str">
        <f>IF(Inputs!H8=Parameters!$F$79,H5*INDEX(Parameters!$A$3:$AI$17,MATCH(Calculations!A5,Parameters!$A$3:$A$17,0),MATCH(Parameters!$Q$3,Parameters!$A$3:$AI$3,0)),0)</f>
        <v>0</v>
      </c>
      <c r="Y5" s="37" t="str">
        <f>IFERROR(IF(Inputs!K8&gt;0,INDEX(Parameters!$A$3:$AI$17,MATCH(Calculations!A5,Parameters!$A$3:$A$17,0),MATCH(Parameters!$R$3,Parameters!$A$3:$AI$3,0)),0)*L5/R5,0)</f>
        <v>0</v>
      </c>
      <c r="Z5" s="37" t="str">
        <f>H5*IFERROR(INDEX(Parameters!$A$3:$AI$17,MATCH(Calculations!A5,Parameters!$A$3:$A$17,0),MATCH(Parameters!$O$3,Parameters!$A$3:$AI$3,0)),AVERAGE(Parameters!$O$4:$O$17))*(1-Inputs!$B$38)</f>
        <v>0</v>
      </c>
      <c r="AA5" s="25" t="str">
        <f>IFERROR(IF($A5="Other crops",1/12,INDEX(Parameters!$X$2:$AI$17,MATCH(Calculations!$A5,Parameters!$A$2:$A$17,0),MATCH(MONTH(Calculations!AA$3),Parameters!$X$2:$AI$2,0))),0)</f>
        <v>0</v>
      </c>
      <c r="AB5" s="25" t="str">
        <f>IFERROR(IF($A5="Other crops",1/12,INDEX(Parameters!$X$2:$AI$17,MATCH(Calculations!$A5,Parameters!$A$2:$A$17,0),MATCH(MONTH(Calculations!AB$3),Parameters!$X$2:$AI$2,0))),0)</f>
        <v>0</v>
      </c>
      <c r="AC5" s="25" t="str">
        <f>IFERROR(IF($A5="Other crops",1/12,INDEX(Parameters!$X$2:$AI$17,MATCH(Calculations!$A5,Parameters!$A$2:$A$17,0),MATCH(MONTH(Calculations!AC$3),Parameters!$X$2:$AI$2,0))),0)</f>
        <v>0</v>
      </c>
      <c r="AD5" s="25" t="str">
        <f>IFERROR(IF($A5="Other crops",1/12,INDEX(Parameters!$X$2:$AI$17,MATCH(Calculations!$A5,Parameters!$A$2:$A$17,0),MATCH(MONTH(Calculations!AD$3),Parameters!$X$2:$AI$2,0))),0)</f>
        <v>0</v>
      </c>
      <c r="AE5" s="25" t="str">
        <f>IFERROR(IF($A5="Other crops",1/12,INDEX(Parameters!$X$2:$AI$17,MATCH(Calculations!$A5,Parameters!$A$2:$A$17,0),MATCH(MONTH(Calculations!AE$3),Parameters!$X$2:$AI$2,0))),0)</f>
        <v>0</v>
      </c>
      <c r="AF5" s="25" t="str">
        <f>IFERROR(IF($A5="Other crops",1/12,INDEX(Parameters!$X$2:$AI$17,MATCH(Calculations!$A5,Parameters!$A$2:$A$17,0),MATCH(MONTH(Calculations!AF$3),Parameters!$X$2:$AI$2,0))),0)</f>
        <v>0</v>
      </c>
      <c r="AG5" s="25" t="str">
        <f>IFERROR(IF($A5="Other crops",1/12,INDEX(Parameters!$X$2:$AI$17,MATCH(Calculations!$A5,Parameters!$A$2:$A$17,0),MATCH(MONTH(Calculations!AG$3),Parameters!$X$2:$AI$2,0))),0)</f>
        <v>0</v>
      </c>
      <c r="AH5" s="25" t="str">
        <f>IFERROR(IF($A5="Other crops",1/12,INDEX(Parameters!$X$2:$AI$17,MATCH(Calculations!$A5,Parameters!$A$2:$A$17,0),MATCH(MONTH(Calculations!AH$3),Parameters!$X$2:$AI$2,0))),0)</f>
        <v>0</v>
      </c>
      <c r="AI5" s="25" t="str">
        <f>IFERROR(IF($A5="Other crops",1/12,INDEX(Parameters!$X$2:$AI$17,MATCH(Calculations!$A5,Parameters!$A$2:$A$17,0),MATCH(MONTH(Calculations!AI$3),Parameters!$X$2:$AI$2,0))),0)</f>
        <v>0</v>
      </c>
      <c r="AJ5" s="25" t="str">
        <f>IFERROR(IF($A5="Other crops",1/12,INDEX(Parameters!$X$2:$AI$17,MATCH(Calculations!$A5,Parameters!$A$2:$A$17,0),MATCH(MONTH(Calculations!AJ$3),Parameters!$X$2:$AI$2,0))),0)</f>
        <v>0</v>
      </c>
      <c r="AK5" s="25" t="str">
        <f>IFERROR(IF($A5="Other crops",1/12,INDEX(Parameters!$X$2:$AI$17,MATCH(Calculations!$A5,Parameters!$A$2:$A$17,0),MATCH(MONTH(Calculations!AK$3),Parameters!$X$2:$AI$2,0))),0)</f>
        <v>0</v>
      </c>
      <c r="AL5" s="25" t="str">
        <f>IFERROR(IF($A5="Other crops",1/12,INDEX(Parameters!$X$2:$AI$17,MATCH(Calculations!$A5,Parameters!$A$2:$A$17,0),MATCH(MONTH(Calculations!AL$3),Parameters!$X$2:$AI$2,0))),0)</f>
        <v>0</v>
      </c>
      <c r="AM5" s="25" t="str">
        <f>IFERROR(IF($A5="Other crops",1/12,INDEX(Parameters!$X$2:$AI$17,MATCH(Calculations!$A5,Parameters!$A$2:$A$17,0),MATCH(MONTH(Calculations!AM$3),Parameters!$X$2:$AI$2,0))),0)</f>
        <v>0</v>
      </c>
      <c r="AN5" s="25" t="str">
        <f>IFERROR(IF($A5="Other crops",1/12,INDEX(Parameters!$X$2:$AI$17,MATCH(Calculations!$A5,Parameters!$A$2:$A$17,0),MATCH(MONTH(Calculations!AN$3),Parameters!$X$2:$AI$2,0))),0)</f>
        <v>0</v>
      </c>
      <c r="AO5" s="25" t="str">
        <f>IFERROR(IF($A5="Other crops",1/12,INDEX(Parameters!$X$2:$AI$17,MATCH(Calculations!$A5,Parameters!$A$2:$A$17,0),MATCH(MONTH(Calculations!AO$3),Parameters!$X$2:$AI$2,0))),0)</f>
        <v>0</v>
      </c>
      <c r="AP5" s="25" t="str">
        <f>IFERROR(IF($A5="Other crops",1/12,INDEX(Parameters!$X$2:$AI$17,MATCH(Calculations!$A5,Parameters!$A$2:$A$17,0),MATCH(MONTH(Calculations!AP$3),Parameters!$X$2:$AI$2,0))),0)</f>
        <v>0</v>
      </c>
      <c r="AQ5" s="25" t="str">
        <f>IFERROR(IF($A5="Other crops",1/12,INDEX(Parameters!$X$2:$AI$17,MATCH(Calculations!$A5,Parameters!$A$2:$A$17,0),MATCH(MONTH(Calculations!AQ$3),Parameters!$X$2:$AI$2,0))),0)</f>
        <v>0</v>
      </c>
      <c r="AR5" s="25" t="str">
        <f>IFERROR(IF($A5="Other crops",1/12,INDEX(Parameters!$X$2:$AI$17,MATCH(Calculations!$A5,Parameters!$A$2:$A$17,0),MATCH(MONTH(Calculations!AR$3),Parameters!$X$2:$AI$2,0))),0)</f>
        <v>0</v>
      </c>
    </row>
    <row r="6" spans="1:46" s="24" customFormat="1">
      <c r="A6" s="17" t="str">
        <f>Inputs!A9</f>
        <v>0</v>
      </c>
      <c r="B6" s="42" t="str">
        <f>IFERROR(IF(DATE(YEAR(Inputs!$B$87),VLOOKUP(VLOOKUP(A6,Inputs!$A$7:$I$11,MATCH(Inputs!$I$6,Inputs!$A$6:$J$6,0),0),Parameters!$C$79:$D$90,2,0)+1,1)&gt;Inputs!$B$87,DATE(YEAR(Inputs!$B$87),VLOOKUP(VLOOKUP(A6,Inputs!$A$7:$I$11,MATCH(Inputs!$I$6,Inputs!$A$6:$J$6,0),0),Parameters!$C$79:$D$90,2,0),1),DATE(YEAR(Inputs!$B$87)+1,VLOOKUP(VLOOKUP(A6,Inputs!$A$7:$I$11,MATCH(Inputs!$I$6,Inputs!$A$6:$J$6,0),0),Parameters!$C$79:$D$90,2,0),1)),"")</f>
        <v>0</v>
      </c>
      <c r="C6" s="42" t="str">
        <f>IFERROR(DATE(YEAR(B6),MONTH(B6)+ROUND(S6/2,0),DAY(B6)),B6)</f>
        <v>0</v>
      </c>
      <c r="D6" s="42" t="str">
        <f>IFERROR(DATE(YEAR(B6),MONTH(B6)+S6,DAY(B6)),"")</f>
        <v>0</v>
      </c>
      <c r="E6" s="42" t="str">
        <f>IF($R6=0,"",IF($R6=2,DATE(YEAR(B6),MONTH(B6)+6,DAY(B6)),IF($R6=1,B6,"")))</f>
        <v>0</v>
      </c>
      <c r="F6" s="42" t="str">
        <f>IF($R6=0,"",IF($R6=2,DATE(YEAR(C6),MONTH(C6)+6,DAY(C6)),IF($R6=1,C6,"")))</f>
        <v>0</v>
      </c>
      <c r="G6" s="42" t="str">
        <f>IF($R6=0,"",IF($R6=2,DATE(YEAR(D6),MONTH(D6)+6,DAY(D6)),IF($R6=1,D6,"")))</f>
        <v>0</v>
      </c>
      <c r="H6" s="17" t="str">
        <f>IF(AND(Inputs!A9&lt;&gt;Parameters!$A$4,Inputs!A9&lt;&gt;Parameters!$A$9,Inputs!A9&lt;&gt;Parameters!$A$11,Inputs!A9&lt;&gt;Parameters!$A$15),Inputs!B9+Inputs!C9,Inputs!B9)</f>
        <v>0</v>
      </c>
      <c r="I6" s="30" t="str">
        <f>IFERROR(Inputs!F9/Calculations!H6*50,"")</f>
        <v>0</v>
      </c>
      <c r="J6" s="30" t="str">
        <f>IFERROR(INDEX(Parameters!$A$3:$V$17,MATCH(Calculations!$A6,Parameters!$A$3:$A$17,0),MATCH(Parameters!$I$3,Parameters!$A$3:$V$3,0)),0)</f>
        <v>0</v>
      </c>
      <c r="K6" s="127" t="str">
        <f>IFERROR(IF(A6="Other crops",Inputs!$D$16/Calculations!H6,IF(NOT(ISERROR(MATCH(Inputs!A9,Parameters!$C$56:$H$56,0))),INDEX(Parameters!$A$57:$H$72,MATCH(Inputs!$B$86,Parameters!$A$57:$A$72,0),MATCH(Parameters!$C$57,Parameters!$A$57:$H$57,0)),INDEX(Parameters!$A$3:$V$17,MATCH(Calculations!$A6,Parameters!$A$3:$A$17,0),MATCH(Parameters!$B$3,Parameters!$A$3:$V$3,0)))*(1+IF(Inputs!D9="Yes",INDEX(Parameters!$A$3:$V$17,MATCH(Calculations!$A6,Parameters!$A$3:$A$17,0),MATCH(Parameters!$C$3,Parameters!$A$3:$V$3,0)),0))*(1+IF(Inputs!G9="Yes",INDEX(Parameters!$A$3:$V$17,MATCH(Calculations!$A6,Parameters!$A$3:$A$17,0),MATCH(Parameters!$F$3,Parameters!$A$3:$V$3,0)),0))*(1+IF(I6=0,0,IF(I6/J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A$57:$F$72,MATCH(Inputs!$B$86,Parameters!$A$57:$A$72,0),MATCH(Parameters!$F$57,Parameters!$A$57:$F$57,0))="Yes",Inputs!H9="No"),INDEX(Parameters!$A$3:$AI$17,MATCH(Inputs!A9,Parameters!$A$3:$A$17,0),MATCH(Parameters!$H$3,Parameters!$A$3:$AI$3,0)),1),1),0)</f>
        <v>0</v>
      </c>
      <c r="L6" s="33" t="str">
        <f>K6*H6</f>
        <v>0</v>
      </c>
      <c r="M6" s="25" t="str">
        <f>Inputs!J9</f>
        <v>0</v>
      </c>
      <c r="N6" s="33" t="str">
        <f>IFERROR(IF(A6="Other crops",Inputs!$D$18,IF(Inputs!D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O6" s="25" t="str">
        <f>IFERROR(INDEX(Parameters!$A$3:$V$17,MATCH(Calculations!$A6,Parameters!$A$3:$A$17,0),MATCH($O$3,Parameters!$A$3:$V$3,0)),0)</f>
        <v>0</v>
      </c>
      <c r="P6" s="37" t="str">
        <f>L6*N6*(1-M6)*MAX(R6,1)</f>
        <v>0</v>
      </c>
      <c r="Q6" s="25" t="str">
        <f>IFERROR(INDEX(Parameters!$A$3:$V$17,MATCH(Calculations!$A6,Parameters!$A$3:$A$17,0),MATCH($Q$3,Parameters!$A$3:$V$3,0)),0)</f>
        <v>0</v>
      </c>
      <c r="R6" s="33" t="str">
        <f>IF(ISERROR(MATCH(Inputs!A9,Parameters!$C$56:$H$56,0)),IF(S6&lt;6,2,IF(S6="N/A",0,1)),INDEX(Parameters!$A$57:$H$72,MATCH(Inputs!$B$86,Parameters!$A$57:$A$72,0),MATCH(Parameters!$D$57,Parameters!$A$57:$H$57,0)))</f>
        <v>0</v>
      </c>
      <c r="S6" s="33" t="str">
        <f>IF(ISERROR(MATCH(Inputs!A9,Parameters!$C$56:$H$56,0)),IFERROR(INDEX(Parameters!$A$3:$AI$17,MATCH(Inputs!A9,Parameters!$A$3:$A$17,0),MATCH(Parameters!$W$3,Parameters!$A$3:$AI$3,0)),IF(Inputs!$D$17&lt;&gt;Parameters!$C$78,MOD(VLOOKUP(Inputs!$D$17,Parameters!$C$79:$D$90,2,0)-MONTH(Calculations!B6),12),"N/A")),INDEX(Parameters!$A$57:$H$72,MATCH(Inputs!$B$86,Parameters!$A$57:$A$72,0),MATCH(Parameters!$E$57,Parameters!$A$57:$H$57,0)))</f>
        <v>0</v>
      </c>
      <c r="T6" s="37" t="str">
        <f>IFERROR(IF(Inputs!D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U6" s="37" t="str">
        <f>IFERROR(I6*H6*Parameters!$B$35+IF(OR(Inputs!E9=Parameters!$E$79,Inputs!E9=Parameters!$E$81),Calculations!H6*Parameters!$B$36,0),0)</f>
        <v>0</v>
      </c>
      <c r="V6" s="37" t="str">
        <f>IFERROR(IF(I6/J6&gt;0.5,H6*INDEX(Parameters!$A$3:$AI$17,MATCH(Calculations!A6,Parameters!$A$3:$A$17,0),MATCH(Parameters!$J$3,Parameters!$A$3:$AI$3,0)),0),0)</f>
        <v>0</v>
      </c>
      <c r="W6" s="37" t="str">
        <f>IF(Inputs!G9="Yes",IFERROR(H6*INDEX(Parameters!$A$3:$AI$17,MATCH(Calculations!A6,Parameters!$A$3:$A$17,0),MATCH(Parameters!$P$3,Parameters!$A$3:$AI$3,0)),AVERAGE(Parameters!$P$4:$P$17)),0)</f>
        <v>0</v>
      </c>
      <c r="X6" s="37" t="str">
        <f>IF(Inputs!H9=Parameters!$F$79,H6*INDEX(Parameters!$A$3:$AI$17,MATCH(Calculations!A6,Parameters!$A$3:$A$17,0),MATCH(Parameters!$Q$3,Parameters!$A$3:$AI$3,0)),0)</f>
        <v>0</v>
      </c>
      <c r="Y6" s="37" t="str">
        <f>IFERROR(IF(Inputs!K9&gt;0,INDEX(Parameters!$A$3:$AI$17,MATCH(Calculations!A6,Parameters!$A$3:$A$17,0),MATCH(Parameters!$R$3,Parameters!$A$3:$AI$3,0)),0)*L6/R6,0)</f>
        <v>0</v>
      </c>
      <c r="Z6" s="37" t="str">
        <f>H6*IFERROR(INDEX(Parameters!$A$3:$AI$17,MATCH(Calculations!A6,Parameters!$A$3:$A$17,0),MATCH(Parameters!$O$3,Parameters!$A$3:$AI$3,0)),AVERAGE(Parameters!$O$4:$O$17))*(1-Inputs!$B$38)</f>
        <v>0</v>
      </c>
      <c r="AA6" s="25" t="str">
        <f>IFERROR(IF($A6="Other crops",1/12,INDEX(Parameters!$X$2:$AI$17,MATCH(Calculations!$A6,Parameters!$A$2:$A$17,0),MATCH(MONTH(Calculations!AA$3),Parameters!$X$2:$AI$2,0))),0)</f>
        <v>0</v>
      </c>
      <c r="AB6" s="25" t="str">
        <f>IFERROR(IF($A6="Other crops",1/12,INDEX(Parameters!$X$2:$AI$17,MATCH(Calculations!$A6,Parameters!$A$2:$A$17,0),MATCH(MONTH(Calculations!AB$3),Parameters!$X$2:$AI$2,0))),0)</f>
        <v>0</v>
      </c>
      <c r="AC6" s="25" t="str">
        <f>IFERROR(IF($A6="Other crops",1/12,INDEX(Parameters!$X$2:$AI$17,MATCH(Calculations!$A6,Parameters!$A$2:$A$17,0),MATCH(MONTH(Calculations!AC$3),Parameters!$X$2:$AI$2,0))),0)</f>
        <v>0</v>
      </c>
      <c r="AD6" s="25" t="str">
        <f>IFERROR(IF($A6="Other crops",1/12,INDEX(Parameters!$X$2:$AI$17,MATCH(Calculations!$A6,Parameters!$A$2:$A$17,0),MATCH(MONTH(Calculations!AD$3),Parameters!$X$2:$AI$2,0))),0)</f>
        <v>0</v>
      </c>
      <c r="AE6" s="25" t="str">
        <f>IFERROR(IF($A6="Other crops",1/12,INDEX(Parameters!$X$2:$AI$17,MATCH(Calculations!$A6,Parameters!$A$2:$A$17,0),MATCH(MONTH(Calculations!AE$3),Parameters!$X$2:$AI$2,0))),0)</f>
        <v>0</v>
      </c>
      <c r="AF6" s="25" t="str">
        <f>IFERROR(IF($A6="Other crops",1/12,INDEX(Parameters!$X$2:$AI$17,MATCH(Calculations!$A6,Parameters!$A$2:$A$17,0),MATCH(MONTH(Calculations!AF$3),Parameters!$X$2:$AI$2,0))),0)</f>
        <v>0</v>
      </c>
      <c r="AG6" s="25" t="str">
        <f>IFERROR(IF($A6="Other crops",1/12,INDEX(Parameters!$X$2:$AI$17,MATCH(Calculations!$A6,Parameters!$A$2:$A$17,0),MATCH(MONTH(Calculations!AG$3),Parameters!$X$2:$AI$2,0))),0)</f>
        <v>0</v>
      </c>
      <c r="AH6" s="25" t="str">
        <f>IFERROR(IF($A6="Other crops",1/12,INDEX(Parameters!$X$2:$AI$17,MATCH(Calculations!$A6,Parameters!$A$2:$A$17,0),MATCH(MONTH(Calculations!AH$3),Parameters!$X$2:$AI$2,0))),0)</f>
        <v>0</v>
      </c>
      <c r="AI6" s="25" t="str">
        <f>IFERROR(IF($A6="Other crops",1/12,INDEX(Parameters!$X$2:$AI$17,MATCH(Calculations!$A6,Parameters!$A$2:$A$17,0),MATCH(MONTH(Calculations!AI$3),Parameters!$X$2:$AI$2,0))),0)</f>
        <v>0</v>
      </c>
      <c r="AJ6" s="25" t="str">
        <f>IFERROR(IF($A6="Other crops",1/12,INDEX(Parameters!$X$2:$AI$17,MATCH(Calculations!$A6,Parameters!$A$2:$A$17,0),MATCH(MONTH(Calculations!AJ$3),Parameters!$X$2:$AI$2,0))),0)</f>
        <v>0</v>
      </c>
      <c r="AK6" s="25" t="str">
        <f>IFERROR(IF($A6="Other crops",1/12,INDEX(Parameters!$X$2:$AI$17,MATCH(Calculations!$A6,Parameters!$A$2:$A$17,0),MATCH(MONTH(Calculations!AK$3),Parameters!$X$2:$AI$2,0))),0)</f>
        <v>0</v>
      </c>
      <c r="AL6" s="25" t="str">
        <f>IFERROR(IF($A6="Other crops",1/12,INDEX(Parameters!$X$2:$AI$17,MATCH(Calculations!$A6,Parameters!$A$2:$A$17,0),MATCH(MONTH(Calculations!AL$3),Parameters!$X$2:$AI$2,0))),0)</f>
        <v>0</v>
      </c>
      <c r="AM6" s="25" t="str">
        <f>IFERROR(IF($A6="Other crops",1/12,INDEX(Parameters!$X$2:$AI$17,MATCH(Calculations!$A6,Parameters!$A$2:$A$17,0),MATCH(MONTH(Calculations!AM$3),Parameters!$X$2:$AI$2,0))),0)</f>
        <v>0</v>
      </c>
      <c r="AN6" s="25" t="str">
        <f>IFERROR(IF($A6="Other crops",1/12,INDEX(Parameters!$X$2:$AI$17,MATCH(Calculations!$A6,Parameters!$A$2:$A$17,0),MATCH(MONTH(Calculations!AN$3),Parameters!$X$2:$AI$2,0))),0)</f>
        <v>0</v>
      </c>
      <c r="AO6" s="25" t="str">
        <f>IFERROR(IF($A6="Other crops",1/12,INDEX(Parameters!$X$2:$AI$17,MATCH(Calculations!$A6,Parameters!$A$2:$A$17,0),MATCH(MONTH(Calculations!AO$3),Parameters!$X$2:$AI$2,0))),0)</f>
        <v>0</v>
      </c>
      <c r="AP6" s="25" t="str">
        <f>IFERROR(IF($A6="Other crops",1/12,INDEX(Parameters!$X$2:$AI$17,MATCH(Calculations!$A6,Parameters!$A$2:$A$17,0),MATCH(MONTH(Calculations!AP$3),Parameters!$X$2:$AI$2,0))),0)</f>
        <v>0</v>
      </c>
      <c r="AQ6" s="25" t="str">
        <f>IFERROR(IF($A6="Other crops",1/12,INDEX(Parameters!$X$2:$AI$17,MATCH(Calculations!$A6,Parameters!$A$2:$A$17,0),MATCH(MONTH(Calculations!AQ$3),Parameters!$X$2:$AI$2,0))),0)</f>
        <v>0</v>
      </c>
      <c r="AR6" s="25" t="str">
        <f>IFERROR(IF($A6="Other crops",1/12,INDEX(Parameters!$X$2:$AI$17,MATCH(Calculations!$A6,Parameters!$A$2:$A$17,0),MATCH(MONTH(Calculations!AR$3),Parameters!$X$2:$AI$2,0))),0)</f>
        <v>0</v>
      </c>
    </row>
    <row r="7" spans="1:46" s="24" customFormat="1">
      <c r="A7" s="17" t="str">
        <f>Inputs!A10</f>
        <v>0</v>
      </c>
      <c r="B7" s="42" t="str">
        <f>IFERROR(IF(DATE(YEAR(Inputs!$B$87),VLOOKUP(VLOOKUP(A7,Inputs!$A$7:$I$11,MATCH(Inputs!$I$6,Inputs!$A$6:$J$6,0),0),Parameters!$C$79:$D$90,2,0)+1,1)&gt;Inputs!$B$87,DATE(YEAR(Inputs!$B$87),VLOOKUP(VLOOKUP(A7,Inputs!$A$7:$I$11,MATCH(Inputs!$I$6,Inputs!$A$6:$J$6,0),0),Parameters!$C$79:$D$90,2,0),1),DATE(YEAR(Inputs!$B$87)+1,VLOOKUP(VLOOKUP(A7,Inputs!$A$7:$I$11,MATCH(Inputs!$I$6,Inputs!$A$6:$J$6,0),0),Parameters!$C$79:$D$90,2,0),1)),"")</f>
        <v>0</v>
      </c>
      <c r="C7" s="42" t="str">
        <f>IFERROR(DATE(YEAR(B7),MONTH(B7)+ROUND(S7/2,0),DAY(B7)),B7)</f>
        <v>0</v>
      </c>
      <c r="D7" s="42" t="str">
        <f>IFERROR(DATE(YEAR(B7),MONTH(B7)+S7,DAY(B7)),"")</f>
        <v>0</v>
      </c>
      <c r="E7" s="42" t="str">
        <f>IF($R7=0,"",IF($R7=2,DATE(YEAR(B7),MONTH(B7)+6,DAY(B7)),IF($R7=1,B7,"")))</f>
        <v>0</v>
      </c>
      <c r="F7" s="42" t="str">
        <f>IF($R7=0,"",IF($R7=2,DATE(YEAR(C7),MONTH(C7)+6,DAY(C7)),IF($R7=1,C7,"")))</f>
        <v>0</v>
      </c>
      <c r="G7" s="42" t="str">
        <f>IF($R7=0,"",IF($R7=2,DATE(YEAR(D7),MONTH(D7)+6,DAY(D7)),IF($R7=1,D7,"")))</f>
        <v>0</v>
      </c>
      <c r="H7" s="17" t="str">
        <f>IF(AND(Inputs!A10&lt;&gt;Parameters!$A$4,Inputs!A10&lt;&gt;Parameters!$A$9,Inputs!A10&lt;&gt;Parameters!$A$11,Inputs!A10&lt;&gt;Parameters!$A$15),Inputs!B10+Inputs!C10,Inputs!B10)</f>
        <v>0</v>
      </c>
      <c r="I7" s="30" t="str">
        <f>IFERROR(Inputs!F10/Calculations!H7*50,"")</f>
        <v>0</v>
      </c>
      <c r="J7" s="30" t="str">
        <f>IFERROR(INDEX(Parameters!$A$3:$V$17,MATCH(Calculations!$A7,Parameters!$A$3:$A$17,0),MATCH(Parameters!$I$3,Parameters!$A$3:$V$3,0)),0)</f>
        <v>0</v>
      </c>
      <c r="K7" s="127" t="str">
        <f>IFERROR(IF(A7="Other crops",Inputs!$D$16/Calculations!H7,IF(NOT(ISERROR(MATCH(Inputs!A10,Parameters!$C$56:$H$56,0))),INDEX(Parameters!$A$57:$H$72,MATCH(Inputs!$B$86,Parameters!$A$57:$A$72,0),MATCH(Parameters!$C$57,Parameters!$A$57:$H$57,0)),INDEX(Parameters!$A$3:$V$17,MATCH(Calculations!$A7,Parameters!$A$3:$A$17,0),MATCH(Parameters!$B$3,Parameters!$A$3:$V$3,0)))*(1+IF(Inputs!D10="Yes",INDEX(Parameters!$A$3:$V$17,MATCH(Calculations!$A7,Parameters!$A$3:$A$17,0),MATCH(Parameters!$C$3,Parameters!$A$3:$V$3,0)),0))*(1+IF(Inputs!G10="Yes",INDEX(Parameters!$A$3:$V$17,MATCH(Calculations!$A7,Parameters!$A$3:$A$17,0),MATCH(Parameters!$F$3,Parameters!$A$3:$V$3,0)),0))*(1+IF(I7=0,0,IF(I7/J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A$57:$F$72,MATCH(Inputs!$B$86,Parameters!$A$57:$A$72,0),MATCH(Parameters!$F$57,Parameters!$A$57:$F$57,0))="Yes",Inputs!H10="No"),INDEX(Parameters!$A$3:$AI$17,MATCH(Inputs!A10,Parameters!$A$3:$A$17,0),MATCH(Parameters!$H$3,Parameters!$A$3:$AI$3,0)),1),1),0)</f>
        <v>0</v>
      </c>
      <c r="L7" s="33" t="str">
        <f>K7*H7</f>
        <v>0</v>
      </c>
      <c r="M7" s="25" t="str">
        <f>Inputs!J10</f>
        <v>0</v>
      </c>
      <c r="N7" s="33" t="str">
        <f>IFERROR(IF(A7="Other crops",Inputs!$D$18,IF(Inputs!D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O7" s="25" t="str">
        <f>IFERROR(INDEX(Parameters!$A$3:$V$17,MATCH(Calculations!$A7,Parameters!$A$3:$A$17,0),MATCH($O$3,Parameters!$A$3:$V$3,0)),0)</f>
        <v>0</v>
      </c>
      <c r="P7" s="37" t="str">
        <f>L7*N7*(1-M7)*MAX(R7,1)</f>
        <v>0</v>
      </c>
      <c r="Q7" s="25" t="str">
        <f>IFERROR(INDEX(Parameters!$A$3:$V$17,MATCH(Calculations!$A7,Parameters!$A$3:$A$17,0),MATCH($Q$3,Parameters!$A$3:$V$3,0)),0)</f>
        <v>0</v>
      </c>
      <c r="R7" s="33" t="str">
        <f>IF(ISERROR(MATCH(Inputs!A10,Parameters!$C$56:$H$56,0)),IF(S7&lt;6,2,IF(S7="N/A",0,1)),INDEX(Parameters!$A$57:$H$72,MATCH(Inputs!$B$86,Parameters!$A$57:$A$72,0),MATCH(Parameters!$D$57,Parameters!$A$57:$H$57,0)))</f>
        <v>0</v>
      </c>
      <c r="S7" s="33" t="str">
        <f>IF(ISERROR(MATCH(Inputs!A10,Parameters!$C$56:$H$56,0)),IFERROR(INDEX(Parameters!$A$3:$AI$17,MATCH(Inputs!A10,Parameters!$A$3:$A$17,0),MATCH(Parameters!$W$3,Parameters!$A$3:$AI$3,0)),IF(Inputs!$D$17&lt;&gt;Parameters!$C$78,MOD(VLOOKUP(Inputs!$D$17,Parameters!$C$79:$D$90,2,0)-MONTH(Calculations!B7),12),"N/A")),INDEX(Parameters!$A$57:$H$72,MATCH(Inputs!$B$86,Parameters!$A$57:$A$72,0),MATCH(Parameters!$E$57,Parameters!$A$57:$H$57,0)))</f>
        <v>0</v>
      </c>
      <c r="T7" s="37" t="str">
        <f>IFERROR(IF(Inputs!D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U7" s="37" t="str">
        <f>IFERROR(I7*H7*Parameters!$B$35+IF(OR(Inputs!E10=Parameters!$E$79,Inputs!E10=Parameters!$E$81),Calculations!H7*Parameters!$B$36,0),0)</f>
        <v>0</v>
      </c>
      <c r="V7" s="37" t="str">
        <f>IFERROR(IF(I7/J7&gt;0.5,H7*INDEX(Parameters!$A$3:$AI$17,MATCH(Calculations!A7,Parameters!$A$3:$A$17,0),MATCH(Parameters!$J$3,Parameters!$A$3:$AI$3,0)),0),0)</f>
        <v>0</v>
      </c>
      <c r="W7" s="37" t="str">
        <f>IF(Inputs!G10="Yes",IFERROR(H7*INDEX(Parameters!$A$3:$AI$17,MATCH(Calculations!A7,Parameters!$A$3:$A$17,0),MATCH(Parameters!$P$3,Parameters!$A$3:$AI$3,0)),AVERAGE(Parameters!$P$4:$P$17)),0)</f>
        <v>0</v>
      </c>
      <c r="X7" s="37" t="str">
        <f>IF(Inputs!H10=Parameters!$F$79,H7*INDEX(Parameters!$A$3:$AI$17,MATCH(Calculations!A7,Parameters!$A$3:$A$17,0),MATCH(Parameters!$Q$3,Parameters!$A$3:$AI$3,0)),0)</f>
        <v>0</v>
      </c>
      <c r="Y7" s="37" t="str">
        <f>IFERROR(IF(Inputs!K10&gt;0,INDEX(Parameters!$A$3:$AI$17,MATCH(Calculations!A7,Parameters!$A$3:$A$17,0),MATCH(Parameters!$R$3,Parameters!$A$3:$AI$3,0)),0)*L7/R7,0)</f>
        <v>0</v>
      </c>
      <c r="Z7" s="37" t="str">
        <f>H7*IFERROR(INDEX(Parameters!$A$3:$AI$17,MATCH(Calculations!A7,Parameters!$A$3:$A$17,0),MATCH(Parameters!$O$3,Parameters!$A$3:$AI$3,0)),AVERAGE(Parameters!$O$4:$O$17))*(1-Inputs!$B$38)</f>
        <v>0</v>
      </c>
      <c r="AA7" s="25" t="str">
        <f>IFERROR(IF($A7="Other crops",1/12,INDEX(Parameters!$X$2:$AI$17,MATCH(Calculations!$A7,Parameters!$A$2:$A$17,0),MATCH(MONTH(Calculations!AA$3),Parameters!$X$2:$AI$2,0))),0)</f>
        <v>0</v>
      </c>
      <c r="AB7" s="25" t="str">
        <f>IFERROR(IF($A7="Other crops",1/12,INDEX(Parameters!$X$2:$AI$17,MATCH(Calculations!$A7,Parameters!$A$2:$A$17,0),MATCH(MONTH(Calculations!AB$3),Parameters!$X$2:$AI$2,0))),0)</f>
        <v>0</v>
      </c>
      <c r="AC7" s="25" t="str">
        <f>IFERROR(IF($A7="Other crops",1/12,INDEX(Parameters!$X$2:$AI$17,MATCH(Calculations!$A7,Parameters!$A$2:$A$17,0),MATCH(MONTH(Calculations!AC$3),Parameters!$X$2:$AI$2,0))),0)</f>
        <v>0</v>
      </c>
      <c r="AD7" s="25" t="str">
        <f>IFERROR(IF($A7="Other crops",1/12,INDEX(Parameters!$X$2:$AI$17,MATCH(Calculations!$A7,Parameters!$A$2:$A$17,0),MATCH(MONTH(Calculations!AD$3),Parameters!$X$2:$AI$2,0))),0)</f>
        <v>0</v>
      </c>
      <c r="AE7" s="25" t="str">
        <f>IFERROR(IF($A7="Other crops",1/12,INDEX(Parameters!$X$2:$AI$17,MATCH(Calculations!$A7,Parameters!$A$2:$A$17,0),MATCH(MONTH(Calculations!AE$3),Parameters!$X$2:$AI$2,0))),0)</f>
        <v>0</v>
      </c>
      <c r="AF7" s="25" t="str">
        <f>IFERROR(IF($A7="Other crops",1/12,INDEX(Parameters!$X$2:$AI$17,MATCH(Calculations!$A7,Parameters!$A$2:$A$17,0),MATCH(MONTH(Calculations!AF$3),Parameters!$X$2:$AI$2,0))),0)</f>
        <v>0</v>
      </c>
      <c r="AG7" s="25" t="str">
        <f>IFERROR(IF($A7="Other crops",1/12,INDEX(Parameters!$X$2:$AI$17,MATCH(Calculations!$A7,Parameters!$A$2:$A$17,0),MATCH(MONTH(Calculations!AG$3),Parameters!$X$2:$AI$2,0))),0)</f>
        <v>0</v>
      </c>
      <c r="AH7" s="25" t="str">
        <f>IFERROR(IF($A7="Other crops",1/12,INDEX(Parameters!$X$2:$AI$17,MATCH(Calculations!$A7,Parameters!$A$2:$A$17,0),MATCH(MONTH(Calculations!AH$3),Parameters!$X$2:$AI$2,0))),0)</f>
        <v>0</v>
      </c>
      <c r="AI7" s="25" t="str">
        <f>IFERROR(IF($A7="Other crops",1/12,INDEX(Parameters!$X$2:$AI$17,MATCH(Calculations!$A7,Parameters!$A$2:$A$17,0),MATCH(MONTH(Calculations!AI$3),Parameters!$X$2:$AI$2,0))),0)</f>
        <v>0</v>
      </c>
      <c r="AJ7" s="25" t="str">
        <f>IFERROR(IF($A7="Other crops",1/12,INDEX(Parameters!$X$2:$AI$17,MATCH(Calculations!$A7,Parameters!$A$2:$A$17,0),MATCH(MONTH(Calculations!AJ$3),Parameters!$X$2:$AI$2,0))),0)</f>
        <v>0</v>
      </c>
      <c r="AK7" s="25" t="str">
        <f>IFERROR(IF($A7="Other crops",1/12,INDEX(Parameters!$X$2:$AI$17,MATCH(Calculations!$A7,Parameters!$A$2:$A$17,0),MATCH(MONTH(Calculations!AK$3),Parameters!$X$2:$AI$2,0))),0)</f>
        <v>0</v>
      </c>
      <c r="AL7" s="25" t="str">
        <f>IFERROR(IF($A7="Other crops",1/12,INDEX(Parameters!$X$2:$AI$17,MATCH(Calculations!$A7,Parameters!$A$2:$A$17,0),MATCH(MONTH(Calculations!AL$3),Parameters!$X$2:$AI$2,0))),0)</f>
        <v>0</v>
      </c>
      <c r="AM7" s="25" t="str">
        <f>IFERROR(IF($A7="Other crops",1/12,INDEX(Parameters!$X$2:$AI$17,MATCH(Calculations!$A7,Parameters!$A$2:$A$17,0),MATCH(MONTH(Calculations!AM$3),Parameters!$X$2:$AI$2,0))),0)</f>
        <v>0</v>
      </c>
      <c r="AN7" s="25" t="str">
        <f>IFERROR(IF($A7="Other crops",1/12,INDEX(Parameters!$X$2:$AI$17,MATCH(Calculations!$A7,Parameters!$A$2:$A$17,0),MATCH(MONTH(Calculations!AN$3),Parameters!$X$2:$AI$2,0))),0)</f>
        <v>0</v>
      </c>
      <c r="AO7" s="25" t="str">
        <f>IFERROR(IF($A7="Other crops",1/12,INDEX(Parameters!$X$2:$AI$17,MATCH(Calculations!$A7,Parameters!$A$2:$A$17,0),MATCH(MONTH(Calculations!AO$3),Parameters!$X$2:$AI$2,0))),0)</f>
        <v>0</v>
      </c>
      <c r="AP7" s="25" t="str">
        <f>IFERROR(IF($A7="Other crops",1/12,INDEX(Parameters!$X$2:$AI$17,MATCH(Calculations!$A7,Parameters!$A$2:$A$17,0),MATCH(MONTH(Calculations!AP$3),Parameters!$X$2:$AI$2,0))),0)</f>
        <v>0</v>
      </c>
      <c r="AQ7" s="25" t="str">
        <f>IFERROR(IF($A7="Other crops",1/12,INDEX(Parameters!$X$2:$AI$17,MATCH(Calculations!$A7,Parameters!$A$2:$A$17,0),MATCH(MONTH(Calculations!AQ$3),Parameters!$X$2:$AI$2,0))),0)</f>
        <v>0</v>
      </c>
      <c r="AR7" s="25" t="str">
        <f>IFERROR(IF($A7="Other crops",1/12,INDEX(Parameters!$X$2:$AI$17,MATCH(Calculations!$A7,Parameters!$A$2:$A$17,0),MATCH(MONTH(Calculations!AR$3),Parameters!$X$2:$AI$2,0))),0)</f>
        <v>0</v>
      </c>
    </row>
    <row r="8" spans="1:46" s="24" customFormat="1">
      <c r="A8" s="26" t="str">
        <f>Inputs!A11</f>
        <v>0</v>
      </c>
      <c r="B8" s="43" t="str">
        <f>IFERROR(IF(DATE(YEAR(Inputs!$B$87),VLOOKUP(VLOOKUP(A8,Inputs!$A$7:$I$11,MATCH(Inputs!$I$6,Inputs!$A$6:$J$6,0),0),Parameters!$C$79:$D$90,2,0)+1,1)&gt;Inputs!$B$87,DATE(YEAR(Inputs!$B$87),VLOOKUP(VLOOKUP(A8,Inputs!$A$7:$I$11,MATCH(Inputs!$I$6,Inputs!$A$6:$J$6,0),0),Parameters!$C$79:$D$90,2,0),1),DATE(YEAR(Inputs!$B$87)+1,VLOOKUP(VLOOKUP(A8,Inputs!$A$7:$I$11,MATCH(Inputs!$I$6,Inputs!$A$6:$J$6,0),0),Parameters!$C$79:$D$90,2,0),1)),"")</f>
        <v>0</v>
      </c>
      <c r="C8" s="43" t="str">
        <f>IFERROR(DATE(YEAR(B8),MONTH(B8)+ROUND(S8/2,0),DAY(B8)),B8)</f>
        <v>0</v>
      </c>
      <c r="D8" s="43" t="str">
        <f>IFERROR(DATE(YEAR(B8),MONTH(B8)+S8,DAY(B8)),"")</f>
        <v>0</v>
      </c>
      <c r="E8" s="43" t="str">
        <f>IF($R8=0,"",IF($R8=2,DATE(YEAR(B8),MONTH(B8)+6,DAY(B8)),IF($R8=1,B8,"")))</f>
        <v>0</v>
      </c>
      <c r="F8" s="43" t="str">
        <f>IF($R8=0,"",IF($R8=2,DATE(YEAR(C8),MONTH(C8)+6,DAY(C8)),IF($R8=1,C8,"")))</f>
        <v>0</v>
      </c>
      <c r="G8" s="43" t="str">
        <f>IF($R8=0,"",IF($R8=2,DATE(YEAR(D8),MONTH(D8)+6,DAY(D8)),IF($R8=1,D8,"")))</f>
        <v>0</v>
      </c>
      <c r="H8" s="26" t="str">
        <f>IF(AND(Inputs!A11&lt;&gt;Parameters!$A$4,Inputs!A11&lt;&gt;Parameters!$A$9,Inputs!A11&lt;&gt;Parameters!$A$11,Inputs!A11&lt;&gt;Parameters!$A$15),Inputs!B11+Inputs!C11,Inputs!B11)</f>
        <v>0</v>
      </c>
      <c r="I8" s="31" t="str">
        <f>IFERROR(Inputs!F11/Calculations!H8*50,"")</f>
        <v>0</v>
      </c>
      <c r="J8" s="31" t="str">
        <f>IFERROR(INDEX(Parameters!$A$3:$V$17,MATCH(Calculations!$A8,Parameters!$A$3:$A$17,0),MATCH(Parameters!$I$3,Parameters!$A$3:$V$3,0)),0)</f>
        <v>0</v>
      </c>
      <c r="K8" s="128" t="str">
        <f>IFERROR(IF(A8="Other crops",Inputs!$D$16/Calculations!H8,IF(NOT(ISERROR(MATCH(Inputs!A11,Parameters!$C$56:$H$56,0))),INDEX(Parameters!$A$57:$H$72,MATCH(Inputs!$B$86,Parameters!$A$57:$A$72,0),MATCH(Parameters!$C$57,Parameters!$A$57:$H$57,0)),INDEX(Parameters!$A$3:$V$17,MATCH(Calculations!$A8,Parameters!$A$3:$A$17,0),MATCH(Parameters!$B$3,Parameters!$A$3:$V$3,0)))*(1+IF(Inputs!D11="Yes",INDEX(Parameters!$A$3:$V$17,MATCH(Calculations!$A8,Parameters!$A$3:$A$17,0),MATCH(Parameters!$C$3,Parameters!$A$3:$V$3,0)),0))*(1+IF(Inputs!G11="Yes",INDEX(Parameters!$A$3:$V$17,MATCH(Calculations!$A8,Parameters!$A$3:$A$17,0),MATCH(Parameters!$F$3,Parameters!$A$3:$V$3,0)),0))*(1+IF(I8=0,0,IF(I8/J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A$57:$F$72,MATCH(Inputs!$B$86,Parameters!$A$57:$A$72,0),MATCH(Parameters!$F$57,Parameters!$A$57:$F$57,0))="Yes",Inputs!H11="No"),INDEX(Parameters!$A$3:$AI$17,MATCH(Inputs!A11,Parameters!$A$3:$A$17,0),MATCH(Parameters!$H$3,Parameters!$A$3:$AI$3,0)),1),1),0)</f>
        <v>0</v>
      </c>
      <c r="L8" s="34" t="str">
        <f>K8*H8</f>
        <v>0</v>
      </c>
      <c r="M8" s="27" t="str">
        <f>Inputs!J11</f>
        <v>0</v>
      </c>
      <c r="N8" s="34" t="str">
        <f>IFERROR(IF(A8="Other crops",Inputs!$D$18,IF(Inputs!D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O8" s="27" t="str">
        <f>IFERROR(INDEX(Parameters!$A$3:$V$17,MATCH(Calculations!$A8,Parameters!$A$3:$A$17,0),MATCH($O$3,Parameters!$A$3:$V$3,0)),0)</f>
        <v>0</v>
      </c>
      <c r="P8" s="38" t="str">
        <f>L8*N8*(1-M8)*MAX(R8,1)</f>
        <v>0</v>
      </c>
      <c r="Q8" s="27" t="str">
        <f>IFERROR(INDEX(Parameters!$A$3:$V$17,MATCH(Calculations!$A8,Parameters!$A$3:$A$17,0),MATCH($Q$3,Parameters!$A$3:$V$3,0)),0)</f>
        <v>0</v>
      </c>
      <c r="R8" s="34" t="str">
        <f>IF(ISERROR(MATCH(Inputs!A11,Parameters!$C$56:$H$56,0)),IF(S8&lt;6,2,IF(S8="N/A",0,1)),INDEX(Parameters!$A$57:$H$72,MATCH(Inputs!$B$86,Parameters!$A$57:$A$72,0),MATCH(Parameters!$D$57,Parameters!$A$57:$H$57,0)))</f>
        <v>0</v>
      </c>
      <c r="S8" s="34" t="str">
        <f>IF(ISERROR(MATCH(Inputs!A11,Parameters!$C$56:$H$56,0)),IFERROR(INDEX(Parameters!$A$3:$AI$17,MATCH(Inputs!A11,Parameters!$A$3:$A$17,0),MATCH(Parameters!$W$3,Parameters!$A$3:$AI$3,0)),IF(Inputs!$D$17&lt;&gt;Parameters!$C$78,MOD(VLOOKUP(Inputs!$D$17,Parameters!$C$79:$D$90,2,0)-MONTH(Calculations!B8),12),"N/A")),INDEX(Parameters!$A$57:$H$72,MATCH(Inputs!$B$86,Parameters!$A$57:$A$72,0),MATCH(Parameters!$E$57,Parameters!$A$57:$H$57,0)))</f>
        <v>0</v>
      </c>
      <c r="T8" s="38" t="str">
        <f>IFERROR(IF(Inputs!D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U8" s="38" t="str">
        <f>IFERROR(I8*H8*Parameters!$B$35+IF(OR(Inputs!E11=Parameters!$E$79,Inputs!E11=Parameters!$E$81),Calculations!H8*Parameters!$B$36,0),0)</f>
        <v>0</v>
      </c>
      <c r="V8" s="38" t="str">
        <f>IFERROR(IF(I8/J8&gt;0.5,H8*INDEX(Parameters!$A$3:$AI$17,MATCH(Calculations!A8,Parameters!$A$3:$A$17,0),MATCH(Parameters!$J$3,Parameters!$A$3:$AI$3,0)),0),0)</f>
        <v>0</v>
      </c>
      <c r="W8" s="38" t="str">
        <f>IF(Inputs!G11="Yes",IFERROR(H8*INDEX(Parameters!$A$3:$AI$17,MATCH(Calculations!A8,Parameters!$A$3:$A$17,0),MATCH(Parameters!$P$3,Parameters!$A$3:$AI$3,0)),AVERAGE(Parameters!$P$4:$P$17)),0)</f>
        <v>0</v>
      </c>
      <c r="X8" s="38" t="str">
        <f>IF(Inputs!H11=Parameters!$F$79,H8*INDEX(Parameters!$A$3:$AI$17,MATCH(Calculations!A8,Parameters!$A$3:$A$17,0),MATCH(Parameters!$Q$3,Parameters!$A$3:$AI$3,0)),0)</f>
        <v>0</v>
      </c>
      <c r="Y8" s="38" t="str">
        <f>IFERROR(IF(Inputs!K11&gt;0,INDEX(Parameters!$A$3:$AI$17,MATCH(Calculations!A8,Parameters!$A$3:$A$17,0),MATCH(Parameters!$R$3,Parameters!$A$3:$AI$3,0)),0)*L8/R8,0)</f>
        <v>0</v>
      </c>
      <c r="Z8" s="38" t="str">
        <f>H8*IFERROR(INDEX(Parameters!$A$3:$AI$17,MATCH(Calculations!A8,Parameters!$A$3:$A$17,0),MATCH(Parameters!$O$3,Parameters!$A$3:$AI$3,0)),AVERAGE(Parameters!$O$4:$O$17))*(1-Inputs!$B$38)</f>
        <v>0</v>
      </c>
      <c r="AA8" s="27" t="str">
        <f>IFERROR(IF($A8="Other crops",1/12,INDEX(Parameters!$X$2:$AI$17,MATCH(Calculations!$A8,Parameters!$A$2:$A$17,0),MATCH(MONTH(Calculations!AA$3),Parameters!$X$2:$AI$2,0))),0)</f>
        <v>0</v>
      </c>
      <c r="AB8" s="27" t="str">
        <f>IFERROR(IF($A8="Other crops",1/12,INDEX(Parameters!$X$2:$AI$17,MATCH(Calculations!$A8,Parameters!$A$2:$A$17,0),MATCH(MONTH(Calculations!AB$3),Parameters!$X$2:$AI$2,0))),0)</f>
        <v>0</v>
      </c>
      <c r="AC8" s="27" t="str">
        <f>IFERROR(IF($A8="Other crops",1/12,INDEX(Parameters!$X$2:$AI$17,MATCH(Calculations!$A8,Parameters!$A$2:$A$17,0),MATCH(MONTH(Calculations!AC$3),Parameters!$X$2:$AI$2,0))),0)</f>
        <v>0</v>
      </c>
      <c r="AD8" s="27" t="str">
        <f>IFERROR(IF($A8="Other crops",1/12,INDEX(Parameters!$X$2:$AI$17,MATCH(Calculations!$A8,Parameters!$A$2:$A$17,0),MATCH(MONTH(Calculations!AD$3),Parameters!$X$2:$AI$2,0))),0)</f>
        <v>0</v>
      </c>
      <c r="AE8" s="27" t="str">
        <f>IFERROR(IF($A8="Other crops",1/12,INDEX(Parameters!$X$2:$AI$17,MATCH(Calculations!$A8,Parameters!$A$2:$A$17,0),MATCH(MONTH(Calculations!AE$3),Parameters!$X$2:$AI$2,0))),0)</f>
        <v>0</v>
      </c>
      <c r="AF8" s="27" t="str">
        <f>IFERROR(IF($A8="Other crops",1/12,INDEX(Parameters!$X$2:$AI$17,MATCH(Calculations!$A8,Parameters!$A$2:$A$17,0),MATCH(MONTH(Calculations!AF$3),Parameters!$X$2:$AI$2,0))),0)</f>
        <v>0</v>
      </c>
      <c r="AG8" s="27" t="str">
        <f>IFERROR(IF($A8="Other crops",1/12,INDEX(Parameters!$X$2:$AI$17,MATCH(Calculations!$A8,Parameters!$A$2:$A$17,0),MATCH(MONTH(Calculations!AG$3),Parameters!$X$2:$AI$2,0))),0)</f>
        <v>0</v>
      </c>
      <c r="AH8" s="27" t="str">
        <f>IFERROR(IF($A8="Other crops",1/12,INDEX(Parameters!$X$2:$AI$17,MATCH(Calculations!$A8,Parameters!$A$2:$A$17,0),MATCH(MONTH(Calculations!AH$3),Parameters!$X$2:$AI$2,0))),0)</f>
        <v>0</v>
      </c>
      <c r="AI8" s="27" t="str">
        <f>IFERROR(IF($A8="Other crops",1/12,INDEX(Parameters!$X$2:$AI$17,MATCH(Calculations!$A8,Parameters!$A$2:$A$17,0),MATCH(MONTH(Calculations!AI$3),Parameters!$X$2:$AI$2,0))),0)</f>
        <v>0</v>
      </c>
      <c r="AJ8" s="27" t="str">
        <f>IFERROR(IF($A8="Other crops",1/12,INDEX(Parameters!$X$2:$AI$17,MATCH(Calculations!$A8,Parameters!$A$2:$A$17,0),MATCH(MONTH(Calculations!AJ$3),Parameters!$X$2:$AI$2,0))),0)</f>
        <v>0</v>
      </c>
      <c r="AK8" s="27" t="str">
        <f>IFERROR(IF($A8="Other crops",1/12,INDEX(Parameters!$X$2:$AI$17,MATCH(Calculations!$A8,Parameters!$A$2:$A$17,0),MATCH(MONTH(Calculations!AK$3),Parameters!$X$2:$AI$2,0))),0)</f>
        <v>0</v>
      </c>
      <c r="AL8" s="27" t="str">
        <f>IFERROR(IF($A8="Other crops",1/12,INDEX(Parameters!$X$2:$AI$17,MATCH(Calculations!$A8,Parameters!$A$2:$A$17,0),MATCH(MONTH(Calculations!AL$3),Parameters!$X$2:$AI$2,0))),0)</f>
        <v>0</v>
      </c>
      <c r="AM8" s="27" t="str">
        <f>IFERROR(IF($A8="Other crops",1/12,INDEX(Parameters!$X$2:$AI$17,MATCH(Calculations!$A8,Parameters!$A$2:$A$17,0),MATCH(MONTH(Calculations!AM$3),Parameters!$X$2:$AI$2,0))),0)</f>
        <v>0</v>
      </c>
      <c r="AN8" s="27" t="str">
        <f>IFERROR(IF($A8="Other crops",1/12,INDEX(Parameters!$X$2:$AI$17,MATCH(Calculations!$A8,Parameters!$A$2:$A$17,0),MATCH(MONTH(Calculations!AN$3),Parameters!$X$2:$AI$2,0))),0)</f>
        <v>0</v>
      </c>
      <c r="AO8" s="27" t="str">
        <f>IFERROR(IF($A8="Other crops",1/12,INDEX(Parameters!$X$2:$AI$17,MATCH(Calculations!$A8,Parameters!$A$2:$A$17,0),MATCH(MONTH(Calculations!AO$3),Parameters!$X$2:$AI$2,0))),0)</f>
        <v>0</v>
      </c>
      <c r="AP8" s="27" t="str">
        <f>IFERROR(IF($A8="Other crops",1/12,INDEX(Parameters!$X$2:$AI$17,MATCH(Calculations!$A8,Parameters!$A$2:$A$17,0),MATCH(MONTH(Calculations!AP$3),Parameters!$X$2:$AI$2,0))),0)</f>
        <v>0</v>
      </c>
      <c r="AQ8" s="27" t="str">
        <f>IFERROR(IF($A8="Other crops",1/12,INDEX(Parameters!$X$2:$AI$17,MATCH(Calculations!$A8,Parameters!$A$2:$A$17,0),MATCH(MONTH(Calculations!AQ$3),Parameters!$X$2:$AI$2,0))),0)</f>
        <v>0</v>
      </c>
      <c r="AR8" s="27" t="str">
        <f>IFERROR(IF($A8="Other crops",1/12,INDEX(Parameters!$X$2:$AI$17,MATCH(Calculations!$A8,Parameters!$A$2:$A$17,0),MATCH(MONTH(Calculations!AR$3),Parameters!$X$2:$AI$2,0))),0)</f>
        <v>0</v>
      </c>
    </row>
    <row r="9" spans="1:46">
      <c r="B9" s="46"/>
      <c r="C9" s="46"/>
      <c r="L9" s="33"/>
    </row>
    <row r="10" spans="1:46">
      <c r="B10" s="46"/>
      <c r="C10" s="46"/>
      <c r="L10" s="33"/>
    </row>
    <row r="11" spans="1:46">
      <c r="A11" s="4" t="s">
        <v>48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5"/>
    </row>
    <row r="12" spans="1:46">
      <c r="B12" s="46"/>
      <c r="C12" s="46"/>
    </row>
    <row r="13" spans="1:46" customHeight="1" ht="45">
      <c r="A13" s="16" t="s">
        <v>79</v>
      </c>
      <c r="B13" s="16" t="s">
        <v>27</v>
      </c>
      <c r="C13" s="16" t="s">
        <v>170</v>
      </c>
      <c r="D13" s="16" t="s">
        <v>171</v>
      </c>
      <c r="E13" s="16" t="s">
        <v>172</v>
      </c>
      <c r="F13" s="16" t="s">
        <v>173</v>
      </c>
      <c r="G13" s="16" t="s">
        <v>174</v>
      </c>
      <c r="H13" s="16" t="s">
        <v>175</v>
      </c>
      <c r="I13" s="16" t="s">
        <v>176</v>
      </c>
      <c r="J13" s="16" t="s">
        <v>177</v>
      </c>
      <c r="K13" s="16" t="s">
        <v>178</v>
      </c>
      <c r="L13" s="85" t="s">
        <v>179</v>
      </c>
      <c r="M13" s="85" t="s">
        <v>180</v>
      </c>
      <c r="N13" s="85" t="s">
        <v>181</v>
      </c>
      <c r="O13" s="85" t="s">
        <v>182</v>
      </c>
      <c r="P13" s="85" t="s">
        <v>183</v>
      </c>
    </row>
    <row r="14" spans="1:46">
      <c r="A14" s="23" t="str">
        <f>Inputs!A25</f>
        <v>0</v>
      </c>
      <c r="B14" s="23" t="str">
        <f>IFERROR(VLOOKUP(A14,Parameters!$A$23:$B$30,2,0),"")</f>
        <v>0</v>
      </c>
      <c r="C14" s="23" t="str">
        <f>IF(Inputs!A25=Parameters!$A$30,Inputs!$D$31,A14&amp;": "&amp;B14)</f>
        <v>0</v>
      </c>
      <c r="D14" s="17" t="str">
        <f>Inputs!B25</f>
        <v>0</v>
      </c>
      <c r="E14" s="17" t="str">
        <f>Inputs!C25</f>
        <v>0</v>
      </c>
      <c r="F14" t="str">
        <f>IFERROR(INDEX(Parameters!$A$22:$P$29,MATCH(Calculations!$A14,Parameters!$A$22:$A$29,0),MATCH(Parameters!$P$22,Parameters!$A$22:$P$22,0)),"")</f>
        <v>0</v>
      </c>
      <c r="G14" s="97" t="str">
        <f>IFERROR(IF(Inputs!D25="Yes",1+INDEX(Parameters!$A$22:$P$29,MATCH(Calculations!A14,Parameters!$A$22:$A$29,0),MATCH(Parameters!$G$22,Parameters!$A$22:$P$22,0)),1)*IF(Inputs!E25="Sometimes",1+INDEX(Parameters!$A$22:$P$29,MATCH(Calculations!A14,Parameters!$A$22:$A$29,0),MATCH(Parameters!$E$22,Parameters!$A$22:$P$22,0)),IF(Inputs!E25="Always",INDEX(Parameters!$A$22:$P$29,MATCH(Calculations!A14,Parameters!$A$22:$A$29,0),MATCH(Parameters!$F$22,Parameters!$A$22:$P$22,0)),1)),"")</f>
        <v>0</v>
      </c>
      <c r="H14" s="158" t="str">
        <f>IFERROR(IF(B14="meat",INDEX(Parameters!$A$22:$P$29,MATCH(Calculations!A14,Parameters!$A$22:$A$29,0),MATCH(Parameters!$I$22,Parameters!$A$22:$P$22,0))*G14,""),"")</f>
        <v>0</v>
      </c>
      <c r="I14" s="28" t="str">
        <f>IFERROR(IF(B14="meat",IF(Inputs!D25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62" t="str">
        <f>IF(B14&lt;&gt;"meat",IFERROR(INDEX(Parameters!$A$22:$P$29,MATCH(Calculations!A14,Parameters!$A$22:$A$29,0),MATCH(Parameters!$D$22,Parameters!$A$22:$P$22,0))*Calculations!G14,""),"")</f>
        <v>0</v>
      </c>
      <c r="K14" s="30" t="str">
        <f>IFERROR(INDEX(Parameters!$A$22:$P$29,MATCH(Calculations!$A14,Parameters!$A$22:$A$29,0),MATCH(Parameters!$H$22,Parameters!$A$22:$P$22,0)),"")</f>
        <v>0</v>
      </c>
      <c r="L14" s="86" t="str">
        <f>IFERROR(INDEX(Parameters!$A$45:$C$52,MATCH(Calculations!A14,Parameters!$A$45:$A$52,0),MATCH(Inputs!D25,Parameters!$A$45:$C$45,0)),0)</f>
        <v>0</v>
      </c>
      <c r="M14" s="86" t="str">
        <f>IF(A14=Parameters!$A$30,Inputs!$D$32*Inputs!$D$33*(1-Inputs!G25),IFERROR(D14*Calculations!I14*H14*12/Calculations!F14*(1-Inputs!G25),E14*Calculations!J14*Calculations!K14*365*(1-Inputs!F25)))</f>
        <v>0</v>
      </c>
      <c r="N14" s="86" t="str">
        <f>IFERROR(D14*INDEX(Parameters!$A$22:$P$29,MATCH(Calculations!$A14,Parameters!$A$22:$A$29,0),MATCH(Parameters!$L$22,Parameters!$A$22:$P$22,0))*IF(Inputs!E25="Always",1,IF(Inputs!E25="Sometimes",0.5,0))*365,"")</f>
        <v>0</v>
      </c>
      <c r="O14" s="86" t="str">
        <f>IFERROR(D14*INDEX(Parameters!$A$22:$P$29,MATCH(Calculations!$A14,Parameters!$A$22:$A$29,0),MATCH(Parameters!$M$22,Parameters!$A$22:$P$22,0)),"")</f>
        <v>0</v>
      </c>
      <c r="P14" s="86" t="str">
        <f>IFERROR(D14*INDEX(Parameters!$A$22:$P$29,MATCH(Calculations!$A14,Parameters!$A$22:$A$29,0),MATCH(Parameters!$N$22,Parameters!$A$22:$P$22,0)),"")</f>
        <v>0</v>
      </c>
    </row>
    <row r="15" spans="1:46">
      <c r="A15" s="17" t="str">
        <f>Inputs!A26</f>
        <v>0</v>
      </c>
      <c r="B15" s="17" t="str">
        <f>IFERROR(VLOOKUP(A15,Parameters!$A$23:$B$30,2,0),"")</f>
        <v>0</v>
      </c>
      <c r="C15" s="17" t="str">
        <f>IF(Inputs!A26=Parameters!$A$30,Inputs!$D$31,A15&amp;": "&amp;B15)</f>
        <v>0</v>
      </c>
      <c r="D15" s="17" t="str">
        <f>Inputs!B26</f>
        <v>0</v>
      </c>
      <c r="E15" s="17" t="str">
        <f>Inputs!C26</f>
        <v>0</v>
      </c>
      <c r="F15" t="str">
        <f>IFERROR(INDEX(Parameters!$A$22:$P$29,MATCH(Calculations!$A15,Parameters!$A$22:$A$29,0),MATCH(Parameters!$P$22,Parameters!$A$22:$P$22,0)),"")</f>
        <v>0</v>
      </c>
      <c r="G15" s="97" t="str">
        <f>IFERROR(IF(Inputs!D26="Yes",1+INDEX(Parameters!$A$22:$P$29,MATCH(Calculations!A15,Parameters!$A$22:$A$29,0),MATCH(Parameters!$G$22,Parameters!$A$22:$P$22,0)),1)*IF(Inputs!E26="Sometimes",1+INDEX(Parameters!$A$22:$P$29,MATCH(Calculations!A15,Parameters!$A$22:$A$29,0),MATCH(Parameters!$E$22,Parameters!$A$22:$P$22,0)),IF(Inputs!E26="Always",INDEX(Parameters!$A$22:$P$29,MATCH(Calculations!A15,Parameters!$A$22:$A$29,0),MATCH(Parameters!$F$22,Parameters!$A$22:$P$22,0)),1)),"")</f>
        <v>0</v>
      </c>
      <c r="H15" s="158" t="str">
        <f>IFERROR(IF(B15="meat",INDEX(Parameters!$A$22:$P$29,MATCH(Calculations!A15,Parameters!$A$22:$A$29,0),MATCH(Parameters!$I$22,Parameters!$A$22:$P$22,0))*G15,""),"")</f>
        <v>0</v>
      </c>
      <c r="I15" s="33" t="str">
        <f>IFERROR(IF(B15="meat",IF(Inputs!D26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61" t="str">
        <f>IF(B15&lt;&gt;"meat",IFERROR(INDEX(Parameters!$A$22:$P$29,MATCH(Calculations!A15,Parameters!$A$22:$A$29,0),MATCH(Parameters!$D$22,Parameters!$A$22:$P$22,0))*Calculations!G15,""),"")</f>
        <v>0</v>
      </c>
      <c r="K15" s="63" t="str">
        <f>IFERROR(INDEX(Parameters!$A$22:$P$29,MATCH(Calculations!$A15,Parameters!$A$22:$A$29,0),MATCH(Parameters!$H$22,Parameters!$A$22:$P$22,0)),"")</f>
        <v>0</v>
      </c>
      <c r="L15" s="87" t="str">
        <f>IFERROR(INDEX(Parameters!$A$45:$C$52,MATCH(Calculations!A15,Parameters!$A$45:$A$52,0),MATCH(Inputs!D26,Parameters!$A$45:$C$45,0)),0)</f>
        <v>0</v>
      </c>
      <c r="M15" s="87" t="str">
        <f>IF(A15=Parameters!$A$30,Inputs!$D$32*Inputs!$D$33*(1-Inputs!G26),IFERROR(D15*Calculations!I15*H15*12/Calculations!F15*(1-Inputs!G26),E15*Calculations!J15*Calculations!K15*365*(1-Inputs!F26)))</f>
        <v>0</v>
      </c>
      <c r="N15" s="87" t="str">
        <f>IFERROR(D15*INDEX(Parameters!$A$22:$P$29,MATCH(Calculations!$A15,Parameters!$A$22:$A$29,0),MATCH(Parameters!$L$22,Parameters!$A$22:$P$22,0))*IF(Inputs!E26="Always",1,IF(Inputs!E26="Sometimes",0.5,0))*365,"")</f>
        <v>0</v>
      </c>
      <c r="O15" s="87" t="str">
        <f>IFERROR(D15*INDEX(Parameters!$A$22:$P$29,MATCH(Calculations!$A15,Parameters!$A$22:$A$29,0),MATCH(Parameters!$M$22,Parameters!$A$22:$P$22,0)),"")</f>
        <v>0</v>
      </c>
      <c r="P15" s="87" t="str">
        <f>IFERROR(D15*INDEX(Parameters!$A$22:$P$29,MATCH(Calculations!$A15,Parameters!$A$22:$A$29,0),MATCH(Parameters!$N$22,Parameters!$A$22:$P$22,0)),"")</f>
        <v>0</v>
      </c>
    </row>
    <row r="16" spans="1:46">
      <c r="A16" s="17" t="str">
        <f>Inputs!A27</f>
        <v>0</v>
      </c>
      <c r="B16" s="17" t="str">
        <f>IFERROR(VLOOKUP(A16,Parameters!$A$23:$B$30,2,0),"")</f>
        <v>0</v>
      </c>
      <c r="C16" s="17" t="str">
        <f>IF(Inputs!A27=Parameters!$A$30,Inputs!$D$31,A16&amp;": "&amp;B16)</f>
        <v>0</v>
      </c>
      <c r="D16" s="17" t="str">
        <f>Inputs!B27</f>
        <v>0</v>
      </c>
      <c r="E16" s="17" t="str">
        <f>Inputs!C27</f>
        <v>0</v>
      </c>
      <c r="F16" s="46" t="str">
        <f>IFERROR(INDEX(Parameters!$A$22:$P$29,MATCH(Calculations!$A16,Parameters!$A$22:$A$29,0),MATCH(Parameters!$P$22,Parameters!$A$22:$P$22,0)),"")</f>
        <v>0</v>
      </c>
      <c r="G16" s="156" t="str">
        <f>IFERROR(IF(Inputs!D27="Yes",1+INDEX(Parameters!$A$22:$P$29,MATCH(Calculations!A16,Parameters!$A$22:$A$29,0),MATCH(Parameters!$G$22,Parameters!$A$22:$P$22,0)),1)*IF(Inputs!E27="Sometimes",1+INDEX(Parameters!$A$22:$P$29,MATCH(Calculations!A16,Parameters!$A$22:$A$29,0),MATCH(Parameters!$E$22,Parameters!$A$22:$P$22,0)),IF(Inputs!E27="Always",INDEX(Parameters!$A$22:$P$29,MATCH(Calculations!A16,Parameters!$A$22:$A$29,0),MATCH(Parameters!$F$22,Parameters!$A$22:$P$22,0)),1)),"")</f>
        <v>0</v>
      </c>
      <c r="H16" s="159" t="str">
        <f>IFERROR(IF(B16="meat",INDEX(Parameters!$A$22:$P$29,MATCH(Calculations!A16,Parameters!$A$22:$A$29,0),MATCH(Parameters!$I$22,Parameters!$A$22:$P$22,0))*G16,""),"")</f>
        <v>0</v>
      </c>
      <c r="I16" s="33" t="str">
        <f>IFERROR(IF(B16="meat",IF(Inputs!D27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61" t="str">
        <f>IF(B16&lt;&gt;"meat",IFERROR(INDEX(Parameters!$A$22:$P$29,MATCH(Calculations!A16,Parameters!$A$22:$A$29,0),MATCH(Parameters!$D$22,Parameters!$A$22:$P$22,0))*Calculations!G16,""),"")</f>
        <v>0</v>
      </c>
      <c r="K16" s="63" t="str">
        <f>IFERROR(INDEX(Parameters!$A$22:$P$29,MATCH(Calculations!$A16,Parameters!$A$22:$A$29,0),MATCH(Parameters!$H$22,Parameters!$A$22:$P$22,0)),"")</f>
        <v>0</v>
      </c>
      <c r="L16" s="87" t="str">
        <f>IFERROR(INDEX(Parameters!$A$45:$C$52,MATCH(Calculations!A16,Parameters!$A$45:$A$52,0),MATCH(Inputs!D27,Parameters!$A$45:$C$45,0)),0)</f>
        <v>0</v>
      </c>
      <c r="M16" s="87" t="str">
        <f>IF(A16=Parameters!$A$30,Inputs!$D$32*Inputs!$D$33*(1-Inputs!G27),IFERROR(D16*Calculations!I16*H16*12/Calculations!F16*(1-Inputs!G27),E16*Calculations!J16*Calculations!K16*365*(1-Inputs!F27)))</f>
        <v>0</v>
      </c>
      <c r="N16" s="87" t="str">
        <f>IFERROR(D16*INDEX(Parameters!$A$22:$P$29,MATCH(Calculations!$A16,Parameters!$A$22:$A$29,0),MATCH(Parameters!$L$22,Parameters!$A$22:$P$22,0))*IF(Inputs!E27="Always",1,IF(Inputs!E27="Sometimes",0.5,0))*365,"")</f>
        <v>0</v>
      </c>
      <c r="O16" s="87" t="str">
        <f>IFERROR(D16*INDEX(Parameters!$A$22:$P$29,MATCH(Calculations!$A16,Parameters!$A$22:$A$29,0),MATCH(Parameters!$M$22,Parameters!$A$22:$P$22,0)),"")</f>
        <v>0</v>
      </c>
      <c r="P16" s="87" t="str">
        <f>IFERROR(D16*INDEX(Parameters!$A$22:$P$29,MATCH(Calculations!$A16,Parameters!$A$22:$A$29,0),MATCH(Parameters!$N$22,Parameters!$A$22:$P$22,0)),"")</f>
        <v>0</v>
      </c>
    </row>
    <row r="17" spans="1:46">
      <c r="A17" s="26" t="str">
        <f>IFERROR(INDEX($A$14:$A$16,MATCH(Parameters!$B$23,Calculations!$B$14:$B$16,0)),"")</f>
        <v>0</v>
      </c>
      <c r="B17" s="26" t="str">
        <f>IF(A17="","","meat")</f>
        <v>0</v>
      </c>
      <c r="C17" s="26" t="str">
        <f>IF(A17="","",A17&amp;": "&amp;B17)</f>
        <v>0</v>
      </c>
      <c r="D17" s="26" t="str">
        <f>IFERROR(INDEX($D$14:$D$16,MATCH(Parameters!$B$23,Calculations!$B$14:$B$16,0)),"")</f>
        <v>0</v>
      </c>
      <c r="E17" s="26"/>
      <c r="F17" s="7" t="str">
        <f>IFERROR(INDEX(Parameters!$A$22:$P$29,MATCH(Calculations!$A17,Parameters!$A$22:$A$29,0),MATCH(Parameters!$P$22,Parameters!$A$22:$P$22,0)),"")</f>
        <v>0</v>
      </c>
      <c r="G17" s="157" t="str">
        <f>IF(A17="","",INDEX(G14:G16,MATCH(Parameters!B23,B14:B16,0)))</f>
        <v>0</v>
      </c>
      <c r="H17" s="160" t="str">
        <f>IFERROR(IF(B17="meat",INDEX(Parameters!$A$22:$P$29,MATCH(Calculations!A17,Parameters!$A$22:$A$29,0),MATCH(Parameters!$I$22,Parameters!$A$22:$P$22,0))*G17,""),"")</f>
        <v>0</v>
      </c>
      <c r="I17" s="34" t="str">
        <f>IFERROR(IF(B17="meat",IF(Inputs!D28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63"/>
      <c r="K17" s="84"/>
      <c r="L17" s="88"/>
      <c r="M17" s="88" t="str">
        <f>IF(A17=Parameters!$A$30,Inputs!$D$32*Inputs!$D$33*(1-Inputs!G28),IFERROR(D17*Calculations!I17*H17*12/Calculations!F17*(1-Inputs!G28),E17*Calculations!J17*Calculations!K17*365*(1-Inputs!F28)))</f>
        <v>0</v>
      </c>
      <c r="N17" s="88"/>
      <c r="O17" s="88"/>
      <c r="P17" s="88"/>
    </row>
    <row r="18" spans="1:46">
      <c r="B18" s="46"/>
      <c r="C18" s="46"/>
    </row>
    <row r="19" spans="1:46">
      <c r="B19" s="46"/>
      <c r="C19" s="46"/>
    </row>
    <row r="20" spans="1:46">
      <c r="A20" s="4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5"/>
    </row>
    <row r="21" spans="1:46">
      <c r="B21" s="46"/>
      <c r="C21" s="46"/>
    </row>
    <row r="22" spans="1:46" customHeight="1" ht="30">
      <c r="A22" s="106" t="s">
        <v>113</v>
      </c>
      <c r="B22" s="106" t="s">
        <v>184</v>
      </c>
      <c r="C22" s="106" t="s">
        <v>185</v>
      </c>
      <c r="D22" s="106" t="s">
        <v>186</v>
      </c>
      <c r="E22" s="106" t="s">
        <v>187</v>
      </c>
    </row>
    <row r="23" spans="1:46">
      <c r="A23" s="107" t="str">
        <f>Inputs!A67</f>
        <v>0</v>
      </c>
      <c r="B23" s="107" t="str">
        <f>SUM(C23:D23)</f>
        <v>0</v>
      </c>
      <c r="C23" s="107" t="str">
        <f>IF(Inputs!B67&gt;0,(Inputs!A67-Inputs!B67)/(Inputs!$B$87-Inputs!C67)*30,0)</f>
        <v>0</v>
      </c>
      <c r="D23" s="107" t="str">
        <f>IF(Inputs!B67&gt;0,Inputs!A67*0.22/12,0)</f>
        <v>0</v>
      </c>
      <c r="E23" s="107" t="str">
        <f>IFERROR(ROUNDUP(Inputs!B67/C23,0),0)</f>
        <v>0</v>
      </c>
    </row>
    <row r="24" spans="1:46">
      <c r="A24" s="63" t="str">
        <f>Inputs!A68</f>
        <v>0</v>
      </c>
      <c r="B24" s="63" t="str">
        <f>SUM(C24:D24)</f>
        <v>0</v>
      </c>
      <c r="C24" s="63" t="str">
        <f>IF(Inputs!B68&gt;0,(Inputs!A68-Inputs!B68)/(Inputs!$B$87-Inputs!C68)*30,0)</f>
        <v>0</v>
      </c>
      <c r="D24" s="63" t="str">
        <f>IF(Inputs!B68&gt;0,Inputs!A68*0.22/12,0)</f>
        <v>0</v>
      </c>
      <c r="E24" s="63" t="str">
        <f>IFERROR(ROUNDUP(Inputs!B68/B24,0),0)</f>
        <v>0</v>
      </c>
      <c r="H24" s="1"/>
    </row>
    <row r="25" spans="1:46">
      <c r="A25" s="63" t="str">
        <f>Inputs!A69</f>
        <v>0</v>
      </c>
      <c r="B25" s="63" t="str">
        <f>SUM(C25:D25)</f>
        <v>0</v>
      </c>
      <c r="C25" s="63" t="str">
        <f>IF(Inputs!B69&gt;0,(Inputs!A69-Inputs!B69)/(Inputs!$B$87-Inputs!C69)*30,0)</f>
        <v>0</v>
      </c>
      <c r="D25" s="63" t="str">
        <f>IF(Inputs!B69&gt;0,Inputs!A69*0.22/12,0)</f>
        <v>0</v>
      </c>
      <c r="E25" s="63" t="str">
        <f>IFERROR(ROUNDUP(Inputs!B69/B25,0),0)</f>
        <v>0</v>
      </c>
    </row>
    <row r="26" spans="1:46">
      <c r="A26" s="63" t="str">
        <f>Inputs!A70</f>
        <v>0</v>
      </c>
      <c r="B26" s="63" t="str">
        <f>SUM(C26:D26)</f>
        <v>0</v>
      </c>
      <c r="C26" s="63" t="str">
        <f>IF(Inputs!B70&gt;0,(Inputs!A70-Inputs!B70)/(Inputs!$B$87-Inputs!C70)*30,0)</f>
        <v>0</v>
      </c>
      <c r="D26" s="63" t="str">
        <f>IF(Inputs!B70&gt;0,Inputs!A70*0.22/12,0)</f>
        <v>0</v>
      </c>
      <c r="E26" s="63" t="str">
        <f>IFERROR(ROUNDUP(Inputs!B70/B26,0),0)</f>
        <v>0</v>
      </c>
    </row>
    <row r="27" spans="1:46">
      <c r="A27" s="84" t="str">
        <f>Inputs!A71</f>
        <v>0</v>
      </c>
      <c r="B27" s="84" t="str">
        <f>SUM(C27:D27)</f>
        <v>0</v>
      </c>
      <c r="C27" s="84" t="str">
        <f>IF(Inputs!B71&gt;0,(Inputs!A71-Inputs!B71)/(Inputs!$B$87-Inputs!C71)*30,0)</f>
        <v>0</v>
      </c>
      <c r="D27" s="84" t="str">
        <f>IF(Inputs!B71&gt;0,Inputs!A71*0.22/12,0)</f>
        <v>0</v>
      </c>
      <c r="E27" s="84" t="str">
        <f>IFERROR(ROUNDUP(Inputs!B71/B27,0),0)</f>
        <v>0</v>
      </c>
    </row>
    <row r="28" spans="1:46">
      <c r="B28" s="46"/>
      <c r="C28" s="46"/>
    </row>
    <row r="29" spans="1:46">
      <c r="B29" s="46"/>
      <c r="C29" s="46"/>
    </row>
    <row r="30" spans="1:46">
      <c r="A30" s="4" t="s">
        <v>188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5"/>
    </row>
    <row r="31" spans="1:46">
      <c r="B31" s="46"/>
      <c r="C31" s="46"/>
    </row>
    <row r="32" spans="1:46">
      <c r="A32" s="172" t="s">
        <v>189</v>
      </c>
      <c r="B32" s="172" t="s">
        <v>190</v>
      </c>
      <c r="C32" s="172" t="s">
        <v>191</v>
      </c>
      <c r="E32" s="175" t="s">
        <v>192</v>
      </c>
      <c r="F32" s="175" t="s">
        <v>193</v>
      </c>
    </row>
    <row r="33" spans="1:46">
      <c r="A33">
        <v>1</v>
      </c>
      <c r="B33" s="171" t="str">
        <f>F34</f>
        <v>0</v>
      </c>
      <c r="C33" s="30" t="str">
        <f>IF(B33&lt;&gt;"",IF(COUNT($A$33:A33)&lt;=$F$39,0,$F$41)+IF(COUNT($A$33:A33)&lt;=$F$40,0,$F$42),"")</f>
        <v>0</v>
      </c>
      <c r="E33" t="s">
        <v>136</v>
      </c>
      <c r="F33" s="171" t="str">
        <f>IF(Inputs!C90="",Inputs!B90,Inputs!C90)</f>
        <v>0</v>
      </c>
    </row>
    <row r="34" spans="1:46">
      <c r="A34" t="str">
        <f>A33+1</f>
        <v>0</v>
      </c>
      <c r="B34" s="171" t="str">
        <f>IF(COUNT($A$33:A34)&lt;=$F$38,IF($F$37="Monthly",DATE(YEAR(B33),MONTH(B33)+1,MIN(DAY(B33),28)),B33+14),"")</f>
        <v>0</v>
      </c>
      <c r="C34" s="30" t="str">
        <f>IF(B34&lt;&gt;"",IF(COUNT($A$33:A34)&lt;=$F$39,0,$F$41)+IF(COUNT($A$33:A34)&lt;=$F$40,0,$F$42),"")</f>
        <v>0</v>
      </c>
      <c r="E34" t="s">
        <v>137</v>
      </c>
      <c r="F34" s="171" t="str">
        <f>IF(Inputs!C91="",Inputs!B91,Inputs!C91)</f>
        <v>0</v>
      </c>
    </row>
    <row r="35" spans="1:46">
      <c r="A35" t="str">
        <f>A34+1</f>
        <v>0</v>
      </c>
      <c r="B35" s="171" t="str">
        <f>IF(COUNT($A$33:A35)&lt;=$F$38,IF($F$37="Monthly",DATE(YEAR(B34),MONTH(B34)+1,MIN(DAY(B34),28)),B34+14),"")</f>
        <v>0</v>
      </c>
      <c r="C35" s="30" t="str">
        <f>IF(B35&lt;&gt;"",IF(COUNT($A$33:A35)&lt;=$F$39,0,$F$41)+IF(COUNT($A$33:A35)&lt;=$F$40,0,$F$42),"")</f>
        <v>0</v>
      </c>
      <c r="E35" t="s">
        <v>139</v>
      </c>
      <c r="F35" s="30" t="str">
        <f>IF(Inputs!C92="",Inputs!B92,Inputs!C92)</f>
        <v>0</v>
      </c>
    </row>
    <row r="36" spans="1:46">
      <c r="A36" t="str">
        <f>A35+1</f>
        <v>0</v>
      </c>
      <c r="B36" s="171" t="str">
        <f>IF(COUNT($A$33:A36)&lt;=$F$38,IF($F$37="Monthly",DATE(YEAR(B35),MONTH(B35)+1,MIN(DAY(B35),28)),B35+14),"")</f>
        <v>0</v>
      </c>
      <c r="C36" s="30" t="str">
        <f>IF(B36&lt;&gt;"",IF(COUNT($A$33:A36)&lt;=$F$39,0,$F$41)+IF(COUNT($A$33:A36)&lt;=$F$40,0,$F$42),"")</f>
        <v>0</v>
      </c>
      <c r="E36" t="s">
        <v>140</v>
      </c>
      <c r="F36" s="173" t="str">
        <f>IF(Inputs!C93="",Inputs!B93,Inputs!C93)</f>
        <v>0</v>
      </c>
    </row>
    <row r="37" spans="1:46">
      <c r="A37" t="str">
        <f>A36+1</f>
        <v>0</v>
      </c>
      <c r="B37" s="171" t="str">
        <f>IF(COUNT($A$33:A37)&lt;=$F$38,IF($F$37="Monthly",DATE(YEAR(B36),MONTH(B36)+1,MIN(DAY(B36),28)),B36+14),"")</f>
        <v>0</v>
      </c>
      <c r="C37" s="30" t="str">
        <f>IF(B37&lt;&gt;"",IF(COUNT($A$33:A37)&lt;=$F$39,0,$F$41)+IF(COUNT($A$33:A37)&lt;=$F$40,0,$F$42),"")</f>
        <v>0</v>
      </c>
      <c r="E37" t="s">
        <v>141</v>
      </c>
      <c r="F37" s="174" t="str">
        <f>IF(Inputs!C94="",Inputs!B94,Inputs!C94)</f>
        <v>0</v>
      </c>
    </row>
    <row r="38" spans="1:46">
      <c r="A38" t="str">
        <f>A37+1</f>
        <v>0</v>
      </c>
      <c r="B38" s="171" t="str">
        <f>IF(COUNT($A$33:A38)&lt;=$F$38,IF($F$37="Monthly",DATE(YEAR(B37),MONTH(B37)+1,MIN(DAY(B37),28)),B37+14),"")</f>
        <v>0</v>
      </c>
      <c r="C38" s="30" t="str">
        <f>IF(B38&lt;&gt;"",IF(COUNT($A$33:A38)&lt;=$F$39,0,$F$41)+IF(COUNT($A$33:A38)&lt;=$F$40,0,$F$42),"")</f>
        <v>0</v>
      </c>
      <c r="E38" t="s">
        <v>143</v>
      </c>
      <c r="F38" s="30" t="str">
        <f>IF(Inputs!C95="",Inputs!B95,Inputs!C95)</f>
        <v>0</v>
      </c>
    </row>
    <row r="39" spans="1:46">
      <c r="A39" t="str">
        <f>A38+1</f>
        <v>0</v>
      </c>
      <c r="B39" s="171" t="str">
        <f>IF(COUNT($A$33:A39)&lt;=$F$38,IF($F$37="Monthly",DATE(YEAR(B38),MONTH(B38)+1,MIN(DAY(B38),28)),B38+14),"")</f>
        <v>0</v>
      </c>
      <c r="C39" s="30" t="str">
        <f>IF(B39&lt;&gt;"",IF(COUNT($A$33:A39)&lt;=$F$39,0,$F$41)+IF(COUNT($A$33:A39)&lt;=$F$40,0,$F$42),"")</f>
        <v>0</v>
      </c>
      <c r="E39" t="s">
        <v>144</v>
      </c>
      <c r="F39" s="30" t="str">
        <f>IF(Inputs!C96="",Inputs!B96,Inputs!C96)</f>
        <v>0</v>
      </c>
    </row>
    <row r="40" spans="1:46">
      <c r="A40" t="str">
        <f>A39+1</f>
        <v>0</v>
      </c>
      <c r="B40" s="171" t="str">
        <f>IF(COUNT($A$33:A40)&lt;=$F$38,IF($F$37="Monthly",DATE(YEAR(B39),MONTH(B39)+1,MIN(DAY(B39),28)),B39+14),"")</f>
        <v>0</v>
      </c>
      <c r="C40" s="30" t="str">
        <f>IF(B40&lt;&gt;"",IF(COUNT($A$33:A40)&lt;=$F$39,0,$F$41)+IF(COUNT($A$33:A40)&lt;=$F$40,0,$F$42),"")</f>
        <v>0</v>
      </c>
      <c r="E40" t="s">
        <v>145</v>
      </c>
      <c r="F40" s="30" t="str">
        <f>IF(Inputs!C97="",Inputs!B97,Inputs!C97)</f>
        <v>0</v>
      </c>
    </row>
    <row r="41" spans="1:46">
      <c r="A41" t="str">
        <f>A40+1</f>
        <v>0</v>
      </c>
      <c r="B41" s="171" t="str">
        <f>IF(COUNT($A$33:A41)&lt;=$F$38,IF($F$37="Monthly",DATE(YEAR(B40),MONTH(B40)+1,MIN(DAY(B40),28)),B40+14),"")</f>
        <v>0</v>
      </c>
      <c r="C41" s="30" t="str">
        <f>IF(B41&lt;&gt;"",IF(COUNT($A$33:A41)&lt;=$F$39,0,$F$41)+IF(COUNT($A$33:A41)&lt;=$F$40,0,$F$42),"")</f>
        <v>0</v>
      </c>
      <c r="E41" t="s">
        <v>194</v>
      </c>
      <c r="F41" s="105" t="str">
        <f>F35/(F38-F39)</f>
        <v>0</v>
      </c>
    </row>
    <row r="42" spans="1:46">
      <c r="A42" t="str">
        <f>A41+1</f>
        <v>0</v>
      </c>
      <c r="B42" s="171" t="str">
        <f>IF(COUNT($A$33:A42)&lt;=$F$38,IF($F$37="Monthly",DATE(YEAR(B41),MONTH(B41)+1,MIN(DAY(B41),28)),B41+14),"")</f>
        <v>0</v>
      </c>
      <c r="C42" s="30" t="str">
        <f>IF(B42&lt;&gt;"",IF(COUNT($A$33:A42)&lt;=$F$39,0,$F$41)+IF(COUNT($A$33:A42)&lt;=$F$40,0,$F$42),"")</f>
        <v>0</v>
      </c>
      <c r="E42" t="s">
        <v>195</v>
      </c>
      <c r="F42" s="105" t="str">
        <f>F35*F36*IF(F37="Monthly",F38/12,F38/(365/14))/(F38-F40)</f>
        <v>0</v>
      </c>
    </row>
    <row r="43" spans="1:46">
      <c r="A43" t="str">
        <f>A42+1</f>
        <v>0</v>
      </c>
      <c r="B43" s="171" t="str">
        <f>IF(COUNT($A$33:A43)&lt;=$F$38,IF($F$37="Monthly",DATE(YEAR(B42),MONTH(B42)+1,MIN(DAY(B42),28)),B42+14),"")</f>
        <v>0</v>
      </c>
      <c r="C43" s="30" t="str">
        <f>IF(B43&lt;&gt;"",IF(COUNT($A$33:A43)&lt;=$F$39,0,$F$41)+IF(COUNT($A$33:A43)&lt;=$F$40,0,$F$42),"")</f>
        <v>0</v>
      </c>
    </row>
    <row r="44" spans="1:46">
      <c r="A44" t="str">
        <f>A43+1</f>
        <v>0</v>
      </c>
      <c r="B44" s="171" t="str">
        <f>IF(COUNT($A$33:A44)&lt;=$F$38,IF($F$37="Monthly",DATE(YEAR(B43),MONTH(B43)+1,MIN(DAY(B43),28)),B43+14),"")</f>
        <v>0</v>
      </c>
      <c r="C44" s="30" t="str">
        <f>IF(B44&lt;&gt;"",IF(COUNT($A$33:A44)&lt;=$F$39,0,$F$41)+IF(COUNT($A$33:A44)&lt;=$F$40,0,$F$42),"")</f>
        <v>0</v>
      </c>
    </row>
    <row r="45" spans="1:46">
      <c r="A45" t="str">
        <f>A44+1</f>
        <v>0</v>
      </c>
      <c r="B45" s="171" t="str">
        <f>IF(COUNT($A$33:A45)&lt;=$F$38,IF($F$37="Monthly",DATE(YEAR(B44),MONTH(B44)+1,MIN(DAY(B44),28)),B44+14),"")</f>
        <v>0</v>
      </c>
      <c r="C45" s="30" t="str">
        <f>IF(B45&lt;&gt;"",IF(COUNT($A$33:A45)&lt;=$F$39,0,$F$41)+IF(COUNT($A$33:A45)&lt;=$F$40,0,$F$42),"")</f>
        <v>0</v>
      </c>
    </row>
    <row r="46" spans="1:46">
      <c r="A46" t="str">
        <f>A45+1</f>
        <v>0</v>
      </c>
      <c r="B46" s="171" t="str">
        <f>IF(COUNT($A$33:A46)&lt;=$F$38,IF($F$37="Monthly",DATE(YEAR(B45),MONTH(B45)+1,MIN(DAY(B45),28)),B45+14),"")</f>
        <v>0</v>
      </c>
      <c r="C46" s="30" t="str">
        <f>IF(B46&lt;&gt;"",IF(COUNT($A$33:A46)&lt;=$F$39,0,$F$41)+IF(COUNT($A$33:A46)&lt;=$F$40,0,$F$42),"")</f>
        <v>0</v>
      </c>
    </row>
    <row r="47" spans="1:46">
      <c r="A47" t="str">
        <f>A46+1</f>
        <v>0</v>
      </c>
      <c r="B47" s="171" t="str">
        <f>IF(COUNT($A$33:A47)&lt;=$F$38,IF($F$37="Monthly",DATE(YEAR(B46),MONTH(B46)+1,MIN(DAY(B46),28)),B46+14),"")</f>
        <v>0</v>
      </c>
      <c r="C47" s="30" t="str">
        <f>IF(B47&lt;&gt;"",IF(COUNT($A$33:A47)&lt;=$F$39,0,$F$41)+IF(COUNT($A$33:A47)&lt;=$F$40,0,$F$42),"")</f>
        <v>0</v>
      </c>
    </row>
    <row r="48" spans="1:46">
      <c r="A48" t="str">
        <f>A47+1</f>
        <v>0</v>
      </c>
      <c r="B48" s="171" t="str">
        <f>IF(COUNT($A$33:A48)&lt;=$F$38,IF($F$37="Monthly",DATE(YEAR(B47),MONTH(B47)+1,MIN(DAY(B47),28)),B47+14),"")</f>
        <v>0</v>
      </c>
      <c r="C48" s="30" t="str">
        <f>IF(B48&lt;&gt;"",IF(COUNT($A$33:A48)&lt;=$F$39,0,$F$41)+IF(COUNT($A$33:A48)&lt;=$F$40,0,$F$42),"")</f>
        <v>0</v>
      </c>
    </row>
    <row r="49" spans="1:46">
      <c r="A49" t="str">
        <f>A48+1</f>
        <v>0</v>
      </c>
      <c r="B49" s="171" t="str">
        <f>IF(COUNT($A$33:A49)&lt;=$F$38,IF($F$37="Monthly",DATE(YEAR(B48),MONTH(B48)+1,MIN(DAY(B48),28)),B48+14),"")</f>
        <v>0</v>
      </c>
      <c r="C49" s="30" t="str">
        <f>IF(B49&lt;&gt;"",IF(COUNT($A$33:A49)&lt;=$F$39,0,$F$41)+IF(COUNT($A$33:A49)&lt;=$F$40,0,$F$42),"")</f>
        <v>0</v>
      </c>
    </row>
    <row r="50" spans="1:46">
      <c r="A50" t="str">
        <f>A49+1</f>
        <v>0</v>
      </c>
      <c r="B50" s="171" t="str">
        <f>IF(COUNT($A$33:A50)&lt;=$F$38,IF($F$37="Monthly",DATE(YEAR(B49),MONTH(B49)+1,MIN(DAY(B49),28)),B49+14),"")</f>
        <v>0</v>
      </c>
      <c r="C50" s="30" t="str">
        <f>IF(B50&lt;&gt;"",IF(COUNT($A$33:A50)&lt;=$F$39,0,$F$41)+IF(COUNT($A$33:A50)&lt;=$F$40,0,$F$42),"")</f>
        <v>0</v>
      </c>
    </row>
    <row r="51" spans="1:46">
      <c r="A51" t="str">
        <f>A50+1</f>
        <v>0</v>
      </c>
      <c r="B51" s="171" t="str">
        <f>IF(COUNT($A$33:A51)&lt;=$F$38,IF($F$37="Monthly",DATE(YEAR(B50),MONTH(B50)+1,MIN(DAY(B50),28)),B50+14),"")</f>
        <v>0</v>
      </c>
      <c r="C51" s="30" t="str">
        <f>IF(B51&lt;&gt;"",IF(COUNT($A$33:A51)&lt;=$F$39,0,$F$41)+IF(COUNT($A$33:A51)&lt;=$F$40,0,$F$42),"")</f>
        <v>0</v>
      </c>
    </row>
    <row r="52" spans="1:46">
      <c r="A52" t="str">
        <f>A51+1</f>
        <v>0</v>
      </c>
      <c r="B52" s="171" t="str">
        <f>IF(COUNT($A$33:A52)&lt;=$F$38,IF($F$37="Monthly",DATE(YEAR(B51),MONTH(B51)+1,MIN(DAY(B51),28)),B51+14),"")</f>
        <v>0</v>
      </c>
      <c r="C52" s="30" t="str">
        <f>IF(B52&lt;&gt;"",IF(COUNT($A$33:A52)&lt;=$F$39,0,$F$41)+IF(COUNT($A$33:A52)&lt;=$F$40,0,$F$42),"")</f>
        <v>0</v>
      </c>
    </row>
    <row r="53" spans="1:46">
      <c r="A53" t="str">
        <f>A52+1</f>
        <v>0</v>
      </c>
      <c r="B53" s="171" t="str">
        <f>IF(COUNT($A$33:A53)&lt;=$F$38,IF($F$37="Monthly",DATE(YEAR(B52),MONTH(B52)+1,MIN(DAY(B52),28)),B52+14),"")</f>
        <v>0</v>
      </c>
      <c r="C53" s="30" t="str">
        <f>IF(B53&lt;&gt;"",IF(COUNT($A$33:A53)&lt;=$F$39,0,$F$41)+IF(COUNT($A$33:A53)&lt;=$F$40,0,$F$42),"")</f>
        <v>0</v>
      </c>
    </row>
    <row r="54" spans="1:46">
      <c r="A54" t="str">
        <f>A53+1</f>
        <v>0</v>
      </c>
      <c r="B54" s="171" t="str">
        <f>IF(COUNT($A$33:A54)&lt;=$F$38,IF($F$37="Monthly",DATE(YEAR(B53),MONTH(B53)+1,MIN(DAY(B53),28)),B53+14),"")</f>
        <v>0</v>
      </c>
      <c r="C54" s="30" t="str">
        <f>IF(B54&lt;&gt;"",IF(COUNT($A$33:A54)&lt;=$F$39,0,$F$41)+IF(COUNT($A$33:A54)&lt;=$F$40,0,$F$42),"")</f>
        <v>0</v>
      </c>
    </row>
    <row r="55" spans="1:46">
      <c r="A55" t="str">
        <f>A54+1</f>
        <v>0</v>
      </c>
      <c r="B55" s="171" t="str">
        <f>IF(COUNT($A$33:A55)&lt;=$F$38,IF($F$37="Monthly",DATE(YEAR(B54),MONTH(B54)+1,MIN(DAY(B54),28)),B54+14),"")</f>
        <v>0</v>
      </c>
      <c r="C55" s="30" t="str">
        <f>IF(B55&lt;&gt;"",IF(COUNT($A$33:A55)&lt;=$F$39,0,$F$41)+IF(COUNT($A$33:A55)&lt;=$F$40,0,$F$42),"")</f>
        <v>0</v>
      </c>
    </row>
    <row r="56" spans="1:46">
      <c r="A56" t="str">
        <f>A55+1</f>
        <v>0</v>
      </c>
      <c r="B56" s="171" t="str">
        <f>IF(COUNT($A$33:A56)&lt;=$F$38,IF($F$37="Monthly",DATE(YEAR(B55),MONTH(B55)+1,MIN(DAY(B55),28)),B55+14),"")</f>
        <v>0</v>
      </c>
      <c r="C56" s="30" t="str">
        <f>IF(B56&lt;&gt;"",IF(COUNT($A$33:A56)&lt;=$F$39,0,$F$41)+IF(COUNT($A$33:A56)&lt;=$F$40,0,$F$42),"")</f>
        <v>0</v>
      </c>
    </row>
    <row r="57" spans="1:46">
      <c r="A57" t="str">
        <f>A56+1</f>
        <v>0</v>
      </c>
      <c r="B57" s="171" t="str">
        <f>IF(COUNT($A$33:A57)&lt;=$F$38,IF($F$37="Monthly",DATE(YEAR(B56),MONTH(B56)+1,MIN(DAY(B56),28)),B56+14),"")</f>
        <v>0</v>
      </c>
      <c r="C57" s="30" t="str">
        <f>IF(B57&lt;&gt;"",IF(COUNT($A$33:A57)&lt;=$F$39,0,$F$41)+IF(COUNT($A$33:A57)&lt;=$F$40,0,$F$42),"")</f>
        <v>0</v>
      </c>
    </row>
    <row r="58" spans="1:46">
      <c r="A58" t="str">
        <f>A57+1</f>
        <v>0</v>
      </c>
      <c r="B58" s="171" t="str">
        <f>IF(COUNT($A$33:A58)&lt;=$F$38,IF($F$37="Monthly",DATE(YEAR(B57),MONTH(B57)+1,MIN(DAY(B57),28)),B57+14),"")</f>
        <v>0</v>
      </c>
      <c r="C58" s="30" t="str">
        <f>IF(B58&lt;&gt;"",IF(COUNT($A$33:A58)&lt;=$F$39,0,$F$41)+IF(COUNT($A$33:A58)&lt;=$F$40,0,$F$42),"")</f>
        <v>0</v>
      </c>
    </row>
    <row r="59" spans="1:46">
      <c r="A59" t="str">
        <f>A58+1</f>
        <v>0</v>
      </c>
      <c r="B59" s="171" t="str">
        <f>IF(COUNT($A$33:A59)&lt;=$F$38,IF($F$37="Monthly",DATE(YEAR(B58),MONTH(B58)+1,MIN(DAY(B58),28)),B58+14),"")</f>
        <v>0</v>
      </c>
      <c r="C59" s="30" t="str">
        <f>IF(B59&lt;&gt;"",IF(COUNT($A$33:A59)&lt;=$F$39,0,$F$41)+IF(COUNT($A$33:A59)&lt;=$F$40,0,$F$42),"")</f>
        <v>0</v>
      </c>
    </row>
    <row r="60" spans="1:46">
      <c r="A60" t="str">
        <f>A59+1</f>
        <v>0</v>
      </c>
      <c r="B60" s="171" t="str">
        <f>IF(COUNT($A$33:A60)&lt;=$F$38,IF($F$37="Monthly",DATE(YEAR(B59),MONTH(B59)+1,MIN(DAY(B59),28)),B59+14),"")</f>
        <v>0</v>
      </c>
      <c r="C60" s="30" t="str">
        <f>IF(B60&lt;&gt;"",IF(COUNT($A$33:A60)&lt;=$F$39,0,$F$41)+IF(COUNT($A$33:A60)&lt;=$F$40,0,$F$42),"")</f>
        <v>0</v>
      </c>
    </row>
    <row r="61" spans="1:46">
      <c r="A61" t="str">
        <f>A60+1</f>
        <v>0</v>
      </c>
      <c r="B61" s="171" t="str">
        <f>IF(COUNT($A$33:A61)&lt;=$F$38,IF($F$37="Monthly",DATE(YEAR(B60),MONTH(B60)+1,MIN(DAY(B60),28)),B60+14),"")</f>
        <v>0</v>
      </c>
      <c r="C61" s="30" t="str">
        <f>IF(B61&lt;&gt;"",IF(COUNT($A$33:A61)&lt;=$F$39,0,$F$41)+IF(COUNT($A$33:A61)&lt;=$F$40,0,$F$42),"")</f>
        <v>0</v>
      </c>
    </row>
    <row r="62" spans="1:46">
      <c r="A62" t="str">
        <f>A61+1</f>
        <v>0</v>
      </c>
      <c r="B62" s="171" t="str">
        <f>IF(COUNT($A$33:A62)&lt;=$F$38,IF($F$37="Monthly",DATE(YEAR(B61),MONTH(B61)+1,MIN(DAY(B61),28)),B61+14),"")</f>
        <v>0</v>
      </c>
      <c r="C62" s="30" t="str">
        <f>IF(B62&lt;&gt;"",IF(COUNT($A$33:A62)&lt;=$F$39,0,$F$41)+IF(COUNT($A$33:A62)&lt;=$F$40,0,$F$42),"")</f>
        <v>0</v>
      </c>
    </row>
    <row r="63" spans="1:46">
      <c r="A63" t="str">
        <f>A62+1</f>
        <v>0</v>
      </c>
      <c r="B63" s="171" t="str">
        <f>IF(COUNT($A$33:A63)&lt;=$F$38,IF($F$37="Monthly",DATE(YEAR(B62),MONTH(B62)+1,MIN(DAY(B62),28)),B62+14),"")</f>
        <v>0</v>
      </c>
      <c r="C63" s="30" t="str">
        <f>IF(B63&lt;&gt;"",IF(COUNT($A$33:A63)&lt;=$F$39,0,$F$41)+IF(COUNT($A$33:A63)&lt;=$F$40,0,$F$42),"")</f>
        <v>0</v>
      </c>
    </row>
    <row r="64" spans="1:46">
      <c r="A64" t="str">
        <f>A63+1</f>
        <v>0</v>
      </c>
      <c r="B64" s="171" t="str">
        <f>IF(COUNT($A$33:A64)&lt;=$F$38,IF($F$37="Monthly",DATE(YEAR(B63),MONTH(B63)+1,MIN(DAY(B63),28)),B63+14),"")</f>
        <v>0</v>
      </c>
      <c r="C64" s="30" t="str">
        <f>IF(B64&lt;&gt;"",IF(COUNT($A$33:A64)&lt;=$F$39,0,$F$41)+IF(COUNT($A$33:A64)&lt;=$F$40,0,$F$42),"")</f>
        <v>0</v>
      </c>
    </row>
    <row r="65" spans="1:46">
      <c r="A65" t="str">
        <f>A64+1</f>
        <v>0</v>
      </c>
      <c r="B65" s="171" t="str">
        <f>IF(COUNT($A$33:A65)&lt;=$F$38,IF($F$37="Monthly",DATE(YEAR(B64),MONTH(B64)+1,MIN(DAY(B64),28)),B64+14),"")</f>
        <v>0</v>
      </c>
      <c r="C65" s="30" t="str">
        <f>IF(B65&lt;&gt;"",IF(COUNT($A$33:A65)&lt;=$F$39,0,$F$41)+IF(COUNT($A$33:A65)&lt;=$F$40,0,$F$42),"")</f>
        <v>0</v>
      </c>
    </row>
    <row r="66" spans="1:46">
      <c r="A66" t="str">
        <f>A65+1</f>
        <v>0</v>
      </c>
      <c r="B66" s="171" t="str">
        <f>IF(COUNT($A$33:A66)&lt;=$F$38,IF($F$37="Monthly",DATE(YEAR(B65),MONTH(B65)+1,MIN(DAY(B65),28)),B65+14),"")</f>
        <v>0</v>
      </c>
      <c r="C66" s="30" t="str">
        <f>IF(B66&lt;&gt;"",IF(COUNT($A$33:A66)&lt;=$F$39,0,$F$41)+IF(COUNT($A$33:A66)&lt;=$F$40,0,$F$42),"")</f>
        <v>0</v>
      </c>
    </row>
    <row r="67" spans="1:46">
      <c r="A67" t="str">
        <f>A66+1</f>
        <v>0</v>
      </c>
      <c r="B67" s="171" t="str">
        <f>IF(COUNT($A$33:A67)&lt;=$F$38,IF($F$37="Monthly",DATE(YEAR(B66),MONTH(B66)+1,MIN(DAY(B66),28)),B66+14),"")</f>
        <v>0</v>
      </c>
      <c r="C67" s="30" t="str">
        <f>IF(B67&lt;&gt;"",IF(COUNT($A$33:A67)&lt;=$F$39,0,$F$41)+IF(COUNT($A$33:A67)&lt;=$F$40,0,$F$42),"")</f>
        <v>0</v>
      </c>
    </row>
    <row r="68" spans="1:46">
      <c r="A68" t="str">
        <f>A67+1</f>
        <v>0</v>
      </c>
      <c r="B68" s="171" t="str">
        <f>IF(COUNT($A$33:A68)&lt;=$F$38,IF($F$37="Monthly",DATE(YEAR(B67),MONTH(B67)+1,MIN(DAY(B67),28)),B67+14),"")</f>
        <v>0</v>
      </c>
      <c r="C68" s="30" t="str">
        <f>IF(B68&lt;&gt;"",IF(COUNT($A$33:A68)&lt;=$F$39,0,$F$41)+IF(COUNT($A$33:A68)&lt;=$F$40,0,$F$42),"")</f>
        <v>0</v>
      </c>
    </row>
    <row r="69" spans="1:46">
      <c r="A69" t="str">
        <f>A68+1</f>
        <v>0</v>
      </c>
      <c r="B69" s="171" t="str">
        <f>IF(COUNT($A$33:A69)&lt;=$F$38,IF($F$37="Monthly",DATE(YEAR(B68),MONTH(B68)+1,MIN(DAY(B68),28)),B68+14),"")</f>
        <v>0</v>
      </c>
      <c r="C69" s="30" t="str">
        <f>IF(B69&lt;&gt;"",IF(COUNT($A$33:A69)&lt;=$F$39,0,$F$41)+IF(COUNT($A$33:A69)&lt;=$F$40,0,$F$42),"")</f>
        <v>0</v>
      </c>
    </row>
    <row r="70" spans="1:46">
      <c r="A70" t="str">
        <f>A69+1</f>
        <v>0</v>
      </c>
      <c r="B70" s="171" t="str">
        <f>IF(COUNT($A$33:A70)&lt;=$F$38,IF($F$37="Monthly",DATE(YEAR(B69),MONTH(B69)+1,MIN(DAY(B69),28)),B69+14),"")</f>
        <v>0</v>
      </c>
      <c r="C70" s="30" t="str">
        <f>IF(B70&lt;&gt;"",IF(COUNT($A$33:A70)&lt;=$F$39,0,$F$41)+IF(COUNT($A$33:A70)&lt;=$F$40,0,$F$42),"")</f>
        <v>0</v>
      </c>
    </row>
    <row r="71" spans="1:46">
      <c r="A71" t="str">
        <f>A70+1</f>
        <v>0</v>
      </c>
      <c r="B71" s="171" t="str">
        <f>IF(COUNT($A$33:A71)&lt;=$F$38,IF($F$37="Monthly",DATE(YEAR(B70),MONTH(B70)+1,MIN(DAY(B70),28)),B70+14),"")</f>
        <v>0</v>
      </c>
      <c r="C71" s="30" t="str">
        <f>IF(B71&lt;&gt;"",IF(COUNT($A$33:A71)&lt;=$F$39,0,$F$41)+IF(COUNT($A$33:A71)&lt;=$F$40,0,$F$42),"")</f>
        <v>0</v>
      </c>
    </row>
    <row r="72" spans="1:46">
      <c r="A72" t="str">
        <f>A71+1</f>
        <v>0</v>
      </c>
      <c r="B72" s="171" t="str">
        <f>IF(COUNT($A$33:A72)&lt;=$F$38,IF($F$37="Monthly",DATE(YEAR(B71),MONTH(B71)+1,MIN(DAY(B71),28)),B71+14),"")</f>
        <v>0</v>
      </c>
      <c r="C72" s="30" t="str">
        <f>IF(B72&lt;&gt;"",IF(COUNT($A$33:A72)&lt;=$F$39,0,$F$41)+IF(COUNT($A$33:A72)&lt;=$F$40,0,$F$42),"")</f>
        <v>0</v>
      </c>
    </row>
    <row r="73" spans="1:46">
      <c r="A73" t="str">
        <f>A72+1</f>
        <v>0</v>
      </c>
      <c r="B73" s="171" t="str">
        <f>IF(COUNT($A$33:A73)&lt;=$F$38,IF($F$37="Monthly",DATE(YEAR(B72),MONTH(B72)+1,MIN(DAY(B72),28)),B72+14),"")</f>
        <v>0</v>
      </c>
      <c r="C73" s="30" t="str">
        <f>IF(B73&lt;&gt;"",IF(COUNT($A$33:A73)&lt;=$F$39,0,$F$41)+IF(COUNT($A$33:A73)&lt;=$F$40,0,$F$42),"")</f>
        <v>0</v>
      </c>
    </row>
    <row r="74" spans="1:46">
      <c r="A74" t="str">
        <f>A73+1</f>
        <v>0</v>
      </c>
      <c r="B74" s="171" t="str">
        <f>IF(COUNT($A$33:A74)&lt;=$F$38,IF($F$37="Monthly",DATE(YEAR(B73),MONTH(B73)+1,MIN(DAY(B73),28)),B73+14),"")</f>
        <v>0</v>
      </c>
      <c r="C74" s="30" t="str">
        <f>IF(B74&lt;&gt;"",IF(COUNT($A$33:A74)&lt;=$F$39,0,$F$41)+IF(COUNT($A$33:A74)&lt;=$F$40,0,$F$42),"")</f>
        <v>0</v>
      </c>
    </row>
    <row r="75" spans="1:46">
      <c r="A75" t="str">
        <f>A74+1</f>
        <v>0</v>
      </c>
      <c r="B75" s="171" t="str">
        <f>IF(COUNT($A$33:A75)&lt;=$F$38,IF($F$37="Monthly",DATE(YEAR(B74),MONTH(B74)+1,MIN(DAY(B74),28)),B74+14),"")</f>
        <v>0</v>
      </c>
      <c r="C75" s="30" t="str">
        <f>IF(B75&lt;&gt;"",IF(COUNT($A$33:A75)&lt;=$F$39,0,$F$41)+IF(COUNT($A$33:A75)&lt;=$F$40,0,$F$42),"")</f>
        <v>0</v>
      </c>
    </row>
    <row r="76" spans="1:46">
      <c r="A76" t="str">
        <f>A75+1</f>
        <v>0</v>
      </c>
      <c r="B76" s="171" t="str">
        <f>IF(COUNT($A$33:A76)&lt;=$F$38,IF($F$37="Monthly",DATE(YEAR(B75),MONTH(B75)+1,MIN(DAY(B75),28)),B75+14),"")</f>
        <v>0</v>
      </c>
      <c r="C76" s="30" t="str">
        <f>IF(B76&lt;&gt;"",IF(COUNT($A$33:A76)&lt;=$F$39,0,$F$41)+IF(COUNT($A$33:A76)&lt;=$F$40,0,$F$42),"")</f>
        <v>0</v>
      </c>
    </row>
    <row r="77" spans="1:46">
      <c r="A77" t="str">
        <f>A76+1</f>
        <v>0</v>
      </c>
      <c r="B77" s="171" t="str">
        <f>IF(COUNT($A$33:A77)&lt;=$F$38,IF($F$37="Monthly",DATE(YEAR(B76),MONTH(B76)+1,MIN(DAY(B76),28)),B76+14),"")</f>
        <v>0</v>
      </c>
      <c r="C77" s="30" t="str">
        <f>IF(B77&lt;&gt;"",IF(COUNT($A$33:A77)&lt;=$F$39,0,$F$41)+IF(COUNT($A$33:A77)&lt;=$F$40,0,$F$42),"")</f>
        <v>0</v>
      </c>
    </row>
    <row r="78" spans="1:46">
      <c r="A78" t="str">
        <f>A77+1</f>
        <v>0</v>
      </c>
      <c r="B78" s="171" t="str">
        <f>IF(COUNT($A$33:A78)&lt;=$F$38,IF($F$37="Monthly",DATE(YEAR(B77),MONTH(B77)+1,MIN(DAY(B77),28)),B77+14),"")</f>
        <v>0</v>
      </c>
      <c r="C78" s="30" t="str">
        <f>IF(B78&lt;&gt;"",IF(COUNT($A$33:A78)&lt;=$F$39,0,$F$41)+IF(COUNT($A$33:A78)&lt;=$F$40,0,$F$42),"")</f>
        <v>0</v>
      </c>
    </row>
    <row r="79" spans="1:46">
      <c r="A79" t="str">
        <f>A78+1</f>
        <v>0</v>
      </c>
      <c r="B79" s="171" t="str">
        <f>IF(COUNT($A$33:A79)&lt;=$F$38,IF($F$37="Monthly",DATE(YEAR(B78),MONTH(B78)+1,MIN(DAY(B78),28)),B78+14),"")</f>
        <v>0</v>
      </c>
      <c r="C79" s="30" t="str">
        <f>IF(B79&lt;&gt;"",IF(COUNT($A$33:A79)&lt;=$F$39,0,$F$41)+IF(COUNT($A$33:A79)&lt;=$F$40,0,$F$42),"")</f>
        <v>0</v>
      </c>
    </row>
    <row r="80" spans="1:46">
      <c r="A80" t="str">
        <f>A79+1</f>
        <v>0</v>
      </c>
      <c r="B80" s="171" t="str">
        <f>IF(COUNT($A$33:A80)&lt;=$F$38,IF($F$37="Monthly",DATE(YEAR(B79),MONTH(B79)+1,MIN(DAY(B79),28)),B79+14),"")</f>
        <v>0</v>
      </c>
      <c r="C80" s="30" t="str">
        <f>IF(B80&lt;&gt;"",IF(COUNT($A$33:A80)&lt;=$F$39,0,$F$41)+IF(COUNT($A$33:A80)&lt;=$F$40,0,$F$42),"")</f>
        <v>0</v>
      </c>
    </row>
    <row r="81" spans="1:46">
      <c r="A81" t="str">
        <f>A80+1</f>
        <v>0</v>
      </c>
      <c r="B81" s="171" t="str">
        <f>IF(COUNT($A$33:A81)&lt;=$F$38,IF($F$37="Monthly",DATE(YEAR(B80),MONTH(B80)+1,MIN(DAY(B80),28)),B80+14),"")</f>
        <v>0</v>
      </c>
      <c r="C81" s="30" t="str">
        <f>IF(B81&lt;&gt;"",IF(COUNT($A$33:A81)&lt;=$F$39,0,$F$41)+IF(COUNT($A$33:A81)&lt;=$F$40,0,$F$42),"")</f>
        <v>0</v>
      </c>
    </row>
    <row r="82" spans="1:46">
      <c r="A82" t="str">
        <f>A81+1</f>
        <v>0</v>
      </c>
      <c r="B82" s="171" t="str">
        <f>IF(COUNT($A$33:A82)&lt;=$F$38,IF($F$37="Monthly",DATE(YEAR(B81),MONTH(B81)+1,MIN(DAY(B81),28)),B81+14),"")</f>
        <v>0</v>
      </c>
      <c r="C82" s="30" t="str">
        <f>IF(B82&lt;&gt;"",IF(COUNT($A$33:A82)&lt;=$F$39,0,$F$41)+IF(COUNT($A$33:A82)&lt;=$F$40,0,$F$42),"")</f>
        <v>0</v>
      </c>
    </row>
    <row r="83" spans="1:46">
      <c r="A83" t="str">
        <f>A82+1</f>
        <v>0</v>
      </c>
      <c r="B83" s="171" t="str">
        <f>IF(COUNT($A$33:A83)&lt;=$F$38,IF($F$37="Monthly",DATE(YEAR(B82),MONTH(B82)+1,MIN(DAY(B82),28)),B82+14),"")</f>
        <v>0</v>
      </c>
      <c r="C83" s="30" t="str">
        <f>IF(B83&lt;&gt;"",IF(COUNT($A$33:A83)&lt;=$F$39,0,$F$41)+IF(COUNT($A$33:A83)&lt;=$F$40,0,$F$42),"")</f>
        <v>0</v>
      </c>
    </row>
    <row r="84" spans="1:46">
      <c r="A84" t="str">
        <f>A83+1</f>
        <v>0</v>
      </c>
      <c r="B84" s="171" t="str">
        <f>IF(COUNT($A$33:A84)&lt;=$F$38,IF($F$37="Monthly",DATE(YEAR(B83),MONTH(B83)+1,MIN(DAY(B83),28)),B83+14),"")</f>
        <v>0</v>
      </c>
      <c r="C84" s="30" t="str">
        <f>IF(B84&lt;&gt;"",IF(COUNT($A$33:A84)&lt;=$F$39,0,$F$41)+IF(COUNT($A$33:A84)&lt;=$F$40,0,$F$42),"")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94"/>
  <sheetViews>
    <sheetView tabSelected="0" workbookViewId="0" zoomScale="90" zoomScaleNormal="90" showGridLines="false" showRowColHeaders="1">
      <pane xSplit="2" topLeftCell="C1" activePane="topRight" state="frozen"/>
      <selection pane="topRight" activeCell="I68" sqref="I68"/>
    </sheetView>
  </sheetViews>
  <sheetFormatPr defaultRowHeight="14.4" outlineLevelRow="0" outlineLevelCol="0"/>
  <cols>
    <col min="1" max="1" width="27.85546875" customWidth="true" style="0"/>
    <col min="2" max="2" width="18" customWidth="true" style="13"/>
    <col min="3" max="3" width="19" customWidth="true" style="13"/>
    <col min="4" max="4" width="18" customWidth="true" style="13"/>
    <col min="5" max="5" width="28" customWidth="true" style="13"/>
    <col min="6" max="6" width="29.7109375" customWidth="true" style="13"/>
    <col min="7" max="7" width="18" customWidth="true" style="13"/>
    <col min="8" max="8" width="19.42578125" customWidth="true" style="13"/>
    <col min="9" max="9" width="19.85546875" customWidth="true" style="13"/>
    <col min="10" max="10" width="18" customWidth="true" style="13"/>
    <col min="11" max="11" width="18" customWidth="true" style="13"/>
    <col min="12" max="12" width="18" customWidth="true" style="13"/>
    <col min="13" max="13" width="18" customWidth="true" style="13"/>
    <col min="14" max="14" width="16" customWidth="true" style="13"/>
    <col min="15" max="15" width="18" customWidth="true" style="13"/>
    <col min="16" max="16" width="17.5703125" customWidth="true" style="13"/>
    <col min="17" max="17" width="18" customWidth="true" style="13"/>
    <col min="18" max="18" width="18" customWidth="true" style="13"/>
    <col min="19" max="19" width="18.85546875" customWidth="true" style="13"/>
    <col min="20" max="20" width="15.7109375" customWidth="true" style="13"/>
    <col min="21" max="21" width="18.140625" customWidth="true" style="13"/>
    <col min="22" max="22" width="14.42578125" customWidth="true" style="13"/>
    <col min="23" max="23" width="15.140625" customWidth="true" style="13"/>
    <col min="24" max="24" width="15.85546875" customWidth="true" style="13"/>
    <col min="25" max="25" width="7.140625" customWidth="true" style="13"/>
    <col min="26" max="26" width="7.140625" customWidth="true" style="13"/>
    <col min="27" max="27" width="7.140625" customWidth="true" style="13"/>
    <col min="28" max="28" width="7.140625" customWidth="true" style="13"/>
    <col min="29" max="29" width="7.140625" customWidth="true" style="13"/>
    <col min="30" max="30" width="7.140625" customWidth="true" style="13"/>
    <col min="31" max="31" width="7.28515625" customWidth="true" style="13"/>
    <col min="32" max="32" width="7.28515625" customWidth="true" style="13"/>
    <col min="33" max="33" width="7.28515625" customWidth="true" style="13"/>
    <col min="34" max="34" width="7.28515625" customWidth="true" style="13"/>
    <col min="35" max="35" width="7.28515625" customWidth="true" style="13"/>
  </cols>
  <sheetData>
    <row r="1" spans="1:35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3"/>
      <c r="AF1" s="13"/>
      <c r="AG1" s="13"/>
      <c r="AH1" s="13"/>
      <c r="AI1" s="13"/>
    </row>
    <row r="2" spans="1:35">
      <c r="A2" s="7"/>
      <c r="B2" s="14"/>
      <c r="C2" s="126"/>
      <c r="D2" s="126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>
        <v>1</v>
      </c>
      <c r="Y2" s="14">
        <v>2</v>
      </c>
      <c r="Z2" s="14">
        <v>3</v>
      </c>
      <c r="AA2" s="14">
        <v>4</v>
      </c>
      <c r="AB2" s="14">
        <v>5</v>
      </c>
      <c r="AC2" s="14">
        <v>6</v>
      </c>
      <c r="AD2" s="14">
        <v>7</v>
      </c>
      <c r="AE2" s="14">
        <v>8</v>
      </c>
      <c r="AF2" s="14">
        <v>9</v>
      </c>
      <c r="AG2" s="14">
        <v>10</v>
      </c>
      <c r="AH2" s="14">
        <v>11</v>
      </c>
      <c r="AI2" s="14">
        <v>12</v>
      </c>
    </row>
    <row r="3" spans="1:35" customHeight="1" ht="60">
      <c r="A3" s="9" t="s">
        <v>61</v>
      </c>
      <c r="B3" s="11" t="s">
        <v>196</v>
      </c>
      <c r="C3" s="11" t="s">
        <v>197</v>
      </c>
      <c r="D3" s="11" t="s">
        <v>198</v>
      </c>
      <c r="E3" s="11" t="s">
        <v>199</v>
      </c>
      <c r="F3" s="11" t="s">
        <v>200</v>
      </c>
      <c r="G3" s="11" t="s">
        <v>201</v>
      </c>
      <c r="H3" s="11" t="s">
        <v>202</v>
      </c>
      <c r="I3" s="11" t="s">
        <v>203</v>
      </c>
      <c r="J3" s="11" t="s">
        <v>204</v>
      </c>
      <c r="K3" s="11" t="s">
        <v>205</v>
      </c>
      <c r="L3" s="11" t="s">
        <v>206</v>
      </c>
      <c r="M3" s="11" t="s">
        <v>207</v>
      </c>
      <c r="N3" s="11" t="s">
        <v>208</v>
      </c>
      <c r="O3" s="11" t="s">
        <v>209</v>
      </c>
      <c r="P3" s="11" t="s">
        <v>210</v>
      </c>
      <c r="Q3" s="11" t="s">
        <v>211</v>
      </c>
      <c r="R3" s="11" t="s">
        <v>212</v>
      </c>
      <c r="S3" s="11" t="s">
        <v>213</v>
      </c>
      <c r="T3" s="11" t="s">
        <v>214</v>
      </c>
      <c r="U3" s="11" t="s">
        <v>161</v>
      </c>
      <c r="V3" s="11" t="s">
        <v>159</v>
      </c>
      <c r="W3" s="11" t="s">
        <v>215</v>
      </c>
      <c r="X3" s="11" t="s">
        <v>216</v>
      </c>
      <c r="Y3" s="11" t="s">
        <v>217</v>
      </c>
      <c r="Z3" s="11" t="s">
        <v>218</v>
      </c>
      <c r="AA3" s="11" t="s">
        <v>219</v>
      </c>
      <c r="AB3" s="11" t="s">
        <v>220</v>
      </c>
      <c r="AC3" s="11" t="s">
        <v>221</v>
      </c>
      <c r="AD3" s="11" t="s">
        <v>222</v>
      </c>
      <c r="AE3" s="11" t="s">
        <v>223</v>
      </c>
      <c r="AF3" s="11" t="s">
        <v>224</v>
      </c>
      <c r="AG3" s="11" t="s">
        <v>225</v>
      </c>
      <c r="AH3" s="11" t="s">
        <v>226</v>
      </c>
      <c r="AI3" s="11" t="s">
        <v>227</v>
      </c>
    </row>
    <row r="4" spans="1:35" s="129" customFormat="1">
      <c r="A4" s="129" t="s">
        <v>228</v>
      </c>
      <c r="B4" s="130">
        <v>6609.764</v>
      </c>
      <c r="C4" s="131">
        <v>0.51291332035455</v>
      </c>
      <c r="D4" s="132">
        <v>0.1</v>
      </c>
      <c r="E4" s="132">
        <v>0.2</v>
      </c>
      <c r="F4" s="132">
        <v>0.15</v>
      </c>
      <c r="G4" s="130" t="str">
        <f>B4*(1+C4)*(1+E4)*(1+F4)</f>
        <v>0</v>
      </c>
      <c r="H4" s="132">
        <v>0.8</v>
      </c>
      <c r="I4" s="130">
        <v>2000</v>
      </c>
      <c r="J4" s="130">
        <v>0</v>
      </c>
      <c r="K4" s="130">
        <v>0</v>
      </c>
      <c r="L4" s="130" t="s">
        <v>229</v>
      </c>
      <c r="M4" s="130">
        <v>25</v>
      </c>
      <c r="N4" s="130">
        <v>150</v>
      </c>
      <c r="O4" s="130" t="str">
        <f>50*250</f>
        <v>0</v>
      </c>
      <c r="P4" s="130">
        <v>2000</v>
      </c>
      <c r="Q4" s="130">
        <v>7000</v>
      </c>
      <c r="R4" s="133">
        <v>0</v>
      </c>
      <c r="S4" s="130">
        <v>45</v>
      </c>
      <c r="T4" s="130">
        <v>45</v>
      </c>
      <c r="U4" s="132">
        <v>0</v>
      </c>
      <c r="V4" s="132">
        <v>0</v>
      </c>
      <c r="W4" s="130" t="s">
        <v>230</v>
      </c>
      <c r="X4" s="132" t="str">
        <f>1/12</f>
        <v>0</v>
      </c>
      <c r="Y4" s="132" t="str">
        <f>1/12</f>
        <v>0</v>
      </c>
      <c r="Z4" s="132" t="str">
        <f>1/12</f>
        <v>0</v>
      </c>
      <c r="AA4" s="132" t="str">
        <f>1/12</f>
        <v>0</v>
      </c>
      <c r="AB4" s="132" t="str">
        <f>1/12</f>
        <v>0</v>
      </c>
      <c r="AC4" s="132" t="str">
        <f>1/12</f>
        <v>0</v>
      </c>
      <c r="AD4" s="132" t="str">
        <f>1/12</f>
        <v>0</v>
      </c>
      <c r="AE4" s="132" t="str">
        <f>1/12</f>
        <v>0</v>
      </c>
      <c r="AF4" s="132" t="str">
        <f>1/12</f>
        <v>0</v>
      </c>
      <c r="AG4" s="132" t="str">
        <f>1/12</f>
        <v>0</v>
      </c>
      <c r="AH4" s="132" t="str">
        <f>1/12</f>
        <v>0</v>
      </c>
      <c r="AI4" s="132" t="str">
        <f>1/12</f>
        <v>0</v>
      </c>
    </row>
    <row r="5" spans="1:35" s="129" customFormat="1">
      <c r="A5" s="134" t="s">
        <v>231</v>
      </c>
      <c r="B5" s="135">
        <v>150</v>
      </c>
      <c r="C5" s="136">
        <v>1.0748881555995</v>
      </c>
      <c r="D5" s="137">
        <v>0.31984431374229</v>
      </c>
      <c r="E5" s="137">
        <v>0.67522688456706</v>
      </c>
      <c r="F5" s="137">
        <v>0.91796384131045</v>
      </c>
      <c r="G5" s="135">
        <v>1000</v>
      </c>
      <c r="H5" s="137">
        <v>1</v>
      </c>
      <c r="I5" s="135">
        <v>50</v>
      </c>
      <c r="J5" s="135">
        <v>1200</v>
      </c>
      <c r="K5" s="135">
        <v>25</v>
      </c>
      <c r="L5" s="135" t="s">
        <v>232</v>
      </c>
      <c r="M5" s="135">
        <v>100</v>
      </c>
      <c r="N5" s="135">
        <v>250</v>
      </c>
      <c r="O5" s="135">
        <v>20000</v>
      </c>
      <c r="P5" s="135">
        <v>3000</v>
      </c>
      <c r="Q5" s="135">
        <v>6000</v>
      </c>
      <c r="R5" s="138" t="str">
        <f>750/900</f>
        <v>0</v>
      </c>
      <c r="S5" s="135">
        <v>35</v>
      </c>
      <c r="T5" s="135">
        <v>35</v>
      </c>
      <c r="U5" s="132">
        <v>0</v>
      </c>
      <c r="V5" s="137">
        <v>0.1</v>
      </c>
      <c r="W5" s="135">
        <v>4</v>
      </c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</row>
    <row r="6" spans="1:35" s="129" customFormat="1">
      <c r="A6" s="129" t="s">
        <v>72</v>
      </c>
      <c r="B6" s="130">
        <v>4606.651</v>
      </c>
      <c r="C6" s="131">
        <v>0.25175401861475</v>
      </c>
      <c r="D6" s="132">
        <v>0.44189611030718</v>
      </c>
      <c r="E6" s="132">
        <v>0.77331819303757</v>
      </c>
      <c r="F6" s="132">
        <v>0.56469252326844</v>
      </c>
      <c r="G6" s="130">
        <v>16000</v>
      </c>
      <c r="H6" s="132">
        <v>0.1</v>
      </c>
      <c r="I6" s="130">
        <v>120</v>
      </c>
      <c r="J6" s="130">
        <v>0</v>
      </c>
      <c r="K6" s="133">
        <v>0.1212</v>
      </c>
      <c r="L6" s="130" t="s">
        <v>232</v>
      </c>
      <c r="M6" s="130">
        <v>5000</v>
      </c>
      <c r="N6" s="130">
        <v>6000</v>
      </c>
      <c r="O6" s="130">
        <v>15000</v>
      </c>
      <c r="P6" s="130">
        <v>2800</v>
      </c>
      <c r="Q6" s="130">
        <v>8000</v>
      </c>
      <c r="R6" s="133">
        <v>0</v>
      </c>
      <c r="S6" s="130">
        <v>20</v>
      </c>
      <c r="T6" s="130">
        <v>20</v>
      </c>
      <c r="U6" s="132">
        <v>0</v>
      </c>
      <c r="V6" s="132">
        <v>0</v>
      </c>
      <c r="W6" s="130">
        <v>3</v>
      </c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</row>
    <row r="7" spans="1:35" s="129" customFormat="1">
      <c r="A7" s="129" t="s">
        <v>233</v>
      </c>
      <c r="B7" s="130">
        <v>5000</v>
      </c>
      <c r="C7" s="131">
        <v>0.35493589835725</v>
      </c>
      <c r="D7" s="132">
        <v>0.47226495803943</v>
      </c>
      <c r="E7" s="132">
        <v>0.70839743705914</v>
      </c>
      <c r="F7" s="132">
        <v>0.29602564190694</v>
      </c>
      <c r="G7" s="130">
        <v>15000</v>
      </c>
      <c r="H7" s="132">
        <v>0.1</v>
      </c>
      <c r="I7" s="130">
        <v>80</v>
      </c>
      <c r="J7" s="130">
        <v>0</v>
      </c>
      <c r="K7" s="133">
        <v>2.6</v>
      </c>
      <c r="L7" s="130" t="s">
        <v>232</v>
      </c>
      <c r="M7" s="130">
        <v>4000</v>
      </c>
      <c r="N7" s="130">
        <v>6400</v>
      </c>
      <c r="O7" s="130">
        <v>20000</v>
      </c>
      <c r="P7" s="130">
        <v>1900</v>
      </c>
      <c r="Q7" s="130">
        <v>10000</v>
      </c>
      <c r="R7" s="133">
        <v>0</v>
      </c>
      <c r="S7" s="130">
        <v>40</v>
      </c>
      <c r="T7" s="130">
        <v>40</v>
      </c>
      <c r="U7" s="132">
        <v>0</v>
      </c>
      <c r="V7" s="132">
        <v>0</v>
      </c>
      <c r="W7" s="130">
        <v>4</v>
      </c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</row>
    <row r="8" spans="1:35" s="129" customFormat="1">
      <c r="A8" s="129" t="s">
        <v>234</v>
      </c>
      <c r="B8" s="130">
        <v>3956.358</v>
      </c>
      <c r="C8" s="131">
        <v>0.32571416198731</v>
      </c>
      <c r="D8" s="132">
        <v>0.060879068533093</v>
      </c>
      <c r="E8" s="132">
        <v>0.12175813706619</v>
      </c>
      <c r="F8" s="132">
        <v>0.019780124605624</v>
      </c>
      <c r="G8" s="130">
        <v>6000</v>
      </c>
      <c r="H8" s="137">
        <v>1</v>
      </c>
      <c r="I8" s="130">
        <v>2000</v>
      </c>
      <c r="J8" s="130">
        <v>0</v>
      </c>
      <c r="K8" s="130">
        <v>6000</v>
      </c>
      <c r="L8" s="130" t="s">
        <v>235</v>
      </c>
      <c r="M8" s="139">
        <v>0</v>
      </c>
      <c r="N8" s="139">
        <v>0</v>
      </c>
      <c r="O8" s="130">
        <v>3000</v>
      </c>
      <c r="P8" s="130">
        <v>1000</v>
      </c>
      <c r="Q8" s="130">
        <v>0</v>
      </c>
      <c r="R8" s="133">
        <v>0</v>
      </c>
      <c r="S8" s="130" t="str">
        <f>20/1.5</f>
        <v>0</v>
      </c>
      <c r="T8" s="130">
        <v>13</v>
      </c>
      <c r="U8" s="132">
        <v>0</v>
      </c>
      <c r="V8" s="132">
        <v>0</v>
      </c>
      <c r="W8" s="130">
        <v>15</v>
      </c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</row>
    <row r="9" spans="1:35" s="24" customFormat="1">
      <c r="A9" s="24" t="s">
        <v>236</v>
      </c>
      <c r="B9" s="130">
        <v>110.40512</v>
      </c>
      <c r="C9" s="131">
        <v>0.7297801632267</v>
      </c>
      <c r="D9" s="132">
        <v>0.95680214690403</v>
      </c>
      <c r="E9" s="132">
        <v>1.5946702448401</v>
      </c>
      <c r="F9" s="132">
        <v>1.4216922285174</v>
      </c>
      <c r="G9" s="102">
        <v>1200</v>
      </c>
      <c r="H9" s="137">
        <v>1</v>
      </c>
      <c r="I9" s="130">
        <v>150</v>
      </c>
      <c r="J9" s="130">
        <v>0</v>
      </c>
      <c r="K9" s="102">
        <v>0</v>
      </c>
      <c r="L9" s="102" t="s">
        <v>230</v>
      </c>
      <c r="M9" s="130">
        <v>0</v>
      </c>
      <c r="N9" s="130">
        <v>0</v>
      </c>
      <c r="O9" s="130">
        <v>25000</v>
      </c>
      <c r="P9" s="130">
        <v>5250</v>
      </c>
      <c r="Q9" s="130">
        <v>0</v>
      </c>
      <c r="R9" s="133">
        <v>0</v>
      </c>
      <c r="S9" s="130">
        <v>64</v>
      </c>
      <c r="T9" s="130">
        <v>64</v>
      </c>
      <c r="U9" s="132">
        <v>0</v>
      </c>
      <c r="V9" s="132">
        <v>0</v>
      </c>
      <c r="W9" s="130" t="s">
        <v>230</v>
      </c>
      <c r="X9" s="132">
        <v>0.12820512820513</v>
      </c>
      <c r="Y9" s="132">
        <v>0.12820512820513</v>
      </c>
      <c r="Z9" s="132">
        <v>0.1025641025641</v>
      </c>
      <c r="AA9" s="132">
        <v>0.051282051282051</v>
      </c>
      <c r="AB9" s="132">
        <v>0</v>
      </c>
      <c r="AC9" s="132">
        <v>0.12820512820513</v>
      </c>
      <c r="AD9" s="132">
        <v>0.12820512820513</v>
      </c>
      <c r="AE9" s="132">
        <v>0.051282051282051</v>
      </c>
      <c r="AF9" s="132">
        <v>0</v>
      </c>
      <c r="AG9" s="132">
        <v>0.051282051282051</v>
      </c>
      <c r="AH9" s="132">
        <v>0.1025641025641</v>
      </c>
      <c r="AI9" s="132">
        <v>0.12820512820513</v>
      </c>
    </row>
    <row r="10" spans="1:35" s="24" customFormat="1">
      <c r="A10" s="24" t="s">
        <v>237</v>
      </c>
      <c r="B10" s="102">
        <v>400</v>
      </c>
      <c r="C10" s="141">
        <v>0.46268074827689</v>
      </c>
      <c r="D10" s="142">
        <v>0.61871944545544</v>
      </c>
      <c r="E10" s="142">
        <v>0.92807916818317</v>
      </c>
      <c r="F10" s="142">
        <v>0.39619525971885</v>
      </c>
      <c r="G10" s="102" t="str">
        <f>AVERAGE(450,2700)</f>
        <v>0</v>
      </c>
      <c r="H10" s="137">
        <v>1</v>
      </c>
      <c r="I10" s="102">
        <v>150</v>
      </c>
      <c r="J10" s="102">
        <v>0</v>
      </c>
      <c r="K10" s="102">
        <v>10.1</v>
      </c>
      <c r="L10" s="130" t="s">
        <v>232</v>
      </c>
      <c r="M10" s="130">
        <v>30</v>
      </c>
      <c r="N10" s="130">
        <v>250</v>
      </c>
      <c r="O10" s="130">
        <v>12000</v>
      </c>
      <c r="P10" s="130">
        <v>300</v>
      </c>
      <c r="Q10" s="130">
        <v>0</v>
      </c>
      <c r="R10" s="133">
        <v>2.3</v>
      </c>
      <c r="S10" s="130">
        <v>30</v>
      </c>
      <c r="T10" s="130">
        <v>30</v>
      </c>
      <c r="U10" s="132">
        <v>0</v>
      </c>
      <c r="V10" s="132">
        <v>0.2</v>
      </c>
      <c r="W10" s="130">
        <v>4</v>
      </c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</row>
    <row r="11" spans="1:35" s="129" customFormat="1">
      <c r="A11" s="129" t="s">
        <v>238</v>
      </c>
      <c r="B11" s="130">
        <v>3000</v>
      </c>
      <c r="C11" s="131">
        <v>0.17631626935148</v>
      </c>
      <c r="D11" s="132">
        <v>0.1648744131117</v>
      </c>
      <c r="E11" s="132">
        <v>0.32974882622341</v>
      </c>
      <c r="F11" s="132">
        <v>0.27860464059943</v>
      </c>
      <c r="G11" s="130">
        <v>6000</v>
      </c>
      <c r="H11" s="137">
        <v>1</v>
      </c>
      <c r="I11" s="130">
        <v>3500</v>
      </c>
      <c r="J11" s="130">
        <v>8000</v>
      </c>
      <c r="K11" s="130">
        <v>0</v>
      </c>
      <c r="L11" s="130" t="s">
        <v>230</v>
      </c>
      <c r="M11" s="130">
        <v>25</v>
      </c>
      <c r="N11" s="130">
        <v>150</v>
      </c>
      <c r="O11" s="130">
        <v>8000</v>
      </c>
      <c r="P11" s="130">
        <v>4500</v>
      </c>
      <c r="Q11" s="130">
        <v>0</v>
      </c>
      <c r="R11" s="133">
        <v>0</v>
      </c>
      <c r="S11" s="130">
        <v>6</v>
      </c>
      <c r="T11" s="130">
        <v>14.4572</v>
      </c>
      <c r="U11" s="132">
        <v>0</v>
      </c>
      <c r="V11" s="132">
        <v>0</v>
      </c>
      <c r="W11" s="130" t="s">
        <v>230</v>
      </c>
      <c r="X11" s="132">
        <v>0.22900763358779</v>
      </c>
      <c r="Y11" s="132">
        <v>0.22900763358779</v>
      </c>
      <c r="Z11" s="132">
        <v>0.13740458015267</v>
      </c>
      <c r="AA11" s="132">
        <v>0.038167938931298</v>
      </c>
      <c r="AB11" s="132">
        <v>0.0076335877862595</v>
      </c>
      <c r="AC11" s="132">
        <v>0.0076335877862595</v>
      </c>
      <c r="AD11" s="132">
        <v>0.0076335877862595</v>
      </c>
      <c r="AE11" s="132">
        <v>0.0076335877862595</v>
      </c>
      <c r="AF11" s="132">
        <v>0.030534351145038</v>
      </c>
      <c r="AG11" s="132">
        <v>0.045801526717557</v>
      </c>
      <c r="AH11" s="132">
        <v>0.076335877862595</v>
      </c>
      <c r="AI11" s="132">
        <v>0.18320610687023</v>
      </c>
    </row>
    <row r="12" spans="1:35" s="129" customFormat="1">
      <c r="A12" s="129" t="s">
        <v>239</v>
      </c>
      <c r="B12" s="130">
        <v>1634.843</v>
      </c>
      <c r="C12" s="131">
        <v>0.60958552114631</v>
      </c>
      <c r="D12" s="132">
        <v>0.36227795775695</v>
      </c>
      <c r="E12" s="132">
        <v>0.7245559155139</v>
      </c>
      <c r="F12" s="132">
        <v>0.32215953522733</v>
      </c>
      <c r="G12" s="130">
        <v>6000</v>
      </c>
      <c r="H12" s="132">
        <v>0.1</v>
      </c>
      <c r="I12" s="130">
        <v>100</v>
      </c>
      <c r="J12" s="130">
        <v>0</v>
      </c>
      <c r="K12" s="130">
        <v>1</v>
      </c>
      <c r="L12" s="130" t="s">
        <v>232</v>
      </c>
      <c r="M12" s="130">
        <v>1500</v>
      </c>
      <c r="N12" s="130">
        <v>2880</v>
      </c>
      <c r="O12" s="130">
        <v>15000</v>
      </c>
      <c r="P12" s="130">
        <v>2000</v>
      </c>
      <c r="Q12" s="130">
        <v>7000</v>
      </c>
      <c r="R12" s="133">
        <v>0</v>
      </c>
      <c r="S12" s="130">
        <v>80</v>
      </c>
      <c r="T12" s="130">
        <v>80</v>
      </c>
      <c r="U12" s="132">
        <v>0</v>
      </c>
      <c r="V12" s="132">
        <v>0</v>
      </c>
      <c r="W12" s="130">
        <v>5</v>
      </c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</row>
    <row r="13" spans="1:35" s="24" customFormat="1">
      <c r="A13" s="24" t="s">
        <v>240</v>
      </c>
      <c r="B13" s="130">
        <v>3000</v>
      </c>
      <c r="C13" s="141">
        <v>0.75274295119743</v>
      </c>
      <c r="D13" s="142">
        <v>0.37637147559871</v>
      </c>
      <c r="E13" s="142">
        <v>0.75274295119743</v>
      </c>
      <c r="F13" s="142">
        <v>0.6275470261119</v>
      </c>
      <c r="G13" s="102">
        <v>15000</v>
      </c>
      <c r="H13" s="137">
        <v>1</v>
      </c>
      <c r="I13" s="102">
        <v>200</v>
      </c>
      <c r="J13" s="102">
        <v>1200</v>
      </c>
      <c r="K13" s="130">
        <v>800</v>
      </c>
      <c r="L13" s="102" t="s">
        <v>232</v>
      </c>
      <c r="M13" s="130">
        <v>30</v>
      </c>
      <c r="N13" s="144">
        <v>100</v>
      </c>
      <c r="O13" s="130">
        <v>12000</v>
      </c>
      <c r="P13" s="130">
        <v>4300</v>
      </c>
      <c r="Q13" s="130">
        <v>5000</v>
      </c>
      <c r="R13" s="133">
        <v>0</v>
      </c>
      <c r="S13" s="102">
        <v>16</v>
      </c>
      <c r="T13" s="102">
        <v>16</v>
      </c>
      <c r="U13" s="132">
        <v>0</v>
      </c>
      <c r="V13" s="132">
        <v>0</v>
      </c>
      <c r="W13" s="130">
        <v>4</v>
      </c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</row>
    <row r="14" spans="1:35" s="24" customFormat="1">
      <c r="A14" s="24" t="s">
        <v>241</v>
      </c>
      <c r="B14" s="102">
        <v>3000</v>
      </c>
      <c r="C14" s="131">
        <v>0.5</v>
      </c>
      <c r="D14" s="132">
        <v>0.05</v>
      </c>
      <c r="E14" s="132">
        <v>0.075</v>
      </c>
      <c r="F14" s="132">
        <v>0.05</v>
      </c>
      <c r="G14" s="102">
        <v>5079.375</v>
      </c>
      <c r="H14" s="137">
        <v>1</v>
      </c>
      <c r="I14" s="130">
        <v>0</v>
      </c>
      <c r="J14" s="130">
        <v>0</v>
      </c>
      <c r="K14" s="102">
        <v>11000</v>
      </c>
      <c r="L14" s="102" t="s">
        <v>235</v>
      </c>
      <c r="M14" s="133">
        <v>1</v>
      </c>
      <c r="N14" s="133">
        <v>1</v>
      </c>
      <c r="O14" s="130">
        <v>6600</v>
      </c>
      <c r="P14" s="130">
        <v>1000</v>
      </c>
      <c r="Q14" s="130">
        <v>0</v>
      </c>
      <c r="R14" s="133">
        <v>0</v>
      </c>
      <c r="S14" s="102">
        <v>30</v>
      </c>
      <c r="T14" s="102">
        <v>40</v>
      </c>
      <c r="U14" s="132">
        <v>0</v>
      </c>
      <c r="V14" s="132">
        <v>0</v>
      </c>
      <c r="W14" s="130">
        <v>4</v>
      </c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</row>
    <row r="15" spans="1:35" s="24" customFormat="1">
      <c r="A15" s="24" t="s">
        <v>242</v>
      </c>
      <c r="B15" s="102">
        <v>750</v>
      </c>
      <c r="C15" s="131">
        <v>0.11962273962856</v>
      </c>
      <c r="D15" s="132">
        <v>0.62626844738571</v>
      </c>
      <c r="E15" s="132">
        <v>1.1272832052943</v>
      </c>
      <c r="F15" s="132">
        <v>0.11962273962856</v>
      </c>
      <c r="G15" s="102">
        <v>2000</v>
      </c>
      <c r="H15" s="137">
        <v>1</v>
      </c>
      <c r="I15" s="130">
        <v>120</v>
      </c>
      <c r="J15" s="130">
        <v>0</v>
      </c>
      <c r="K15" s="130">
        <v>0</v>
      </c>
      <c r="L15" s="130" t="s">
        <v>230</v>
      </c>
      <c r="M15" s="130">
        <v>0</v>
      </c>
      <c r="N15" s="130">
        <v>0</v>
      </c>
      <c r="O15" s="130">
        <v>30000</v>
      </c>
      <c r="P15" s="130">
        <v>1000</v>
      </c>
      <c r="Q15" s="130">
        <v>0</v>
      </c>
      <c r="R15" s="133">
        <v>0</v>
      </c>
      <c r="S15" s="130">
        <v>46</v>
      </c>
      <c r="T15" s="130">
        <v>46</v>
      </c>
      <c r="U15" s="132" t="str">
        <f>32/46</f>
        <v>0</v>
      </c>
      <c r="V15" s="132">
        <v>0</v>
      </c>
      <c r="W15" s="130" t="s">
        <v>230</v>
      </c>
      <c r="X15" s="132">
        <v>0.083333333333333</v>
      </c>
      <c r="Y15" s="132">
        <v>0.083333333333333</v>
      </c>
      <c r="Z15" s="132">
        <v>0.083333333333333</v>
      </c>
      <c r="AA15" s="132">
        <v>0.083333333333333</v>
      </c>
      <c r="AB15" s="132">
        <v>0.083333333333333</v>
      </c>
      <c r="AC15" s="132">
        <v>0.083333333333333</v>
      </c>
      <c r="AD15" s="132">
        <v>0.083333333333333</v>
      </c>
      <c r="AE15" s="132">
        <v>0.083333333333333</v>
      </c>
      <c r="AF15" s="132">
        <v>0.083333333333333</v>
      </c>
      <c r="AG15" s="132">
        <v>0.083333333333333</v>
      </c>
      <c r="AH15" s="132">
        <v>0.083333333333333</v>
      </c>
      <c r="AI15" s="132">
        <v>0.083333333333333</v>
      </c>
    </row>
    <row r="16" spans="1:35" s="24" customFormat="1">
      <c r="A16" s="24" t="s">
        <v>243</v>
      </c>
      <c r="B16" s="102">
        <v>2651.467</v>
      </c>
      <c r="C16" s="131">
        <v>0.28556214186804</v>
      </c>
      <c r="D16" s="132">
        <v>0.093336373169867</v>
      </c>
      <c r="E16" s="132">
        <v>0.18667274633973</v>
      </c>
      <c r="F16" s="132">
        <v>0.48334093292467</v>
      </c>
      <c r="G16" s="102">
        <v>6000</v>
      </c>
      <c r="H16" s="132">
        <v>0.1</v>
      </c>
      <c r="I16" s="130">
        <v>120</v>
      </c>
      <c r="J16" s="130">
        <v>1200</v>
      </c>
      <c r="K16" s="145">
        <v>0.75</v>
      </c>
      <c r="L16" s="102" t="s">
        <v>232</v>
      </c>
      <c r="M16" s="130">
        <v>1000</v>
      </c>
      <c r="N16" s="130">
        <v>2800</v>
      </c>
      <c r="O16" s="130">
        <v>35000</v>
      </c>
      <c r="P16" s="130">
        <v>4500</v>
      </c>
      <c r="Q16" s="130">
        <v>6000</v>
      </c>
      <c r="R16" s="133">
        <v>0</v>
      </c>
      <c r="S16" s="130">
        <v>50</v>
      </c>
      <c r="T16" s="130">
        <v>50</v>
      </c>
      <c r="U16" s="132">
        <v>0</v>
      </c>
      <c r="V16" s="132">
        <v>0</v>
      </c>
      <c r="W16" s="130">
        <v>3</v>
      </c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</row>
    <row r="17" spans="1:35" s="24" customFormat="1">
      <c r="A17" s="120" t="s">
        <v>244</v>
      </c>
      <c r="B17" s="146">
        <v>933.898</v>
      </c>
      <c r="C17" s="147">
        <v>0.2611243556847</v>
      </c>
      <c r="D17" s="148">
        <v>0.18072831307447</v>
      </c>
      <c r="E17" s="148">
        <v>0.40663870441755</v>
      </c>
      <c r="F17" s="148">
        <v>0.3581339215066</v>
      </c>
      <c r="G17" s="34">
        <v>2250</v>
      </c>
      <c r="H17" s="148">
        <v>1</v>
      </c>
      <c r="I17" s="146">
        <v>100</v>
      </c>
      <c r="J17" s="146">
        <v>0</v>
      </c>
      <c r="K17" s="34">
        <v>50</v>
      </c>
      <c r="L17" s="34" t="s">
        <v>232</v>
      </c>
      <c r="M17" s="146">
        <v>77</v>
      </c>
      <c r="N17" s="146">
        <v>80</v>
      </c>
      <c r="O17" s="146">
        <v>15000</v>
      </c>
      <c r="P17" s="146">
        <v>9000</v>
      </c>
      <c r="Q17" s="146">
        <v>0</v>
      </c>
      <c r="R17" s="149">
        <v>2.3</v>
      </c>
      <c r="S17" s="34">
        <v>39</v>
      </c>
      <c r="T17" s="34">
        <v>39</v>
      </c>
      <c r="U17" s="27">
        <v>0</v>
      </c>
      <c r="V17" s="148">
        <v>0</v>
      </c>
      <c r="W17" s="146">
        <v>5</v>
      </c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</row>
    <row r="18" spans="1:35">
      <c r="A18" s="17" t="s">
        <v>245</v>
      </c>
    </row>
    <row r="20" spans="1:35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>
      <c r="F21" s="99"/>
    </row>
    <row r="22" spans="1:35" customHeight="1" ht="45">
      <c r="A22" s="9" t="s">
        <v>79</v>
      </c>
      <c r="B22" s="9" t="s">
        <v>246</v>
      </c>
      <c r="C22" s="11" t="s">
        <v>247</v>
      </c>
      <c r="D22" s="11" t="s">
        <v>248</v>
      </c>
      <c r="E22" s="11" t="s">
        <v>249</v>
      </c>
      <c r="F22" s="11" t="s">
        <v>250</v>
      </c>
      <c r="G22" s="11" t="s">
        <v>251</v>
      </c>
      <c r="H22" s="11" t="s">
        <v>252</v>
      </c>
      <c r="I22" s="11" t="s">
        <v>175</v>
      </c>
      <c r="J22" s="11" t="s">
        <v>253</v>
      </c>
      <c r="K22" s="11" t="s">
        <v>254</v>
      </c>
      <c r="L22" s="11" t="s">
        <v>255</v>
      </c>
      <c r="M22" s="11" t="s">
        <v>256</v>
      </c>
      <c r="N22" s="11" t="s">
        <v>257</v>
      </c>
      <c r="O22" s="11" t="s">
        <v>258</v>
      </c>
      <c r="P22" s="11" t="s">
        <v>259</v>
      </c>
    </row>
    <row r="23" spans="1:35" s="24" customFormat="1">
      <c r="A23" s="24" t="s">
        <v>260</v>
      </c>
      <c r="B23" s="24" t="s">
        <v>261</v>
      </c>
      <c r="C23" s="102" t="s">
        <v>262</v>
      </c>
      <c r="D23" s="151" t="str">
        <f>240/532</f>
        <v>0</v>
      </c>
      <c r="E23" s="142" t="str">
        <f>260/240-1</f>
        <v>0</v>
      </c>
      <c r="F23" s="142" t="str">
        <f>280/240-1</f>
        <v>0</v>
      </c>
      <c r="G23" s="142">
        <v>0</v>
      </c>
      <c r="H23" s="152">
        <v>8</v>
      </c>
      <c r="I23" s="152">
        <v>1</v>
      </c>
      <c r="J23" s="102">
        <v>150</v>
      </c>
      <c r="K23" s="102">
        <v>150</v>
      </c>
      <c r="L23" s="152">
        <v>1</v>
      </c>
      <c r="M23" s="102" t="str">
        <f>2*3200/750</f>
        <v>0</v>
      </c>
      <c r="N23" s="102" t="str">
        <f>100/532*365</f>
        <v>0</v>
      </c>
      <c r="O23" s="102">
        <v>18</v>
      </c>
      <c r="P23" s="102">
        <v>18</v>
      </c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</row>
    <row r="24" spans="1:35" s="24" customFormat="1">
      <c r="A24" s="24" t="s">
        <v>263</v>
      </c>
      <c r="B24" s="24" t="s">
        <v>264</v>
      </c>
      <c r="C24" s="152" t="s">
        <v>230</v>
      </c>
      <c r="D24" s="151" t="s">
        <v>230</v>
      </c>
      <c r="E24" s="142">
        <v>0.05</v>
      </c>
      <c r="F24" s="142">
        <v>0.1</v>
      </c>
      <c r="G24" s="142">
        <v>0.2</v>
      </c>
      <c r="H24" s="152" t="s">
        <v>230</v>
      </c>
      <c r="I24" s="152">
        <v>1</v>
      </c>
      <c r="J24" s="102">
        <v>450</v>
      </c>
      <c r="K24" s="102">
        <v>250</v>
      </c>
      <c r="L24" s="152">
        <v>1</v>
      </c>
      <c r="M24" s="102" t="str">
        <f>6*12/P24</f>
        <v>0</v>
      </c>
      <c r="N24" s="102" t="str">
        <f>5*12/P24</f>
        <v>0</v>
      </c>
      <c r="O24" s="102">
        <v>18</v>
      </c>
      <c r="P24" s="151">
        <v>1.5</v>
      </c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</row>
    <row r="25" spans="1:35" s="24" customFormat="1">
      <c r="A25" s="17" t="s">
        <v>265</v>
      </c>
      <c r="B25" s="17" t="s">
        <v>266</v>
      </c>
      <c r="C25" s="33" t="s">
        <v>267</v>
      </c>
      <c r="D25" s="153">
        <v>3</v>
      </c>
      <c r="E25" s="142" t="str">
        <f>7/D25-1</f>
        <v>0</v>
      </c>
      <c r="F25" s="142" t="str">
        <f>9.5/D25-1</f>
        <v>0</v>
      </c>
      <c r="G25" s="25" t="str">
        <f>25/9.5-1</f>
        <v>0</v>
      </c>
      <c r="H25" s="152">
        <v>35</v>
      </c>
      <c r="I25" s="152" t="s">
        <v>230</v>
      </c>
      <c r="J25" s="102" t="s">
        <v>230</v>
      </c>
      <c r="K25" s="102" t="s">
        <v>230</v>
      </c>
      <c r="L25" s="152">
        <v>50</v>
      </c>
      <c r="M25" s="102">
        <v>1000</v>
      </c>
      <c r="N25" s="102" t="str">
        <f>6000*12/4/3</f>
        <v>0</v>
      </c>
      <c r="O25" s="102">
        <v>60</v>
      </c>
      <c r="P25" s="102">
        <v>60</v>
      </c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</row>
    <row r="26" spans="1:35" s="24" customFormat="1">
      <c r="A26" s="17" t="s">
        <v>268</v>
      </c>
      <c r="B26" s="17" t="s">
        <v>264</v>
      </c>
      <c r="C26" s="152" t="s">
        <v>230</v>
      </c>
      <c r="D26" s="151" t="s">
        <v>230</v>
      </c>
      <c r="E26" s="142">
        <v>0.2</v>
      </c>
      <c r="F26" s="142">
        <v>0.7</v>
      </c>
      <c r="G26" s="142">
        <v>2</v>
      </c>
      <c r="H26" s="152" t="s">
        <v>230</v>
      </c>
      <c r="I26" s="152">
        <v>100</v>
      </c>
      <c r="J26" s="102">
        <v>230</v>
      </c>
      <c r="K26" s="102">
        <v>230</v>
      </c>
      <c r="L26" s="152">
        <v>50</v>
      </c>
      <c r="M26" s="102">
        <v>600</v>
      </c>
      <c r="N26" s="102">
        <v>700</v>
      </c>
      <c r="O26" s="102">
        <v>36</v>
      </c>
      <c r="P26" s="102">
        <v>36</v>
      </c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</row>
    <row r="27" spans="1:35" s="24" customFormat="1">
      <c r="A27" s="24" t="s">
        <v>269</v>
      </c>
      <c r="B27" s="101" t="s">
        <v>264</v>
      </c>
      <c r="C27" s="152" t="s">
        <v>230</v>
      </c>
      <c r="D27" s="151" t="s">
        <v>230</v>
      </c>
      <c r="E27" s="142">
        <v>0.15</v>
      </c>
      <c r="F27" s="142">
        <v>0.25</v>
      </c>
      <c r="G27" s="142">
        <v>1</v>
      </c>
      <c r="H27" s="152" t="s">
        <v>230</v>
      </c>
      <c r="I27" s="152">
        <v>8</v>
      </c>
      <c r="J27" s="102">
        <v>250</v>
      </c>
      <c r="K27" s="102">
        <v>250</v>
      </c>
      <c r="L27" s="152">
        <v>5</v>
      </c>
      <c r="M27" s="102">
        <v>200</v>
      </c>
      <c r="N27" s="102">
        <v>300</v>
      </c>
      <c r="O27" s="102">
        <v>24</v>
      </c>
      <c r="P27" s="102">
        <v>24</v>
      </c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</row>
    <row r="28" spans="1:35" s="24" customFormat="1">
      <c r="A28" s="24" t="s">
        <v>270</v>
      </c>
      <c r="B28" s="101" t="s">
        <v>264</v>
      </c>
      <c r="C28" s="152" t="s">
        <v>230</v>
      </c>
      <c r="D28" s="151" t="s">
        <v>230</v>
      </c>
      <c r="E28" s="142">
        <v>0.15</v>
      </c>
      <c r="F28" s="142">
        <v>0.25</v>
      </c>
      <c r="G28" s="142">
        <v>1</v>
      </c>
      <c r="H28" s="152" t="s">
        <v>230</v>
      </c>
      <c r="I28" s="152">
        <v>15</v>
      </c>
      <c r="J28" s="102">
        <v>250</v>
      </c>
      <c r="K28" s="102">
        <v>250</v>
      </c>
      <c r="L28" s="152">
        <v>5</v>
      </c>
      <c r="M28" s="102">
        <v>200</v>
      </c>
      <c r="N28" s="102">
        <v>300</v>
      </c>
      <c r="O28" s="102">
        <v>24</v>
      </c>
      <c r="P28" s="102">
        <v>24</v>
      </c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</row>
    <row r="29" spans="1:35" s="24" customFormat="1">
      <c r="A29" s="26" t="s">
        <v>271</v>
      </c>
      <c r="B29" s="154" t="s">
        <v>264</v>
      </c>
      <c r="C29" s="34" t="s">
        <v>230</v>
      </c>
      <c r="D29" s="34" t="s">
        <v>230</v>
      </c>
      <c r="E29" s="27">
        <v>0.1</v>
      </c>
      <c r="F29" s="27">
        <v>0.2</v>
      </c>
      <c r="G29" s="27">
        <v>0</v>
      </c>
      <c r="H29" s="34" t="s">
        <v>230</v>
      </c>
      <c r="I29" s="155">
        <v>60</v>
      </c>
      <c r="J29" s="34">
        <v>300</v>
      </c>
      <c r="K29" s="34">
        <v>300</v>
      </c>
      <c r="L29" s="155">
        <v>30</v>
      </c>
      <c r="M29" s="34">
        <v>200</v>
      </c>
      <c r="N29" s="34">
        <v>2000</v>
      </c>
      <c r="O29" s="34">
        <v>6</v>
      </c>
      <c r="P29" s="34">
        <v>6</v>
      </c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</row>
    <row r="30" spans="1:35">
      <c r="A30" s="17" t="s">
        <v>272</v>
      </c>
      <c r="B30" s="100" t="s">
        <v>264</v>
      </c>
    </row>
    <row r="31" spans="1:35">
      <c r="H31" s="119"/>
      <c r="I31" s="119"/>
      <c r="AI31" s="13"/>
    </row>
    <row r="32" spans="1:35">
      <c r="A32" s="4" t="s">
        <v>273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4" spans="1:35">
      <c r="A34" s="6" t="s">
        <v>274</v>
      </c>
      <c r="B34" s="12" t="s">
        <v>275</v>
      </c>
    </row>
    <row r="35" spans="1:35">
      <c r="A35" t="s">
        <v>276</v>
      </c>
      <c r="B35" s="102">
        <v>60</v>
      </c>
      <c r="C35" s="119"/>
    </row>
    <row r="36" spans="1:35">
      <c r="A36" t="s">
        <v>277</v>
      </c>
      <c r="B36" s="102">
        <v>2000</v>
      </c>
      <c r="C36" s="119"/>
    </row>
    <row r="37" spans="1:35">
      <c r="A37" t="s">
        <v>278</v>
      </c>
      <c r="B37" s="3">
        <v>0.3</v>
      </c>
    </row>
    <row r="39" spans="1:35">
      <c r="A39" s="4" t="s">
        <v>279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>
      <c r="A40" t="s">
        <v>280</v>
      </c>
      <c r="B40" s="8">
        <v>2500000</v>
      </c>
      <c r="C40" s="89" t="s">
        <v>103</v>
      </c>
    </row>
    <row r="41" spans="1:35">
      <c r="A41" t="s">
        <v>281</v>
      </c>
      <c r="B41" s="8">
        <v>4000000</v>
      </c>
      <c r="C41" s="89" t="s">
        <v>282</v>
      </c>
    </row>
    <row r="42" spans="1:35">
      <c r="A42" t="s">
        <v>283</v>
      </c>
      <c r="B42" s="8">
        <v>8000000</v>
      </c>
      <c r="C42" s="89" t="s">
        <v>284</v>
      </c>
    </row>
    <row r="43" spans="1:35">
      <c r="A43" t="s">
        <v>285</v>
      </c>
      <c r="B43" s="8">
        <v>12000000</v>
      </c>
      <c r="C43" s="89" t="s">
        <v>286</v>
      </c>
    </row>
    <row r="44" spans="1:35">
      <c r="B44" s="183" t="s">
        <v>287</v>
      </c>
      <c r="C44" s="183"/>
    </row>
    <row r="45" spans="1:35">
      <c r="B45" s="103" t="s">
        <v>105</v>
      </c>
      <c r="C45" s="103" t="s">
        <v>73</v>
      </c>
    </row>
    <row r="46" spans="1:35">
      <c r="A46" t="s">
        <v>260</v>
      </c>
      <c r="B46" s="102">
        <v>450</v>
      </c>
      <c r="C46" s="102">
        <v>450</v>
      </c>
    </row>
    <row r="47" spans="1:35">
      <c r="A47" t="s">
        <v>263</v>
      </c>
      <c r="B47" s="102">
        <v>450</v>
      </c>
      <c r="C47" s="102">
        <v>250</v>
      </c>
    </row>
    <row r="48" spans="1:35">
      <c r="A48" t="s">
        <v>265</v>
      </c>
      <c r="B48" s="102">
        <v>50000</v>
      </c>
      <c r="C48" s="102">
        <v>200000</v>
      </c>
    </row>
    <row r="49" spans="1:35">
      <c r="A49" t="s">
        <v>268</v>
      </c>
      <c r="B49" s="102">
        <v>25000</v>
      </c>
      <c r="C49" s="102">
        <v>50000</v>
      </c>
    </row>
    <row r="50" spans="1:35">
      <c r="A50" t="s">
        <v>269</v>
      </c>
      <c r="B50" s="102">
        <v>6000</v>
      </c>
      <c r="C50" s="102">
        <v>12000</v>
      </c>
    </row>
    <row r="51" spans="1:35">
      <c r="A51" t="s">
        <v>270</v>
      </c>
      <c r="B51" s="102">
        <v>4500</v>
      </c>
      <c r="C51" s="102">
        <v>12000</v>
      </c>
    </row>
    <row r="52" spans="1:35">
      <c r="A52" t="s">
        <v>271</v>
      </c>
      <c r="B52" s="102">
        <v>20000</v>
      </c>
      <c r="C52" s="102">
        <v>20000</v>
      </c>
      <c r="D52" s="102"/>
    </row>
    <row r="54" spans="1:35">
      <c r="A54" s="4" t="s">
        <v>288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6" spans="1:35">
      <c r="B56" s="121"/>
      <c r="C56" s="13" t="s">
        <v>237</v>
      </c>
      <c r="D56" s="13" t="s">
        <v>237</v>
      </c>
      <c r="E56" s="13" t="s">
        <v>237</v>
      </c>
      <c r="F56" s="13" t="s">
        <v>289</v>
      </c>
      <c r="G56" s="13" t="s">
        <v>103</v>
      </c>
      <c r="H56" s="13" t="s">
        <v>282</v>
      </c>
    </row>
    <row r="57" spans="1:35" customHeight="1" ht="30">
      <c r="A57" s="12" t="s">
        <v>131</v>
      </c>
      <c r="B57" s="12" t="s">
        <v>290</v>
      </c>
      <c r="C57" s="11" t="s">
        <v>196</v>
      </c>
      <c r="D57" s="11" t="s">
        <v>162</v>
      </c>
      <c r="E57" s="11" t="s">
        <v>215</v>
      </c>
      <c r="F57" s="11" t="s">
        <v>291</v>
      </c>
      <c r="G57" s="11" t="s">
        <v>292</v>
      </c>
      <c r="H57" s="11" t="s">
        <v>292</v>
      </c>
    </row>
    <row r="58" spans="1:35">
      <c r="A58" s="13" t="s">
        <v>293</v>
      </c>
      <c r="B58" s="13" t="s">
        <v>294</v>
      </c>
      <c r="C58" s="122">
        <v>806.09046126288</v>
      </c>
      <c r="D58" s="122">
        <v>2</v>
      </c>
      <c r="E58" s="122">
        <v>4</v>
      </c>
      <c r="F58" s="122" t="s">
        <v>73</v>
      </c>
      <c r="G58" s="122" t="str">
        <f>H58</f>
        <v>0</v>
      </c>
      <c r="H58" s="122" t="str">
        <f>AVERAGE(3000000,30000000)</f>
        <v>0</v>
      </c>
      <c r="I58" s="8"/>
    </row>
    <row r="59" spans="1:35">
      <c r="A59" s="13" t="s">
        <v>295</v>
      </c>
      <c r="B59" s="13" t="s">
        <v>294</v>
      </c>
      <c r="C59" s="122">
        <v>806.09046126288</v>
      </c>
      <c r="D59" s="122">
        <v>2</v>
      </c>
      <c r="E59" s="122">
        <v>4</v>
      </c>
      <c r="F59" s="122" t="s">
        <v>73</v>
      </c>
      <c r="G59" s="122" t="str">
        <f>H59</f>
        <v>0</v>
      </c>
      <c r="H59" s="122" t="str">
        <f>AVERAGE(3000000,30000000)</f>
        <v>0</v>
      </c>
      <c r="I59" s="8"/>
    </row>
    <row r="60" spans="1:35">
      <c r="A60" s="13" t="s">
        <v>296</v>
      </c>
      <c r="B60" s="13" t="s">
        <v>294</v>
      </c>
      <c r="C60" s="122">
        <v>806.09046126288</v>
      </c>
      <c r="D60" s="122">
        <v>2</v>
      </c>
      <c r="E60" s="122">
        <v>4</v>
      </c>
      <c r="F60" s="122" t="s">
        <v>73</v>
      </c>
      <c r="G60" s="122" t="str">
        <f>H60</f>
        <v>0</v>
      </c>
      <c r="H60" s="122" t="str">
        <f>AVERAGE(3000000,30000000)</f>
        <v>0</v>
      </c>
      <c r="I60" s="8"/>
    </row>
    <row r="61" spans="1:35">
      <c r="A61" s="13" t="s">
        <v>297</v>
      </c>
      <c r="B61" s="13" t="s">
        <v>294</v>
      </c>
      <c r="C61" s="122">
        <v>806.09046126288</v>
      </c>
      <c r="D61" s="122">
        <v>2</v>
      </c>
      <c r="E61" s="122">
        <v>4</v>
      </c>
      <c r="F61" s="122" t="s">
        <v>73</v>
      </c>
      <c r="G61" s="122" t="str">
        <f>H61</f>
        <v>0</v>
      </c>
      <c r="H61" s="122" t="str">
        <f>AVERAGE(3000000,30000000)</f>
        <v>0</v>
      </c>
      <c r="I61" s="8"/>
    </row>
    <row r="62" spans="1:35">
      <c r="A62" s="13" t="s">
        <v>298</v>
      </c>
      <c r="B62" s="13" t="s">
        <v>299</v>
      </c>
      <c r="C62" s="122">
        <v>806.09046126288</v>
      </c>
      <c r="D62" s="122">
        <v>2</v>
      </c>
      <c r="E62" s="122">
        <v>4</v>
      </c>
      <c r="F62" s="122" t="s">
        <v>105</v>
      </c>
      <c r="G62" s="122" t="str">
        <f>AVERAGE(300000,1500000)</f>
        <v>0</v>
      </c>
      <c r="H62" s="122" t="str">
        <f>AVERAGE(2000000,10000000)</f>
        <v>0</v>
      </c>
      <c r="I62" s="8"/>
    </row>
    <row r="63" spans="1:35">
      <c r="A63" s="13" t="s">
        <v>300</v>
      </c>
      <c r="B63" s="13" t="s">
        <v>299</v>
      </c>
      <c r="C63" s="122">
        <v>806.09046126288</v>
      </c>
      <c r="D63" s="122">
        <v>1</v>
      </c>
      <c r="E63" s="122">
        <v>5</v>
      </c>
      <c r="F63" s="122" t="s">
        <v>105</v>
      </c>
      <c r="G63" s="122" t="str">
        <f>AVERAGE(500000,700000)</f>
        <v>0</v>
      </c>
      <c r="H63" s="122" t="str">
        <f>AVERAGE(2000000,10000000)</f>
        <v>0</v>
      </c>
      <c r="I63" s="8"/>
    </row>
    <row r="64" spans="1:35">
      <c r="A64" s="13" t="s">
        <v>301</v>
      </c>
      <c r="B64" s="13" t="s">
        <v>299</v>
      </c>
      <c r="C64" s="122">
        <v>806.09046126288</v>
      </c>
      <c r="D64" s="122">
        <v>2</v>
      </c>
      <c r="E64" s="122">
        <v>4</v>
      </c>
      <c r="F64" s="122" t="s">
        <v>73</v>
      </c>
      <c r="G64" s="122" t="str">
        <f>AVERAGE(300000,750000)</f>
        <v>0</v>
      </c>
      <c r="H64" s="122" t="str">
        <f>AVERAGE(2000000,20000000)</f>
        <v>0</v>
      </c>
      <c r="I64" s="8"/>
    </row>
    <row r="65" spans="1:35">
      <c r="A65" s="13" t="s">
        <v>302</v>
      </c>
      <c r="B65" s="13" t="s">
        <v>299</v>
      </c>
      <c r="C65" s="122">
        <v>268.69682042096</v>
      </c>
      <c r="D65" s="122">
        <v>2</v>
      </c>
      <c r="E65" s="122">
        <v>4</v>
      </c>
      <c r="F65" s="122" t="s">
        <v>73</v>
      </c>
      <c r="G65" s="122" t="str">
        <f>AVERAGE(120000,450000)</f>
        <v>0</v>
      </c>
      <c r="H65" s="122" t="str">
        <f>AVERAGE(500000,3000000)</f>
        <v>0</v>
      </c>
      <c r="I65" s="8"/>
    </row>
    <row r="66" spans="1:35">
      <c r="A66" s="13" t="s">
        <v>303</v>
      </c>
      <c r="B66" s="13" t="s">
        <v>299</v>
      </c>
      <c r="C66" s="122">
        <v>806.09046126288</v>
      </c>
      <c r="D66" s="122">
        <v>2</v>
      </c>
      <c r="E66" s="122">
        <v>4</v>
      </c>
      <c r="F66" s="122" t="s">
        <v>105</v>
      </c>
      <c r="G66" s="122" t="str">
        <f>AVERAGE(300000,750000)</f>
        <v>0</v>
      </c>
      <c r="H66" s="122" t="str">
        <f>AVERAGE(750000,10000000)</f>
        <v>0</v>
      </c>
      <c r="I66" s="8"/>
    </row>
    <row r="67" spans="1:35">
      <c r="A67" s="13" t="s">
        <v>304</v>
      </c>
      <c r="B67" s="13" t="s">
        <v>299</v>
      </c>
      <c r="C67" s="122">
        <v>806.09046126288</v>
      </c>
      <c r="D67" s="122">
        <v>2</v>
      </c>
      <c r="E67" s="122">
        <v>4</v>
      </c>
      <c r="F67" s="122" t="s">
        <v>105</v>
      </c>
      <c r="G67" s="122" t="str">
        <f>AVERAGE(200000,500000)</f>
        <v>0</v>
      </c>
      <c r="H67" s="122" t="str">
        <f>AVERAGE(700000,3000000)</f>
        <v>0</v>
      </c>
      <c r="I67" s="8"/>
    </row>
    <row r="68" spans="1:35">
      <c r="A68" s="13" t="s">
        <v>305</v>
      </c>
      <c r="B68" s="13" t="s">
        <v>299</v>
      </c>
      <c r="C68" s="122">
        <v>1612.1809225258</v>
      </c>
      <c r="D68" s="122">
        <v>1</v>
      </c>
      <c r="E68" s="122">
        <v>6</v>
      </c>
      <c r="F68" s="122" t="s">
        <v>105</v>
      </c>
      <c r="G68" s="122" t="str">
        <f>AVERAGE(200000,500000)</f>
        <v>0</v>
      </c>
      <c r="H68" s="122" t="str">
        <f>AVERAGE(700000,3000000)</f>
        <v>0</v>
      </c>
      <c r="I68" s="8"/>
    </row>
    <row r="69" spans="1:35">
      <c r="A69" s="13" t="s">
        <v>306</v>
      </c>
      <c r="B69" s="13" t="s">
        <v>299</v>
      </c>
      <c r="C69" s="122">
        <v>1612.1809225258</v>
      </c>
      <c r="D69" s="122">
        <v>1</v>
      </c>
      <c r="E69" s="122">
        <v>6</v>
      </c>
      <c r="F69" s="122" t="s">
        <v>73</v>
      </c>
      <c r="G69" s="122" t="str">
        <f>AVERAGE(150000,400000)</f>
        <v>0</v>
      </c>
      <c r="H69" s="122" t="str">
        <f>AVERAGE(500000,2000000)</f>
        <v>0</v>
      </c>
      <c r="I69" s="8"/>
    </row>
    <row r="70" spans="1:35">
      <c r="A70" s="13" t="s">
        <v>307</v>
      </c>
      <c r="B70" s="13" t="s">
        <v>299</v>
      </c>
      <c r="C70" s="122">
        <v>806.09046126288</v>
      </c>
      <c r="D70" s="122">
        <v>2</v>
      </c>
      <c r="E70" s="122">
        <v>4</v>
      </c>
      <c r="F70" s="122" t="s">
        <v>73</v>
      </c>
      <c r="G70" s="122" t="str">
        <f>AVERAGE(300000,750000)</f>
        <v>0</v>
      </c>
      <c r="H70" s="122" t="str">
        <f>AVERAGE(2000000,20000000)</f>
        <v>0</v>
      </c>
      <c r="I70" s="8"/>
    </row>
    <row r="71" spans="1:35">
      <c r="A71" s="13" t="s">
        <v>308</v>
      </c>
      <c r="B71" s="13" t="s">
        <v>299</v>
      </c>
      <c r="C71" s="122">
        <v>806.09046126288</v>
      </c>
      <c r="D71" s="122">
        <v>2</v>
      </c>
      <c r="E71" s="122">
        <v>4</v>
      </c>
      <c r="F71" s="122" t="s">
        <v>73</v>
      </c>
      <c r="G71" s="122" t="str">
        <f>AVERAGE(300000,750000)</f>
        <v>0</v>
      </c>
      <c r="H71" s="122" t="str">
        <f>AVERAGE(2000000,20000000)</f>
        <v>0</v>
      </c>
      <c r="I71" s="8"/>
    </row>
    <row r="72" spans="1:35">
      <c r="A72" s="13" t="s">
        <v>309</v>
      </c>
      <c r="B72" s="13" t="s">
        <v>294</v>
      </c>
      <c r="C72" s="122">
        <v>806.09046126288</v>
      </c>
      <c r="D72" s="122">
        <v>2</v>
      </c>
      <c r="E72" s="122">
        <v>4</v>
      </c>
      <c r="F72" s="122" t="s">
        <v>73</v>
      </c>
      <c r="G72" s="122" t="str">
        <f>H72</f>
        <v>0</v>
      </c>
      <c r="H72" s="122" t="str">
        <f>AVERAGE(3000000,30000000)</f>
        <v>0</v>
      </c>
      <c r="I72" s="8"/>
    </row>
    <row r="75" spans="1:35">
      <c r="A75" s="4" t="s">
        <v>310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7" spans="1:35">
      <c r="A77" s="6" t="s">
        <v>311</v>
      </c>
      <c r="B77" s="12" t="s">
        <v>312</v>
      </c>
      <c r="C77" s="12" t="s">
        <v>313</v>
      </c>
      <c r="D77" s="12" t="s">
        <v>314</v>
      </c>
      <c r="E77" s="12" t="s">
        <v>65</v>
      </c>
      <c r="F77" s="12" t="s">
        <v>315</v>
      </c>
      <c r="G77" s="12" t="s">
        <v>316</v>
      </c>
      <c r="H77" s="12" t="s">
        <v>317</v>
      </c>
      <c r="I77" s="12" t="s">
        <v>141</v>
      </c>
      <c r="J77" s="12"/>
    </row>
    <row r="78" spans="1:35">
      <c r="A78" t="s">
        <v>73</v>
      </c>
      <c r="B78" s="2">
        <v>0</v>
      </c>
      <c r="C78" s="177" t="s">
        <v>318</v>
      </c>
      <c r="D78" s="176"/>
      <c r="E78" s="13" t="s">
        <v>105</v>
      </c>
      <c r="F78" s="13" t="s">
        <v>105</v>
      </c>
      <c r="G78" s="13" t="s">
        <v>319</v>
      </c>
      <c r="H78" s="13" t="s">
        <v>103</v>
      </c>
      <c r="I78" s="13" t="s">
        <v>320</v>
      </c>
    </row>
    <row r="79" spans="1:35">
      <c r="A79" t="s">
        <v>105</v>
      </c>
      <c r="B79" s="2">
        <v>0.1</v>
      </c>
      <c r="C79" s="13" t="s">
        <v>124</v>
      </c>
      <c r="D79" s="13">
        <v>1</v>
      </c>
      <c r="E79" s="13" t="s">
        <v>74</v>
      </c>
      <c r="F79" s="13" t="s">
        <v>321</v>
      </c>
      <c r="G79" s="13" t="s">
        <v>322</v>
      </c>
      <c r="H79" s="13" t="s">
        <v>282</v>
      </c>
      <c r="I79" s="13" t="s">
        <v>323</v>
      </c>
    </row>
    <row r="80" spans="1:35">
      <c r="B80" s="2" t="str">
        <f>B79+0.1</f>
        <v>0</v>
      </c>
      <c r="C80" s="13" t="s">
        <v>125</v>
      </c>
      <c r="D80" s="13" t="str">
        <f>D79+1</f>
        <v>0</v>
      </c>
      <c r="E80" s="13" t="s">
        <v>324</v>
      </c>
      <c r="F80" s="13" t="s">
        <v>75</v>
      </c>
      <c r="G80" s="13" t="s">
        <v>87</v>
      </c>
    </row>
    <row r="81" spans="1:35">
      <c r="B81" s="2" t="str">
        <f>B80+0.1</f>
        <v>0</v>
      </c>
      <c r="C81" s="13" t="s">
        <v>126</v>
      </c>
      <c r="D81" s="13" t="str">
        <f>D80+1</f>
        <v>0</v>
      </c>
      <c r="E81" s="13" t="s">
        <v>325</v>
      </c>
      <c r="F81" s="13" t="s">
        <v>326</v>
      </c>
    </row>
    <row r="82" spans="1:35">
      <c r="B82" s="2" t="str">
        <f>B81+0.1</f>
        <v>0</v>
      </c>
      <c r="C82" s="13" t="s">
        <v>127</v>
      </c>
      <c r="D82" s="13" t="str">
        <f>D81+1</f>
        <v>0</v>
      </c>
    </row>
    <row r="83" spans="1:35">
      <c r="B83" s="2" t="str">
        <f>B82+0.1</f>
        <v>0</v>
      </c>
      <c r="C83" s="13" t="s">
        <v>76</v>
      </c>
      <c r="D83" s="13" t="str">
        <f>D82+1</f>
        <v>0</v>
      </c>
    </row>
    <row r="84" spans="1:35">
      <c r="B84" s="2" t="str">
        <f>B83+0.1</f>
        <v>0</v>
      </c>
      <c r="C84" s="13" t="s">
        <v>128</v>
      </c>
      <c r="D84" s="13" t="str">
        <f>D83+1</f>
        <v>0</v>
      </c>
    </row>
    <row r="85" spans="1:35">
      <c r="B85" s="2" t="str">
        <f>B84+0.1</f>
        <v>0</v>
      </c>
      <c r="C85" s="13" t="s">
        <v>129</v>
      </c>
      <c r="D85" s="13" t="str">
        <f>D84+1</f>
        <v>0</v>
      </c>
    </row>
    <row r="86" spans="1:35">
      <c r="B86" s="2" t="str">
        <f>B85+0.1</f>
        <v>0</v>
      </c>
      <c r="C86" s="13" t="s">
        <v>327</v>
      </c>
      <c r="D86" s="13" t="str">
        <f>D85+1</f>
        <v>0</v>
      </c>
    </row>
    <row r="87" spans="1:35">
      <c r="B87" s="2" t="str">
        <f>B86+0.1</f>
        <v>0</v>
      </c>
      <c r="C87" s="13" t="s">
        <v>328</v>
      </c>
      <c r="D87" s="13" t="str">
        <f>D86+1</f>
        <v>0</v>
      </c>
    </row>
    <row r="88" spans="1:35">
      <c r="B88" s="2" t="str">
        <f>B87+0.1</f>
        <v>0</v>
      </c>
      <c r="C88" s="13" t="s">
        <v>329</v>
      </c>
      <c r="D88" s="13" t="str">
        <f>D87+1</f>
        <v>0</v>
      </c>
    </row>
    <row r="89" spans="1:35">
      <c r="C89" s="13" t="s">
        <v>330</v>
      </c>
      <c r="D89" s="13" t="str">
        <f>D88+1</f>
        <v>0</v>
      </c>
    </row>
    <row r="90" spans="1:35">
      <c r="C90" s="13" t="s">
        <v>331</v>
      </c>
      <c r="D90" s="13" t="str">
        <f>D89+1</f>
        <v>0</v>
      </c>
    </row>
    <row r="94" spans="1:35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4:C4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2016-08-31T18:23:25+00:00</dcterms:created>
  <dcterms:modified xsi:type="dcterms:W3CDTF">2016-08-31T18:30:11+00:00</dcterms:modified>
  <dc:title/>
  <dc:description/>
  <dc:subject/>
  <cp:keywords/>
  <cp:category/>
</cp:coreProperties>
</file>