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<sst xmlns="http://schemas.openxmlformats.org/spreadsheetml/2006/main" uniqueCount="367">
  <si>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</si>
  <si>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</si>
  <si>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</si>
  <si>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</si>
  <si>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</si>
  <si>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</si>
  <si>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</si>
  <si>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</si>
  <si>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</si>
  <si>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</si>
  <si>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</si>
  <si>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</si>
  <si>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</si>
  <si>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</si>
  <si>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</si>
  <si>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</si>
  <si>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</si>
  <si>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</si>
  <si>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</si>
  <si>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</si>
  <si>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</si>
  <si>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</si>
  <si>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</si>
  <si>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</si>
  <si>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</si>
  <si>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</si>
  <si>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</si>
  <si>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</si>
  <si>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</si>
  <si>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</si>
  <si>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</si>
  <si>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</si>
  <si>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</si>
  <si>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</si>
  <si>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</si>
  <si>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</si>
  <si>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</si>
  <si>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</si>
  <si>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</si>
  <si>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</si>
  <si>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</si>
  <si>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</si>
  <si>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</si>
  <si>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</si>
  <si>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</si>
  <si>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</si>
  <si>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</si>
  <si>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</si>
  <si>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</si>
  <si>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</si>
  <si>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</si>
  <si>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</si>
  <si>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</si>
  <si>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</si>
  <si>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</si>
  <si>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</si>
  <si>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</si>
  <si>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</si>
  <si>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</si>
  <si>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</si>
  <si>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</si>
  <si>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</si>
  <si>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</si>
  <si>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</si>
  <si>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</si>
  <si>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</si>
  <si>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</si>
  <si>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</si>
  <si>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</si>
  <si>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</si>
  <si>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</si>
  <si>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</si>
  <si>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</si>
  <si>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</si>
  <si>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</si>
  <si>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</si>
  <si>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</si>
  <si>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</si>
  <si>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</si>
  <si>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</si>
  <si>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</si>
  <si>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</si>
  <si>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</si>
  <si>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</si>
  <si>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</si>
  <si>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</si>
  <si>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</si>
  <si>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Home recycled</t>
  </si>
  <si>
    <t>Yes only manure</t>
  </si>
  <si>
    <t>Yes</t>
  </si>
  <si>
    <t>No</t>
  </si>
  <si>
    <t>February</t>
  </si>
  <si>
    <t>Mangoes</t>
  </si>
  <si>
    <t>Shop_certified variety</t>
  </si>
  <si>
    <t>Yes both manure and fertilizers</t>
  </si>
  <si>
    <t>Yes without the use of a pump</t>
  </si>
  <si>
    <t>September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</si>
  <si>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</si>
  <si>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</si>
  <si>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</si>
  <si>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</si>
  <si>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</si>
  <si>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</si>
  <si>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</si>
  <si>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</si>
  <si>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</si>
  <si>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</si>
  <si>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</si>
  <si>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</si>
  <si>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</si>
  <si>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</si>
  <si>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</si>
  <si>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</si>
  <si>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</si>
  <si>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</si>
  <si>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</si>
  <si>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</si>
  <si>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</si>
  <si>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</si>
  <si>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boutique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</si>
  <si>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</si>
  <si>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</si>
  <si>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</si>
  <si>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</si>
  <si>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</si>
  <si>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</si>
  <si>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</si>
  <si>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tractor tyres</t>
  </si>
  <si>
    <t>June</t>
  </si>
  <si>
    <t>greenhouse</t>
  </si>
  <si>
    <t>August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</si>
  <si>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</si>
  <si>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</si>
  <si>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</si>
  <si>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</si>
  <si>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</si>
  <si>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</si>
  <si>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</si>
  <si>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</si>
  <si>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</si>
  <si>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</si>
  <si>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</si>
  <si>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</si>
  <si>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</si>
  <si>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</si>
  <si>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</si>
  <si>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</si>
  <si>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</si>
  <si>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</si>
  <si>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</si>
  <si>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</si>
  <si>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2015/12/12</t>
  </si>
  <si>
    <t>eclof</t>
  </si>
  <si>
    <t>2014/1/28</t>
  </si>
  <si>
    <t>equity</t>
  </si>
  <si>
    <t>school fees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</si>
  <si>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</si>
  <si>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</si>
  <si>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</si>
  <si>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</si>
  <si>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</si>
  <si>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</si>
  <si>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</si>
  <si>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</si>
  <si>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</si>
  <si>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</si>
  <si>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</si>
  <si>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</si>
  <si>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</si>
  <si>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</si>
  <si>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</si>
  <si>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</si>
  <si>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</si>
  <si>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</si>
  <si>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</si>
  <si>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</si>
  <si>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</si>
  <si>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</si>
  <si>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</si>
  <si>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</si>
  <si>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</si>
  <si>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</si>
  <si>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</si>
  <si>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</si>
  <si>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</si>
  <si>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</si>
  <si>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</si>
  <si>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</si>
  <si>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</si>
  <si>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</si>
  <si>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</si>
  <si>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</si>
  <si>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</si>
  <si>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</si>
  <si>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</si>
  <si>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</si>
  <si>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</si>
  <si>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</si>
  <si>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</si>
  <si>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</si>
  <si>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</si>
  <si>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</si>
  <si>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</si>
  <si>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</si>
  <si>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</si>
  <si>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</si>
  <si>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</si>
  <si>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</si>
  <si>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</si>
  <si>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</si>
  <si>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</si>
  <si>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</si>
  <si>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</si>
  <si>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</si>
  <si>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</si>
  <si>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</si>
  <si>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</si>
  <si>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</si>
  <si>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</si>
  <si>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</si>
  <si>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</si>
  <si>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</si>
  <si>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</si>
  <si>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</si>
  <si>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</si>
  <si>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</si>
  <si>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</si>
  <si>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</si>
  <si>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</si>
  <si>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</si>
  <si>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</si>
  <si>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</si>
  <si>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</si>
  <si>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</si>
  <si>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</si>
  <si>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</si>
  <si>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</si>
  <si>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</si>
  <si>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</si>
  <si>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</si>
  <si>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</si>
  <si>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</si>
  <si>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</si>
  <si>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</si>
  <si>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</si>
  <si>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</si>
  <si>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</si>
  <si>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</si>
  <si>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</si>
  <si>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</si>
  <si>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</si>
  <si>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</si>
  <si>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</si>
  <si>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</si>
  <si>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</si>
  <si>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</si>
  <si>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</si>
  <si>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</si>
  <si>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</si>
  <si>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</si>
  <si>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</si>
  <si>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</si>
  <si>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</si>
  <si>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</si>
  <si>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</si>
  <si>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</si>
  <si>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</si>
  <si>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</si>
  <si>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</si>
  <si>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</si>
  <si>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</si>
  <si>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</si>
  <si>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</si>
  <si>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</si>
  <si>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</si>
  <si>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</si>
  <si>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</si>
  <si>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</si>
  <si>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</si>
  <si>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</si>
  <si>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</si>
  <si>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</si>
  <si>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</si>
  <si>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</si>
  <si>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</si>
  <si>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</si>
  <si>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</si>
  <si>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</si>
  <si>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</si>
  <si>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</si>
  <si>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</si>
  <si>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</si>
  <si>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</si>
  <si>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</si>
  <si>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</si>
  <si>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</si>
  <si>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</si>
  <si>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</si>
  <si>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</si>
  <si>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</si>
  <si>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</si>
  <si>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</si>
  <si>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</si>
  <si>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</si>
  <si>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</si>
  <si>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</si>
  <si>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</si>
  <si>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</si>
  <si>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</si>
  <si>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</si>
  <si>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</si>
  <si>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</si>
  <si>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</si>
  <si>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</si>
  <si>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</si>
  <si>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</si>
  <si>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</si>
  <si>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</si>
  <si>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</si>
  <si>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</si>
  <si>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</si>
  <si>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</si>
  <si>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</si>
  <si>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</si>
  <si>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</si>
  <si>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</si>
  <si>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</si>
  <si>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</si>
  <si>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</si>
  <si>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</si>
  <si>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</si>
  <si>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</si>
  <si>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</si>
  <si>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</si>
  <si>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</si>
  <si>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</si>
  <si>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</si>
  <si>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</si>
  <si>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</si>
  <si>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</si>
  <si>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</si>
  <si>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</si>
  <si>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</si>
  <si>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</si>
  <si>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</si>
  <si>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</si>
  <si>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</si>
  <si>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</si>
  <si>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</si>
  <si>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</si>
  <si>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</si>
  <si>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</si>
  <si>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</si>
  <si>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</si>
  <si>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Other farmers</t>
  </si>
  <si>
    <t>Yes inorganic fertilizers</t>
  </si>
  <si>
    <t>Yes using a solar pump</t>
  </si>
  <si>
    <t>Shop_common variety</t>
  </si>
  <si>
    <t>Yes both manure and inorganic</t>
  </si>
  <si>
    <t>March</t>
  </si>
  <si>
    <t>NGO</t>
  </si>
  <si>
    <t>April</t>
  </si>
  <si>
    <t>May</t>
  </si>
  <si>
    <t>July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</si>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</sst>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indebtness ratio&gt;80%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Cabbages, Mangoes,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Pigs, Cows_dairy</v>
      </c>
    </row>
    <row r="8" spans="1:7">
      <c r="B8" s="1" t="s">
        <v>4</v>
      </c>
      <c r="C8" t="str">
        <f>IF(Inputs!B29="","None",Inputs!B29)</f>
        <v>boutique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4.7238267148014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3217195.2724227</v>
      </c>
    </row>
    <row r="18" spans="1:7">
      <c r="B18" s="1" t="s">
        <v>12</v>
      </c>
      <c r="C18" s="36">
        <f>MIN(Output!B4:M4)</f>
        <v>140794.15153207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345483.57173791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41118</v>
      </c>
    </row>
    <row r="25" spans="1:7">
      <c r="B25" s="1" t="s">
        <v>18</v>
      </c>
      <c r="C25" s="36">
        <f>MAX(Inputs!A56:A60)</f>
        <v>65236</v>
      </c>
    </row>
    <row r="26" spans="1:7">
      <c r="B26" s="1" t="s">
        <v>19</v>
      </c>
      <c r="C26" s="136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172709.10533649</v>
      </c>
      <c r="C4" s="51">
        <f>C28-C86</f>
        <v>179229.10533649</v>
      </c>
      <c r="D4" s="51">
        <f>D28-D86</f>
        <v>338733.57173791</v>
      </c>
      <c r="E4" s="51">
        <f>E28-E86</f>
        <v>345483.57173791</v>
      </c>
      <c r="F4" s="51">
        <f>F28-F86</f>
        <v>345483.57173791</v>
      </c>
      <c r="G4" s="51">
        <f>G28-G86</f>
        <v>322703.57173791</v>
      </c>
      <c r="H4" s="51">
        <f>H28-H86</f>
        <v>140794.15153207</v>
      </c>
      <c r="I4" s="51">
        <f>I28-I86</f>
        <v>147314.15153207</v>
      </c>
      <c r="J4" s="51">
        <f>J28-J86</f>
        <v>306818.61793349</v>
      </c>
      <c r="K4" s="51">
        <f>K28-K86</f>
        <v>313568.61793349</v>
      </c>
      <c r="L4" s="51">
        <f>L28-L86</f>
        <v>313568.61793349</v>
      </c>
      <c r="M4" s="51">
        <f>M28-M86</f>
        <v>290788.61793349</v>
      </c>
      <c r="N4" s="51">
        <f>N28-N86</f>
        <v>172709.10533649</v>
      </c>
      <c r="O4" s="51">
        <f>O28-O86</f>
        <v>179229.10533649</v>
      </c>
      <c r="P4" s="51">
        <f>P28-P86</f>
        <v>338733.57173791</v>
      </c>
      <c r="Q4" s="51">
        <f>Q28-Q86</f>
        <v>345483.57173791</v>
      </c>
      <c r="R4" s="51">
        <f>R28-R86</f>
        <v>345795.23840458</v>
      </c>
      <c r="S4" s="51">
        <f>S28-S86</f>
        <v>323015.23840458</v>
      </c>
      <c r="T4" s="51">
        <f>T28-T86</f>
        <v>141105.81819874</v>
      </c>
      <c r="U4" s="51">
        <f>U28-U86</f>
        <v>147625.81819874</v>
      </c>
      <c r="V4" s="51">
        <f>V28-V86</f>
        <v>307130.28460016</v>
      </c>
      <c r="W4" s="51">
        <f>W28-W86</f>
        <v>313880.28460016</v>
      </c>
      <c r="X4" s="51">
        <f>X28-X86</f>
        <v>313880.28460016</v>
      </c>
      <c r="Y4" s="51">
        <f>Y28-Y86</f>
        <v>291100.28460016</v>
      </c>
      <c r="Z4" s="51">
        <f>SUMIF($B$11:$Y$11,"Yes",B4:Y4)</f>
        <v>172709.10533649</v>
      </c>
      <c r="AA4" s="51">
        <f>AA28-AA86</f>
        <v>3217195.2724227</v>
      </c>
      <c r="AB4" s="51">
        <f>AB28-AB86</f>
        <v>6436883.8781788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250000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250000</v>
      </c>
      <c r="AA7" s="76">
        <f>SUM(B7:M7)</f>
        <v>250000</v>
      </c>
      <c r="AB7" s="76">
        <f>SUM(B7:Y7)</f>
        <v>250000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422709.10533649</v>
      </c>
      <c r="C9" s="81">
        <f>C4+C7-C8</f>
        <v>179229.10533649</v>
      </c>
      <c r="D9" s="81">
        <f>D4+D7-D8</f>
        <v>338733.57173791</v>
      </c>
      <c r="E9" s="81">
        <f>E4+E7-E8</f>
        <v>345483.57173791</v>
      </c>
      <c r="F9" s="81">
        <f>F4+F7-F8</f>
        <v>345483.57173791</v>
      </c>
      <c r="G9" s="81">
        <f>G4+G7-G8</f>
        <v>322703.57173791</v>
      </c>
      <c r="H9" s="81">
        <f>H4+H7-H8</f>
        <v>140794.15153207</v>
      </c>
      <c r="I9" s="81">
        <f>I4+I7-I8</f>
        <v>147314.15153207</v>
      </c>
      <c r="J9" s="81">
        <f>J4+J7-J8</f>
        <v>306818.61793349</v>
      </c>
      <c r="K9" s="81">
        <f>K4+K7-K8</f>
        <v>313568.61793349</v>
      </c>
      <c r="L9" s="81">
        <f>L4+L7-L8</f>
        <v>313568.61793349</v>
      </c>
      <c r="M9" s="81">
        <f>M4+M7-M8</f>
        <v>290788.61793349</v>
      </c>
      <c r="N9" s="81">
        <f>N4+N7-N8</f>
        <v>172709.10533649</v>
      </c>
      <c r="O9" s="81">
        <f>O4+O7-O8</f>
        <v>179229.10533649</v>
      </c>
      <c r="P9" s="81">
        <f>P4+P7-P8</f>
        <v>338733.57173791</v>
      </c>
      <c r="Q9" s="81">
        <f>Q4+Q7-Q8</f>
        <v>345483.57173791</v>
      </c>
      <c r="R9" s="81">
        <f>R4+R7-R8</f>
        <v>345795.23840458</v>
      </c>
      <c r="S9" s="81">
        <f>S4+S7-S8</f>
        <v>323015.23840458</v>
      </c>
      <c r="T9" s="81">
        <f>T4+T7-T8</f>
        <v>141105.81819874</v>
      </c>
      <c r="U9" s="81">
        <f>U4+U7-U8</f>
        <v>147625.81819874</v>
      </c>
      <c r="V9" s="81">
        <f>V4+V7-V8</f>
        <v>307130.28460016</v>
      </c>
      <c r="W9" s="81">
        <f>W4+W7-W8</f>
        <v>313880.28460016</v>
      </c>
      <c r="X9" s="81">
        <f>X4+X7-X8</f>
        <v>313880.28460016</v>
      </c>
      <c r="Y9" s="81">
        <f>Y4+Y7-Y8</f>
        <v>291100.28460016</v>
      </c>
      <c r="Z9" s="86">
        <f>SUMIF($B$11:$Y$11,"Yes",B9:Y9)</f>
        <v>422709.10533649</v>
      </c>
      <c r="AA9" s="81">
        <f>SUM(B9:M9)</f>
        <v>3467195.2724227</v>
      </c>
      <c r="AB9" s="46">
        <f>SUM(B9:Y9)</f>
        <v>6686883.8781788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Cabbages</v>
      </c>
      <c r="B16" s="36">
        <f>N16</f>
        <v>0</v>
      </c>
      <c r="C16" s="36">
        <f>O16</f>
        <v>0</v>
      </c>
      <c r="D16" s="36">
        <f>P16</f>
        <v>145504.46640142</v>
      </c>
      <c r="E16" s="36">
        <f>Q16</f>
        <v>145504.46640142</v>
      </c>
      <c r="F16" s="36">
        <f>R16</f>
        <v>145504.46640142</v>
      </c>
      <c r="G16" s="36">
        <f>S16</f>
        <v>145504.46640142</v>
      </c>
      <c r="H16" s="36">
        <f>T16</f>
        <v>0</v>
      </c>
      <c r="I16" s="36">
        <f>U16</f>
        <v>0</v>
      </c>
      <c r="J16" s="36">
        <f>V16</f>
        <v>145504.46640142</v>
      </c>
      <c r="K16" s="36">
        <f>W16</f>
        <v>145504.46640142</v>
      </c>
      <c r="L16" s="36">
        <f>X16</f>
        <v>145504.46640142</v>
      </c>
      <c r="M16" s="36">
        <f>Y16</f>
        <v>145504.46640142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145504.46640142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145504.46640142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145504.46640142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145504.46640142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145504.46640142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145504.46640142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145504.46640142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145504.46640142</v>
      </c>
      <c r="Z16" s="36">
        <f>SUMIF($B$11:$Y$11,"Yes",B16:Y16)</f>
        <v>0</v>
      </c>
      <c r="AA16" s="36">
        <f>SUM(B16:M16)</f>
        <v>1164035.7312114</v>
      </c>
      <c r="AB16" s="36">
        <f>SUM(B16:Y16)</f>
        <v>2328071.4624228</v>
      </c>
      <c r="AC16" s="43"/>
      <c r="AD16" s="43"/>
    </row>
    <row r="17" spans="1:30">
      <c r="A17" t="str">
        <f>IF(Calculations!A5&lt;&gt;Parameters!$A$18,IF(Calculations!A5=0,"",Calculations!A5),Inputs!B8)</f>
        <v>Mangoes</v>
      </c>
      <c r="B17" s="36">
        <f>N17</f>
        <v>31914.953804419</v>
      </c>
      <c r="C17" s="36">
        <f>O17</f>
        <v>31914.953804419</v>
      </c>
      <c r="D17" s="36">
        <f>P17</f>
        <v>31914.953804419</v>
      </c>
      <c r="E17" s="36">
        <f>Q17</f>
        <v>31914.953804419</v>
      </c>
      <c r="F17" s="36">
        <f>R17</f>
        <v>31914.953804419</v>
      </c>
      <c r="G17" s="36">
        <f>S17</f>
        <v>31914.953804419</v>
      </c>
      <c r="H17" s="36">
        <f>T17</f>
        <v>0</v>
      </c>
      <c r="I17" s="36">
        <f>U17</f>
        <v>0</v>
      </c>
      <c r="J17" s="36">
        <f>V17</f>
        <v>0</v>
      </c>
      <c r="K17" s="36">
        <f>W17</f>
        <v>0</v>
      </c>
      <c r="L17" s="36">
        <f>X17</f>
        <v>0</v>
      </c>
      <c r="M17" s="36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31914.953804419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31914.953804419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31914.953804419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31914.953804419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31914.953804419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31914.953804419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31914.953804419</v>
      </c>
      <c r="AA17" s="36">
        <f>SUM(B17:M17)</f>
        <v>191489.72282652</v>
      </c>
      <c r="AB17" s="36">
        <f>SUM(B17:Y17)</f>
        <v>382979.44565303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1072000</v>
      </c>
    </row>
    <row r="22" spans="1:30">
      <c r="A22" s="43" t="str">
        <f>IF(Inputs!A19="","",IF(Inputs!A19=Parameters!$A$30,Inputs!B19,Inputs!A19))</f>
        <v>Pigs</v>
      </c>
      <c r="B22" s="36">
        <f>IFERROR(Calculations!$P14/12,"")</f>
        <v>495000</v>
      </c>
      <c r="C22" s="36">
        <f>IFERROR(Calculations!$P14/12,"")</f>
        <v>495000</v>
      </c>
      <c r="D22" s="36">
        <f>IFERROR(Calculations!$P14/12,"")</f>
        <v>495000</v>
      </c>
      <c r="E22" s="36">
        <f>IFERROR(Calculations!$P14/12,"")</f>
        <v>495000</v>
      </c>
      <c r="F22" s="36">
        <f>IFERROR(Calculations!$P14/12,"")</f>
        <v>495000</v>
      </c>
      <c r="G22" s="36">
        <f>IFERROR(Calculations!$P14/12,"")</f>
        <v>495000</v>
      </c>
      <c r="H22" s="36">
        <f>IFERROR(Calculations!$P14/12,"")</f>
        <v>495000</v>
      </c>
      <c r="I22" s="36">
        <f>IFERROR(Calculations!$P14/12,"")</f>
        <v>495000</v>
      </c>
      <c r="J22" s="36">
        <f>IFERROR(Calculations!$P14/12,"")</f>
        <v>495000</v>
      </c>
      <c r="K22" s="36">
        <f>IFERROR(Calculations!$P14/12,"")</f>
        <v>495000</v>
      </c>
      <c r="L22" s="36">
        <f>IFERROR(Calculations!$P14/12,"")</f>
        <v>495000</v>
      </c>
      <c r="M22" s="36">
        <f>IFERROR(Calculations!$P14/12,"")</f>
        <v>495000</v>
      </c>
      <c r="N22" s="36">
        <f>IFERROR(Calculations!$P14/12,"")</f>
        <v>495000</v>
      </c>
      <c r="O22" s="36">
        <f>IFERROR(Calculations!$P14/12,"")</f>
        <v>495000</v>
      </c>
      <c r="P22" s="36">
        <f>IFERROR(Calculations!$P14/12,"")</f>
        <v>495000</v>
      </c>
      <c r="Q22" s="36">
        <f>IFERROR(Calculations!$P14/12,"")</f>
        <v>495000</v>
      </c>
      <c r="R22" s="36">
        <f>IFERROR(Calculations!$P14/12,"")</f>
        <v>495000</v>
      </c>
      <c r="S22" s="36">
        <f>IFERROR(Calculations!$P14/12,"")</f>
        <v>495000</v>
      </c>
      <c r="T22" s="36">
        <f>IFERROR(Calculations!$P14/12,"")</f>
        <v>495000</v>
      </c>
      <c r="U22" s="36">
        <f>IFERROR(Calculations!$P14/12,"")</f>
        <v>495000</v>
      </c>
      <c r="V22" s="36">
        <f>IFERROR(Calculations!$P14/12,"")</f>
        <v>495000</v>
      </c>
      <c r="W22" s="36">
        <f>IFERROR(Calculations!$P14/12,"")</f>
        <v>495000</v>
      </c>
      <c r="X22" s="36">
        <f>IFERROR(Calculations!$P14/12,"")</f>
        <v>495000</v>
      </c>
      <c r="Y22" s="36">
        <f>IFERROR(Calculations!$P14/12,"")</f>
        <v>495000</v>
      </c>
      <c r="Z22" s="36">
        <f>SUMIF($B$11:$Y$11,"Yes",B22:Y22)</f>
        <v>495000</v>
      </c>
      <c r="AA22" s="36">
        <f>SUM(B22:M22)</f>
        <v>5940000</v>
      </c>
      <c r="AB22" s="46">
        <f>SUM(B22:Y22)</f>
        <v>11880000</v>
      </c>
    </row>
    <row r="23" spans="1:30">
      <c r="A23" s="43" t="str">
        <f>IF(Inputs!A20="","",IF(Inputs!A20=Parameters!$A$30,Inputs!B20,Inputs!A20))</f>
        <v>Cows_dairy</v>
      </c>
      <c r="B23" s="36">
        <f>IFERROR(Calculations!$P15/12,"")</f>
        <v>17337.5</v>
      </c>
      <c r="C23" s="36">
        <f>IFERROR(Calculations!$P15/12,"")</f>
        <v>17337.5</v>
      </c>
      <c r="D23" s="36">
        <f>IFERROR(Calculations!$P15/12,"")</f>
        <v>17337.5</v>
      </c>
      <c r="E23" s="36">
        <f>IFERROR(Calculations!$P15/12,"")</f>
        <v>17337.5</v>
      </c>
      <c r="F23" s="36">
        <f>IFERROR(Calculations!$P15/12,"")</f>
        <v>17337.5</v>
      </c>
      <c r="G23" s="36">
        <f>IFERROR(Calculations!$P15/12,"")</f>
        <v>17337.5</v>
      </c>
      <c r="H23" s="36">
        <f>IFERROR(Calculations!$P15/12,"")</f>
        <v>17337.5</v>
      </c>
      <c r="I23" s="36">
        <f>IFERROR(Calculations!$P15/12,"")</f>
        <v>17337.5</v>
      </c>
      <c r="J23" s="36">
        <f>IFERROR(Calculations!$P15/12,"")</f>
        <v>17337.5</v>
      </c>
      <c r="K23" s="36">
        <f>IFERROR(Calculations!$P15/12,"")</f>
        <v>17337.5</v>
      </c>
      <c r="L23" s="36">
        <f>IFERROR(Calculations!$P15/12,"")</f>
        <v>17337.5</v>
      </c>
      <c r="M23" s="36">
        <f>IFERROR(Calculations!$P15/12,"")</f>
        <v>17337.5</v>
      </c>
      <c r="N23" s="36">
        <f>IFERROR(Calculations!$P15/12,"")</f>
        <v>17337.5</v>
      </c>
      <c r="O23" s="36">
        <f>IFERROR(Calculations!$P15/12,"")</f>
        <v>17337.5</v>
      </c>
      <c r="P23" s="36">
        <f>IFERROR(Calculations!$P15/12,"")</f>
        <v>17337.5</v>
      </c>
      <c r="Q23" s="36">
        <f>IFERROR(Calculations!$P15/12,"")</f>
        <v>17337.5</v>
      </c>
      <c r="R23" s="36">
        <f>IFERROR(Calculations!$P15/12,"")</f>
        <v>17337.5</v>
      </c>
      <c r="S23" s="36">
        <f>IFERROR(Calculations!$P15/12,"")</f>
        <v>17337.5</v>
      </c>
      <c r="T23" s="36">
        <f>IFERROR(Calculations!$P15/12,"")</f>
        <v>17337.5</v>
      </c>
      <c r="U23" s="36">
        <f>IFERROR(Calculations!$P15/12,"")</f>
        <v>17337.5</v>
      </c>
      <c r="V23" s="36">
        <f>IFERROR(Calculations!$P15/12,"")</f>
        <v>17337.5</v>
      </c>
      <c r="W23" s="36">
        <f>IFERROR(Calculations!$P15/12,"")</f>
        <v>17337.5</v>
      </c>
      <c r="X23" s="36">
        <f>IFERROR(Calculations!$P15/12,"")</f>
        <v>17337.5</v>
      </c>
      <c r="Y23" s="36">
        <f>IFERROR(Calculations!$P15/12,"")</f>
        <v>17337.5</v>
      </c>
      <c r="Z23" s="36">
        <f>SUMIF($B$11:$Y$11,"Yes",B23:Y23)</f>
        <v>17337.5</v>
      </c>
      <c r="AA23" s="36">
        <f>SUM(B23:M23)</f>
        <v>208050</v>
      </c>
      <c r="AB23" s="46">
        <f>SUM(B23:Y23)</f>
        <v>416100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17500</v>
      </c>
      <c r="C27" s="37">
        <f>Inputs!$B$30</f>
        <v>17500</v>
      </c>
      <c r="D27" s="37">
        <f>Inputs!$B$30</f>
        <v>17500</v>
      </c>
      <c r="E27" s="37">
        <f>Inputs!$B$30</f>
        <v>17500</v>
      </c>
      <c r="F27" s="37">
        <f>Inputs!$B$30</f>
        <v>17500</v>
      </c>
      <c r="G27" s="37">
        <f>Inputs!$B$30</f>
        <v>17500</v>
      </c>
      <c r="H27" s="37">
        <f>Inputs!$B$30</f>
        <v>17500</v>
      </c>
      <c r="I27" s="37">
        <f>Inputs!$B$30</f>
        <v>17500</v>
      </c>
      <c r="J27" s="37">
        <f>Inputs!$B$30</f>
        <v>17500</v>
      </c>
      <c r="K27" s="37">
        <f>Inputs!$B$30</f>
        <v>17500</v>
      </c>
      <c r="L27" s="37">
        <f>Inputs!$B$30</f>
        <v>17500</v>
      </c>
      <c r="M27" s="37">
        <f>Inputs!$B$30</f>
        <v>17500</v>
      </c>
      <c r="N27" s="37">
        <f>Inputs!$B$30</f>
        <v>17500</v>
      </c>
      <c r="O27" s="37">
        <f>Inputs!$B$30</f>
        <v>17500</v>
      </c>
      <c r="P27" s="37">
        <f>Inputs!$B$30</f>
        <v>17500</v>
      </c>
      <c r="Q27" s="37">
        <f>Inputs!$B$30</f>
        <v>17500</v>
      </c>
      <c r="R27" s="37">
        <f>Inputs!$B$30</f>
        <v>17500</v>
      </c>
      <c r="S27" s="37">
        <f>Inputs!$B$30</f>
        <v>17500</v>
      </c>
      <c r="T27" s="37">
        <f>Inputs!$B$30</f>
        <v>17500</v>
      </c>
      <c r="U27" s="37">
        <f>Inputs!$B$30</f>
        <v>17500</v>
      </c>
      <c r="V27" s="37">
        <f>Inputs!$B$30</f>
        <v>17500</v>
      </c>
      <c r="W27" s="37">
        <f>Inputs!$B$30</f>
        <v>17500</v>
      </c>
      <c r="X27" s="37">
        <f>Inputs!$B$30</f>
        <v>17500</v>
      </c>
      <c r="Y27" s="37">
        <f>Inputs!$B$30</f>
        <v>17500</v>
      </c>
      <c r="Z27" s="37">
        <f>SUMIF($B$11:$Y$11,"Yes",B27:Y27)</f>
        <v>17500</v>
      </c>
      <c r="AA27" s="37">
        <f>SUM(B27:M27)</f>
        <v>210000</v>
      </c>
      <c r="AB27" s="37">
        <f>SUM(B27:Y27)</f>
        <v>420000</v>
      </c>
    </row>
    <row r="28" spans="1:30" customHeight="1" ht="15.75">
      <c r="A28" s="1" t="s">
        <v>34</v>
      </c>
      <c r="B28" s="19">
        <f>SUM(B16:B27)</f>
        <v>561752.45380442</v>
      </c>
      <c r="C28" s="19">
        <f>SUM(C16:C27)</f>
        <v>561752.45380442</v>
      </c>
      <c r="D28" s="19">
        <f>SUM(D16:D27)</f>
        <v>707256.92020584</v>
      </c>
      <c r="E28" s="19">
        <f>SUM(E16:E27)</f>
        <v>707256.92020584</v>
      </c>
      <c r="F28" s="19">
        <f>SUM(F16:F27)</f>
        <v>707256.92020584</v>
      </c>
      <c r="G28" s="19">
        <f>SUM(G16:G27)</f>
        <v>707256.92020584</v>
      </c>
      <c r="H28" s="19">
        <f>SUM(H16:H27)</f>
        <v>529837.5</v>
      </c>
      <c r="I28" s="19">
        <f>SUM(I16:I27)</f>
        <v>529837.5</v>
      </c>
      <c r="J28" s="19">
        <f>SUM(J16:J27)</f>
        <v>675341.96640142</v>
      </c>
      <c r="K28" s="19">
        <f>SUM(K16:K27)</f>
        <v>675341.96640142</v>
      </c>
      <c r="L28" s="19">
        <f>SUM(L16:L27)</f>
        <v>675341.96640142</v>
      </c>
      <c r="M28" s="19">
        <f>SUM(M16:M27)</f>
        <v>675341.96640142</v>
      </c>
      <c r="N28" s="19">
        <f>SUM(N16:N27)</f>
        <v>561752.45380442</v>
      </c>
      <c r="O28" s="19">
        <f>SUM(O16:O27)</f>
        <v>561752.45380442</v>
      </c>
      <c r="P28" s="19">
        <f>SUM(P16:P27)</f>
        <v>707256.92020584</v>
      </c>
      <c r="Q28" s="19">
        <f>SUM(Q16:Q27)</f>
        <v>707256.92020584</v>
      </c>
      <c r="R28" s="19">
        <f>SUM(R16:R27)</f>
        <v>707256.92020584</v>
      </c>
      <c r="S28" s="19">
        <f>SUM(S16:S27)</f>
        <v>707256.92020584</v>
      </c>
      <c r="T28" s="19">
        <f>SUM(T16:T27)</f>
        <v>529837.5</v>
      </c>
      <c r="U28" s="19">
        <f>SUM(U16:U27)</f>
        <v>529837.5</v>
      </c>
      <c r="V28" s="19">
        <f>SUM(V16:V27)</f>
        <v>675341.96640142</v>
      </c>
      <c r="W28" s="19">
        <f>SUM(W16:W27)</f>
        <v>675341.96640142</v>
      </c>
      <c r="X28" s="19">
        <f>SUM(X16:X27)</f>
        <v>675341.96640142</v>
      </c>
      <c r="Y28" s="19">
        <f>SUM(Y16:Y27)</f>
        <v>675341.96640142</v>
      </c>
      <c r="Z28" s="19">
        <f>SUMIF($B$11:$Y$11,"Yes",B28:Y28)</f>
        <v>561752.45380442</v>
      </c>
      <c r="AA28" s="19">
        <f>SUM(B28:M28)</f>
        <v>7713575.4540379</v>
      </c>
      <c r="AB28" s="19">
        <f>SUM(B28:Y28)</f>
        <v>15427150.908076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2520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13000</v>
      </c>
      <c r="H34" s="36">
        <f>T34</f>
        <v>2520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13000</v>
      </c>
      <c r="N34" s="36">
        <f>SUM(N35:N39)</f>
        <v>2520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13000</v>
      </c>
      <c r="T34" s="36">
        <f>SUM(T35:T39)</f>
        <v>2520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13000</v>
      </c>
      <c r="Z34" s="36">
        <f>SUMIF($B$11:$Y$11,"Yes",B34:Y34)</f>
        <v>2520</v>
      </c>
      <c r="AA34" s="36">
        <f>SUM(B34:M34)</f>
        <v>31040</v>
      </c>
      <c r="AB34" s="36">
        <f>SUM(B34:Y34)</f>
        <v>62080</v>
      </c>
      <c r="AC34" s="74"/>
    </row>
    <row r="35" spans="1:30" hidden="true" outlineLevel="1">
      <c r="A35" s="183" t="str">
        <f>Calculations!$A$4</f>
        <v>Cabbages</v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13000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13000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13000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13000</v>
      </c>
      <c r="Z35" s="36">
        <f>SUMIF($B$11:$Y$11,"Yes",B35:Y35)</f>
        <v>0</v>
      </c>
      <c r="AA35" s="36">
        <f>SUM(B35:M35)</f>
        <v>26000</v>
      </c>
      <c r="AB35" s="36">
        <f>SUM(B35:Y35)</f>
        <v>52000</v>
      </c>
      <c r="AC35" s="74"/>
    </row>
    <row r="36" spans="1:30" hidden="true" outlineLevel="1">
      <c r="A36" s="183" t="str">
        <f>Calculations!$A$5</f>
        <v>Mangoes</v>
      </c>
      <c r="B36" s="36">
        <f>N36</f>
        <v>2520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2520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2520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2520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2520</v>
      </c>
      <c r="AA36" s="36">
        <f>SUM(B36:M36)</f>
        <v>5040</v>
      </c>
      <c r="AB36" s="36">
        <f>SUM(B36:Y36)</f>
        <v>10080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3030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3030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3030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3030</v>
      </c>
      <c r="Z40" s="36">
        <f>SUMIF($B$11:$Y$11,"Yes",B40:Y40)</f>
        <v>0</v>
      </c>
      <c r="AA40" s="36">
        <f>SUM(B40:M40)</f>
        <v>6060</v>
      </c>
      <c r="AB40" s="36">
        <f>SUM(B40:Y40)</f>
        <v>12120</v>
      </c>
    </row>
    <row r="41" spans="1:30" hidden="true" outlineLevel="1">
      <c r="A41" s="183" t="str">
        <f>Calculations!$A$4</f>
        <v>Cabbages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3030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3030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3030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3030</v>
      </c>
      <c r="Z41" s="36">
        <f>SUMIF($B$11:$Y$11,"Yes",B41:Y41)</f>
        <v>0</v>
      </c>
      <c r="AA41" s="36">
        <f>SUM(B41:M41)</f>
        <v>6060</v>
      </c>
      <c r="AB41" s="36">
        <f>SUM(B41:Y41)</f>
        <v>12120</v>
      </c>
    </row>
    <row r="42" spans="1:30" hidden="true" outlineLevel="1">
      <c r="A42" s="183" t="str">
        <f>Calculations!$A$5</f>
        <v>Mangoes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18000</v>
      </c>
      <c r="C46" s="36">
        <f>O46</f>
        <v>14000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18000</v>
      </c>
      <c r="I46" s="36">
        <f>U46</f>
        <v>14000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18000</v>
      </c>
      <c r="O46" s="46">
        <f>SUM(O47:O51)</f>
        <v>14000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18000</v>
      </c>
      <c r="U46" s="46">
        <f>SUM(U47:U51)</f>
        <v>14000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18000</v>
      </c>
      <c r="AA46" s="46">
        <f>SUM(B46:M46)</f>
        <v>64000</v>
      </c>
      <c r="AB46" s="46">
        <f>SUM(B46:Y46)</f>
        <v>128000</v>
      </c>
    </row>
    <row r="47" spans="1:30" hidden="true" outlineLevel="1">
      <c r="A47" s="183" t="str">
        <f>Calculations!$A$4</f>
        <v>Cabbages</v>
      </c>
      <c r="B47" s="36">
        <f>N47</f>
        <v>0</v>
      </c>
      <c r="C47" s="36">
        <f>O47</f>
        <v>14000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14000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14000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14000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28000</v>
      </c>
      <c r="AB47" s="46">
        <f>SUM(B47:Y47)</f>
        <v>56000</v>
      </c>
    </row>
    <row r="48" spans="1:30" hidden="true" outlineLevel="1">
      <c r="A48" s="183" t="str">
        <f>Calculations!$A$5</f>
        <v>Mangoes</v>
      </c>
      <c r="B48" s="36">
        <f>N48</f>
        <v>18000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18000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18000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18000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18000</v>
      </c>
      <c r="AA48" s="46">
        <f>SUM(B48:M48)</f>
        <v>36000</v>
      </c>
      <c r="AB48" s="46">
        <f>SUM(B48:Y48)</f>
        <v>72000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 t="str">
        <f>Calculations!$A$4</f>
        <v>Cabbages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 t="str">
        <f>Calculations!$A$5</f>
        <v>Mangoes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 t="str">
        <f>Calculations!$A$4</f>
        <v>Cabbages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 t="str">
        <f>Calculations!$A$5</f>
        <v>Mangoes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6750</v>
      </c>
      <c r="C64" s="36">
        <f>O64</f>
        <v>6750</v>
      </c>
      <c r="D64" s="36">
        <f>P64</f>
        <v>6750</v>
      </c>
      <c r="E64" s="36">
        <f>Q64</f>
        <v>0</v>
      </c>
      <c r="F64" s="36">
        <f>R64</f>
        <v>0</v>
      </c>
      <c r="G64" s="36">
        <f>S64</f>
        <v>6750</v>
      </c>
      <c r="H64" s="36">
        <f>T64</f>
        <v>6750</v>
      </c>
      <c r="I64" s="36">
        <f>U64</f>
        <v>6750</v>
      </c>
      <c r="J64" s="36">
        <f>V64</f>
        <v>6750</v>
      </c>
      <c r="K64" s="36">
        <f>W64</f>
        <v>0</v>
      </c>
      <c r="L64" s="36">
        <f>X64</f>
        <v>0</v>
      </c>
      <c r="M64" s="36">
        <f>Y64</f>
        <v>6750</v>
      </c>
      <c r="N64" s="46">
        <f>SUM(N65:N69)</f>
        <v>6750</v>
      </c>
      <c r="O64" s="46">
        <f>SUM(O65:O69)</f>
        <v>6750</v>
      </c>
      <c r="P64" s="46">
        <f>SUM(P65:P69)</f>
        <v>6750</v>
      </c>
      <c r="Q64" s="46">
        <f>SUM(Q65:Q69)</f>
        <v>0</v>
      </c>
      <c r="R64" s="46">
        <f>SUM(R65:R69)</f>
        <v>0</v>
      </c>
      <c r="S64" s="46">
        <f>SUM(S65:S69)</f>
        <v>6750</v>
      </c>
      <c r="T64" s="46">
        <f>SUM(T65:T69)</f>
        <v>6750</v>
      </c>
      <c r="U64" s="46">
        <f>SUM(U65:U69)</f>
        <v>6750</v>
      </c>
      <c r="V64" s="46">
        <f>SUM(V65:V69)</f>
        <v>6750</v>
      </c>
      <c r="W64" s="46">
        <f>SUM(W65:W69)</f>
        <v>0</v>
      </c>
      <c r="X64" s="46">
        <f>SUM(X65:X69)</f>
        <v>0</v>
      </c>
      <c r="Y64" s="46">
        <f>SUM(Y65:Y69)</f>
        <v>6750</v>
      </c>
      <c r="Z64" s="46">
        <f>SUMIF($B$11:$Y$11,"Yes",B64:Y64)</f>
        <v>6750</v>
      </c>
      <c r="AA64" s="46">
        <f>SUM(B64:M64)</f>
        <v>54000</v>
      </c>
      <c r="AB64" s="46">
        <f>SUM(B64:Y64)</f>
        <v>108000</v>
      </c>
    </row>
    <row r="65" spans="1:30" hidden="true" outlineLevel="1">
      <c r="A65" s="183" t="str">
        <f>Calculations!$A$4</f>
        <v>Cabbages</v>
      </c>
      <c r="B65" s="36">
        <f>N65</f>
        <v>6750</v>
      </c>
      <c r="C65" s="36">
        <f>O65</f>
        <v>6750</v>
      </c>
      <c r="D65" s="36">
        <f>P65</f>
        <v>6750</v>
      </c>
      <c r="E65" s="36">
        <f>Q65</f>
        <v>0</v>
      </c>
      <c r="F65" s="36">
        <f>R65</f>
        <v>0</v>
      </c>
      <c r="G65" s="36">
        <f>S65</f>
        <v>6750</v>
      </c>
      <c r="H65" s="36">
        <f>T65</f>
        <v>6750</v>
      </c>
      <c r="I65" s="36">
        <f>U65</f>
        <v>6750</v>
      </c>
      <c r="J65" s="36">
        <f>V65</f>
        <v>6750</v>
      </c>
      <c r="K65" s="36">
        <f>W65</f>
        <v>0</v>
      </c>
      <c r="L65" s="36">
        <f>X65</f>
        <v>0</v>
      </c>
      <c r="M65" s="36">
        <f>Y65</f>
        <v>6750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6750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6750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6750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6750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6750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6750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6750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6750</v>
      </c>
      <c r="Z65" s="46">
        <f>SUMIF($B$11:$Y$11,"Yes",B65:Y65)</f>
        <v>6750</v>
      </c>
      <c r="AA65" s="46">
        <f>SUM(B65:M65)</f>
        <v>54000</v>
      </c>
      <c r="AB65" s="46">
        <f>SUM(B65:Y65)</f>
        <v>108000</v>
      </c>
    </row>
    <row r="66" spans="1:30" hidden="true" outlineLevel="1">
      <c r="A66" s="183" t="str">
        <f>Calculations!$A$5</f>
        <v>Mangoes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123187.5</v>
      </c>
      <c r="C72" s="46">
        <f>SUM(Calculations!$Q$14:$Q$16)/12</f>
        <v>123187.5</v>
      </c>
      <c r="D72" s="46">
        <f>SUM(Calculations!$Q$14:$Q$16)/12</f>
        <v>123187.5</v>
      </c>
      <c r="E72" s="46">
        <f>SUM(Calculations!$Q$14:$Q$16)/12</f>
        <v>123187.5</v>
      </c>
      <c r="F72" s="46">
        <f>SUM(Calculations!$Q$14:$Q$16)/12</f>
        <v>123187.5</v>
      </c>
      <c r="G72" s="46">
        <f>SUM(Calculations!$Q$14:$Q$16)/12</f>
        <v>123187.5</v>
      </c>
      <c r="H72" s="46">
        <f>SUM(Calculations!$Q$14:$Q$16)/12</f>
        <v>123187.5</v>
      </c>
      <c r="I72" s="46">
        <f>SUM(Calculations!$Q$14:$Q$16)/12</f>
        <v>123187.5</v>
      </c>
      <c r="J72" s="46">
        <f>SUM(Calculations!$Q$14:$Q$16)/12</f>
        <v>123187.5</v>
      </c>
      <c r="K72" s="46">
        <f>SUM(Calculations!$Q$14:$Q$16)/12</f>
        <v>123187.5</v>
      </c>
      <c r="L72" s="46">
        <f>SUM(Calculations!$Q$14:$Q$16)/12</f>
        <v>123187.5</v>
      </c>
      <c r="M72" s="46">
        <f>SUM(Calculations!$Q$14:$Q$16)/12</f>
        <v>123187.5</v>
      </c>
      <c r="N72" s="46">
        <f>SUM(Calculations!$Q$14:$Q$16)/12</f>
        <v>123187.5</v>
      </c>
      <c r="O72" s="46">
        <f>SUM(Calculations!$Q$14:$Q$16)/12</f>
        <v>123187.5</v>
      </c>
      <c r="P72" s="46">
        <f>SUM(Calculations!$Q$14:$Q$16)/12</f>
        <v>123187.5</v>
      </c>
      <c r="Q72" s="46">
        <f>SUM(Calculations!$Q$14:$Q$16)/12</f>
        <v>123187.5</v>
      </c>
      <c r="R72" s="46">
        <f>SUM(Calculations!$Q$14:$Q$16)/12</f>
        <v>123187.5</v>
      </c>
      <c r="S72" s="46">
        <f>SUM(Calculations!$Q$14:$Q$16)/12</f>
        <v>123187.5</v>
      </c>
      <c r="T72" s="46">
        <f>SUM(Calculations!$Q$14:$Q$16)/12</f>
        <v>123187.5</v>
      </c>
      <c r="U72" s="46">
        <f>SUM(Calculations!$Q$14:$Q$16)/12</f>
        <v>123187.5</v>
      </c>
      <c r="V72" s="46">
        <f>SUM(Calculations!$Q$14:$Q$16)/12</f>
        <v>123187.5</v>
      </c>
      <c r="W72" s="46">
        <f>SUM(Calculations!$Q$14:$Q$16)/12</f>
        <v>123187.5</v>
      </c>
      <c r="X72" s="46">
        <f>SUM(Calculations!$Q$14:$Q$16)/12</f>
        <v>123187.5</v>
      </c>
      <c r="Y72" s="46">
        <f>SUM(Calculations!$Q$14:$Q$16)/12</f>
        <v>123187.5</v>
      </c>
      <c r="Z72" s="46">
        <f>SUMIF($B$11:$Y$11,"Yes",B72:Y72)</f>
        <v>123187.5</v>
      </c>
      <c r="AA72" s="46">
        <f>SUM(B72:M72)</f>
        <v>1478250</v>
      </c>
      <c r="AB72" s="46">
        <f>SUM(B72:Y72)</f>
        <v>2956500</v>
      </c>
    </row>
    <row r="73" spans="1:30">
      <c r="A73" s="16" t="s">
        <v>44</v>
      </c>
      <c r="B73" s="46">
        <f>SUM(Calculations!$R$14:$R$16)/12</f>
        <v>4666.6666666667</v>
      </c>
      <c r="C73" s="46">
        <f>SUM(Calculations!$R$14:$R$16)/12</f>
        <v>4666.6666666667</v>
      </c>
      <c r="D73" s="46">
        <f>SUM(Calculations!$R$14:$R$16)/12</f>
        <v>4666.6666666667</v>
      </c>
      <c r="E73" s="46">
        <f>SUM(Calculations!$R$14:$R$16)/12</f>
        <v>4666.6666666667</v>
      </c>
      <c r="F73" s="46">
        <f>SUM(Calculations!$R$14:$R$16)/12</f>
        <v>4666.6666666667</v>
      </c>
      <c r="G73" s="46">
        <f>SUM(Calculations!$R$14:$R$16)/12</f>
        <v>4666.6666666667</v>
      </c>
      <c r="H73" s="46">
        <f>SUM(Calculations!$R$14:$R$16)/12</f>
        <v>4666.6666666667</v>
      </c>
      <c r="I73" s="46">
        <f>SUM(Calculations!$R$14:$R$16)/12</f>
        <v>4666.6666666667</v>
      </c>
      <c r="J73" s="46">
        <f>SUM(Calculations!$R$14:$R$16)/12</f>
        <v>4666.6666666667</v>
      </c>
      <c r="K73" s="46">
        <f>SUM(Calculations!$R$14:$R$16)/12</f>
        <v>4666.6666666667</v>
      </c>
      <c r="L73" s="46">
        <f>SUM(Calculations!$R$14:$R$16)/12</f>
        <v>4666.6666666667</v>
      </c>
      <c r="M73" s="46">
        <f>SUM(Calculations!$R$14:$R$16)/12</f>
        <v>4666.6666666667</v>
      </c>
      <c r="N73" s="46">
        <f>SUM(Calculations!$R$14:$R$16)/12</f>
        <v>4666.6666666667</v>
      </c>
      <c r="O73" s="46">
        <f>SUM(Calculations!$R$14:$R$16)/12</f>
        <v>4666.6666666667</v>
      </c>
      <c r="P73" s="46">
        <f>SUM(Calculations!$R$14:$R$16)/12</f>
        <v>4666.6666666667</v>
      </c>
      <c r="Q73" s="46">
        <f>SUM(Calculations!$R$14:$R$16)/12</f>
        <v>4666.6666666667</v>
      </c>
      <c r="R73" s="46">
        <f>SUM(Calculations!$R$14:$R$16)/12</f>
        <v>4666.6666666667</v>
      </c>
      <c r="S73" s="46">
        <f>SUM(Calculations!$R$14:$R$16)/12</f>
        <v>4666.6666666667</v>
      </c>
      <c r="T73" s="46">
        <f>SUM(Calculations!$R$14:$R$16)/12</f>
        <v>4666.6666666667</v>
      </c>
      <c r="U73" s="46">
        <f>SUM(Calculations!$R$14:$R$16)/12</f>
        <v>4666.6666666667</v>
      </c>
      <c r="V73" s="46">
        <f>SUM(Calculations!$R$14:$R$16)/12</f>
        <v>4666.6666666667</v>
      </c>
      <c r="W73" s="46">
        <f>SUM(Calculations!$R$14:$R$16)/12</f>
        <v>4666.6666666667</v>
      </c>
      <c r="X73" s="46">
        <f>SUM(Calculations!$R$14:$R$16)/12</f>
        <v>4666.6666666667</v>
      </c>
      <c r="Y73" s="46">
        <f>SUM(Calculations!$R$14:$R$16)/12</f>
        <v>4666.6666666667</v>
      </c>
      <c r="Z73" s="46">
        <f>SUMIF($B$11:$Y$11,"Yes",B73:Y73)</f>
        <v>4666.6666666667</v>
      </c>
      <c r="AA73" s="46">
        <f>SUM(B73:M73)</f>
        <v>56000</v>
      </c>
      <c r="AB73" s="46">
        <f>SUM(B73:Y73)</f>
        <v>112000</v>
      </c>
    </row>
    <row r="74" spans="1:30">
      <c r="A74" s="16" t="s">
        <v>45</v>
      </c>
      <c r="B74" s="46">
        <f>SUM(Calculations!$S$14:$S$16)/12</f>
        <v>44666.666666667</v>
      </c>
      <c r="C74" s="46">
        <f>SUM(Calculations!$S$14:$S$16)/12</f>
        <v>44666.666666667</v>
      </c>
      <c r="D74" s="46">
        <f>SUM(Calculations!$S$14:$S$16)/12</f>
        <v>44666.666666667</v>
      </c>
      <c r="E74" s="46">
        <f>SUM(Calculations!$S$14:$S$16)/12</f>
        <v>44666.666666667</v>
      </c>
      <c r="F74" s="46">
        <f>SUM(Calculations!$S$14:$S$16)/12</f>
        <v>44666.666666667</v>
      </c>
      <c r="G74" s="46">
        <f>SUM(Calculations!$S$14:$S$16)/12</f>
        <v>44666.666666667</v>
      </c>
      <c r="H74" s="46">
        <f>SUM(Calculations!$S$14:$S$16)/12</f>
        <v>44666.666666667</v>
      </c>
      <c r="I74" s="46">
        <f>SUM(Calculations!$S$14:$S$16)/12</f>
        <v>44666.666666667</v>
      </c>
      <c r="J74" s="46">
        <f>SUM(Calculations!$S$14:$S$16)/12</f>
        <v>44666.666666667</v>
      </c>
      <c r="K74" s="46">
        <f>SUM(Calculations!$S$14:$S$16)/12</f>
        <v>44666.666666667</v>
      </c>
      <c r="L74" s="46">
        <f>SUM(Calculations!$S$14:$S$16)/12</f>
        <v>44666.666666667</v>
      </c>
      <c r="M74" s="46">
        <f>SUM(Calculations!$S$14:$S$16)/12</f>
        <v>44666.666666667</v>
      </c>
      <c r="N74" s="46">
        <f>SUM(Calculations!$S$14:$S$16)/12</f>
        <v>44666.666666667</v>
      </c>
      <c r="O74" s="46">
        <f>SUM(Calculations!$S$14:$S$16)/12</f>
        <v>44666.666666667</v>
      </c>
      <c r="P74" s="46">
        <f>SUM(Calculations!$S$14:$S$16)/12</f>
        <v>44666.666666667</v>
      </c>
      <c r="Q74" s="46">
        <f>SUM(Calculations!$S$14:$S$16)/12</f>
        <v>44666.666666667</v>
      </c>
      <c r="R74" s="46">
        <f>SUM(Calculations!$S$14:$S$16)/12</f>
        <v>44666.666666667</v>
      </c>
      <c r="S74" s="46">
        <f>SUM(Calculations!$S$14:$S$16)/12</f>
        <v>44666.666666667</v>
      </c>
      <c r="T74" s="46">
        <f>SUM(Calculations!$S$14:$S$16)/12</f>
        <v>44666.666666667</v>
      </c>
      <c r="U74" s="46">
        <f>SUM(Calculations!$S$14:$S$16)/12</f>
        <v>44666.666666667</v>
      </c>
      <c r="V74" s="46">
        <f>SUM(Calculations!$S$14:$S$16)/12</f>
        <v>44666.666666667</v>
      </c>
      <c r="W74" s="46">
        <f>SUM(Calculations!$S$14:$S$16)/12</f>
        <v>44666.666666667</v>
      </c>
      <c r="X74" s="46">
        <f>SUM(Calculations!$S$14:$S$16)/12</f>
        <v>44666.666666667</v>
      </c>
      <c r="Y74" s="46">
        <f>SUM(Calculations!$S$14:$S$16)/12</f>
        <v>44666.666666667</v>
      </c>
      <c r="Z74" s="46">
        <f>SUMIF($B$11:$Y$11,"Yes",B74:Y74)</f>
        <v>44666.666666667</v>
      </c>
      <c r="AA74" s="46">
        <f>SUM(B74:M74)</f>
        <v>536000</v>
      </c>
      <c r="AB74" s="46">
        <f>SUM(B74:Y74)</f>
        <v>1072000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10000</v>
      </c>
      <c r="C77" s="46">
        <f>Inputs!$B$31</f>
        <v>10000</v>
      </c>
      <c r="D77" s="46">
        <f>Inputs!$B$31</f>
        <v>10000</v>
      </c>
      <c r="E77" s="46">
        <f>Inputs!$B$31</f>
        <v>10000</v>
      </c>
      <c r="F77" s="46">
        <f>Inputs!$B$31</f>
        <v>10000</v>
      </c>
      <c r="G77" s="46">
        <f>Inputs!$B$31</f>
        <v>10000</v>
      </c>
      <c r="H77" s="46">
        <f>Inputs!$B$31</f>
        <v>10000</v>
      </c>
      <c r="I77" s="46">
        <f>Inputs!$B$31</f>
        <v>10000</v>
      </c>
      <c r="J77" s="46">
        <f>Inputs!$B$31</f>
        <v>10000</v>
      </c>
      <c r="K77" s="46">
        <f>Inputs!$B$31</f>
        <v>10000</v>
      </c>
      <c r="L77" s="46">
        <f>Inputs!$B$31</f>
        <v>10000</v>
      </c>
      <c r="M77" s="46">
        <f>Inputs!$B$31</f>
        <v>10000</v>
      </c>
      <c r="N77" s="46">
        <f>Inputs!$B$31</f>
        <v>10000</v>
      </c>
      <c r="O77" s="46">
        <f>Inputs!$B$31</f>
        <v>10000</v>
      </c>
      <c r="P77" s="46">
        <f>Inputs!$B$31</f>
        <v>10000</v>
      </c>
      <c r="Q77" s="46">
        <f>Inputs!$B$31</f>
        <v>10000</v>
      </c>
      <c r="R77" s="46">
        <f>Inputs!$B$31</f>
        <v>10000</v>
      </c>
      <c r="S77" s="46">
        <f>Inputs!$B$31</f>
        <v>10000</v>
      </c>
      <c r="T77" s="46">
        <f>Inputs!$B$31</f>
        <v>10000</v>
      </c>
      <c r="U77" s="46">
        <f>Inputs!$B$31</f>
        <v>10000</v>
      </c>
      <c r="V77" s="46">
        <f>Inputs!$B$31</f>
        <v>10000</v>
      </c>
      <c r="W77" s="46">
        <f>Inputs!$B$31</f>
        <v>10000</v>
      </c>
      <c r="X77" s="46">
        <f>Inputs!$B$31</f>
        <v>10000</v>
      </c>
      <c r="Y77" s="46">
        <f>Inputs!$B$31</f>
        <v>10000</v>
      </c>
      <c r="Z77" s="46">
        <f>SUMIF($B$11:$Y$11,"Yes",B77:Y77)</f>
        <v>10000</v>
      </c>
      <c r="AA77" s="46">
        <f>SUM(B77:M77)</f>
        <v>120000</v>
      </c>
      <c r="AB77" s="46">
        <f>SUM(B77:Y77)</f>
        <v>240000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178940.84846793</v>
      </c>
      <c r="C79" s="46">
        <f>(SUM($AA$16:$AA$27)-SUM($AA$34,$AA$40,$AA$46,$AA$52,$AA$58,$AA$64,$AA$70:$AA$77))*Parameters!$B$37/12</f>
        <v>178940.84846793</v>
      </c>
      <c r="D79" s="46">
        <f>(SUM($AA$16:$AA$27)-SUM($AA$34,$AA$40,$AA$46,$AA$52,$AA$58,$AA$64,$AA$70:$AA$77))*Parameters!$B$37/12</f>
        <v>178940.84846793</v>
      </c>
      <c r="E79" s="46">
        <f>(SUM($AA$16:$AA$27)-SUM($AA$34,$AA$40,$AA$46,$AA$52,$AA$58,$AA$64,$AA$70:$AA$77))*Parameters!$B$37/12</f>
        <v>178940.84846793</v>
      </c>
      <c r="F79" s="46">
        <f>(SUM($AA$16:$AA$27)-SUM($AA$34,$AA$40,$AA$46,$AA$52,$AA$58,$AA$64,$AA$70:$AA$77))*Parameters!$B$37/12</f>
        <v>178940.84846793</v>
      </c>
      <c r="G79" s="46">
        <f>(SUM($AA$16:$AA$27)-SUM($AA$34,$AA$40,$AA$46,$AA$52,$AA$58,$AA$64,$AA$70:$AA$77))*Parameters!$B$37/12</f>
        <v>178940.84846793</v>
      </c>
      <c r="H79" s="46">
        <f>(SUM($AA$16:$AA$27)-SUM($AA$34,$AA$40,$AA$46,$AA$52,$AA$58,$AA$64,$AA$70:$AA$77))*Parameters!$B$37/12</f>
        <v>178940.84846793</v>
      </c>
      <c r="I79" s="46">
        <f>(SUM($AA$16:$AA$27)-SUM($AA$34,$AA$40,$AA$46,$AA$52,$AA$58,$AA$64,$AA$70:$AA$77))*Parameters!$B$37/12</f>
        <v>178940.84846793</v>
      </c>
      <c r="J79" s="46">
        <f>(SUM($AA$16:$AA$27)-SUM($AA$34,$AA$40,$AA$46,$AA$52,$AA$58,$AA$64,$AA$70:$AA$77))*Parameters!$B$37/12</f>
        <v>178940.84846793</v>
      </c>
      <c r="K79" s="46">
        <f>(SUM($AA$16:$AA$27)-SUM($AA$34,$AA$40,$AA$46,$AA$52,$AA$58,$AA$64,$AA$70:$AA$77))*Parameters!$B$37/12</f>
        <v>178940.84846793</v>
      </c>
      <c r="L79" s="46">
        <f>(SUM($AA$16:$AA$27)-SUM($AA$34,$AA$40,$AA$46,$AA$52,$AA$58,$AA$64,$AA$70:$AA$77))*Parameters!$B$37/12</f>
        <v>178940.84846793</v>
      </c>
      <c r="M79" s="46">
        <f>(SUM($AA$16:$AA$27)-SUM($AA$34,$AA$40,$AA$46,$AA$52,$AA$58,$AA$64,$AA$70:$AA$77))*Parameters!$B$37/12</f>
        <v>178940.84846793</v>
      </c>
      <c r="N79" s="46">
        <f>(SUM($AA$16:$AA$27)-SUM($AA$34,$AA$40,$AA$46,$AA$52,$AA$58,$AA$64,$AA$70:$AA$77))*Parameters!$B$37/12</f>
        <v>178940.84846793</v>
      </c>
      <c r="O79" s="46">
        <f>(SUM($AA$16:$AA$27)-SUM($AA$34,$AA$40,$AA$46,$AA$52,$AA$58,$AA$64,$AA$70:$AA$77))*Parameters!$B$37/12</f>
        <v>178940.84846793</v>
      </c>
      <c r="P79" s="46">
        <f>(SUM($AA$16:$AA$27)-SUM($AA$34,$AA$40,$AA$46,$AA$52,$AA$58,$AA$64,$AA$70:$AA$77))*Parameters!$B$37/12</f>
        <v>178940.84846793</v>
      </c>
      <c r="Q79" s="46">
        <f>(SUM($AA$16:$AA$27)-SUM($AA$34,$AA$40,$AA$46,$AA$52,$AA$58,$AA$64,$AA$70:$AA$77))*Parameters!$B$37/12</f>
        <v>178940.84846793</v>
      </c>
      <c r="R79" s="46">
        <f>(SUM($AA$16:$AA$27)-SUM($AA$34,$AA$40,$AA$46,$AA$52,$AA$58,$AA$64,$AA$70:$AA$77))*Parameters!$B$37/12</f>
        <v>178940.84846793</v>
      </c>
      <c r="S79" s="46">
        <f>(SUM($AA$16:$AA$27)-SUM($AA$34,$AA$40,$AA$46,$AA$52,$AA$58,$AA$64,$AA$70:$AA$77))*Parameters!$B$37/12</f>
        <v>178940.84846793</v>
      </c>
      <c r="T79" s="46">
        <f>(SUM($AA$16:$AA$27)-SUM($AA$34,$AA$40,$AA$46,$AA$52,$AA$58,$AA$64,$AA$70:$AA$77))*Parameters!$B$37/12</f>
        <v>178940.84846793</v>
      </c>
      <c r="U79" s="46">
        <f>(SUM($AA$16:$AA$27)-SUM($AA$34,$AA$40,$AA$46,$AA$52,$AA$58,$AA$64,$AA$70:$AA$77))*Parameters!$B$37/12</f>
        <v>178940.84846793</v>
      </c>
      <c r="V79" s="46">
        <f>(SUM($AA$16:$AA$27)-SUM($AA$34,$AA$40,$AA$46,$AA$52,$AA$58,$AA$64,$AA$70:$AA$77))*Parameters!$B$37/12</f>
        <v>178940.84846793</v>
      </c>
      <c r="W79" s="46">
        <f>(SUM($AA$16:$AA$27)-SUM($AA$34,$AA$40,$AA$46,$AA$52,$AA$58,$AA$64,$AA$70:$AA$77))*Parameters!$B$37/12</f>
        <v>178940.84846793</v>
      </c>
      <c r="X79" s="46">
        <f>(SUM($AA$16:$AA$27)-SUM($AA$34,$AA$40,$AA$46,$AA$52,$AA$58,$AA$64,$AA$70:$AA$77))*Parameters!$B$37/12</f>
        <v>178940.84846793</v>
      </c>
      <c r="Y79" s="46">
        <f>(SUM($AA$16:$AA$27)-SUM($AA$34,$AA$40,$AA$46,$AA$52,$AA$58,$AA$64,$AA$70:$AA$77))*Parameters!$B$37/12</f>
        <v>178940.84846793</v>
      </c>
      <c r="Z79" s="46">
        <f>SUMIF($B$11:$Y$11,"Yes",B79:Y79)</f>
        <v>178940.84846793</v>
      </c>
      <c r="AA79" s="46">
        <f>SUM(B79:M79)</f>
        <v>2147290.1816152</v>
      </c>
      <c r="AB79" s="46">
        <f>SUM(B79:Y79)</f>
        <v>4294580.3632303</v>
      </c>
    </row>
    <row r="80" spans="1:30">
      <c r="A80" s="16" t="s">
        <v>49</v>
      </c>
      <c r="B80" s="46">
        <f>SUM(B81:B85)</f>
        <v>311.66666666667</v>
      </c>
      <c r="C80" s="46">
        <f>SUM(C81:C85)</f>
        <v>311.66666666667</v>
      </c>
      <c r="D80" s="46">
        <f>SUM(D81:D85)</f>
        <v>311.66666666667</v>
      </c>
      <c r="E80" s="46">
        <f>SUM(E81:E85)</f>
        <v>311.66666666667</v>
      </c>
      <c r="F80" s="46">
        <f>SUM(F81:F85)</f>
        <v>311.66666666667</v>
      </c>
      <c r="G80" s="46">
        <f>SUM(G81:G85)</f>
        <v>311.66666666667</v>
      </c>
      <c r="H80" s="46">
        <f>SUM(H81:H85)</f>
        <v>311.66666666667</v>
      </c>
      <c r="I80" s="46">
        <f>SUM(I81:I85)</f>
        <v>311.66666666667</v>
      </c>
      <c r="J80" s="46">
        <f>SUM(J81:J85)</f>
        <v>311.66666666667</v>
      </c>
      <c r="K80" s="46">
        <f>SUM(K81:K85)</f>
        <v>311.66666666667</v>
      </c>
      <c r="L80" s="46">
        <f>SUM(L81:L85)</f>
        <v>311.66666666667</v>
      </c>
      <c r="M80" s="46">
        <f>SUM(M81:M85)</f>
        <v>311.66666666667</v>
      </c>
      <c r="N80" s="46">
        <f>SUM(N81:N85)</f>
        <v>311.66666666667</v>
      </c>
      <c r="O80" s="46">
        <f>SUM(O81:O85)</f>
        <v>311.66666666667</v>
      </c>
      <c r="P80" s="46">
        <f>SUM(P81:P85)</f>
        <v>311.66666666667</v>
      </c>
      <c r="Q80" s="46">
        <f>SUM(Q81:Q85)</f>
        <v>311.66666666667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311.66666666667</v>
      </c>
      <c r="AA80" s="46">
        <f>SUM(B80:M80)</f>
        <v>3740</v>
      </c>
      <c r="AB80" s="46">
        <f>SUM(B80:Y80)</f>
        <v>4986.6666666667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311.66666666667</v>
      </c>
      <c r="C82" s="46">
        <f>IF(Calculations!$E24&gt;COUNT(Output!$B$33:C$33),Calculations!$B24,IF(Calculations!$E24=COUNT(Output!$B$33:C$33),Inputs!$B57-Calculations!$C24*(Calculations!$E24-1)+Calculations!$D24,0))</f>
        <v>311.66666666667</v>
      </c>
      <c r="D82" s="46">
        <f>IF(Calculations!$E24&gt;COUNT(Output!$B$33:D$33),Calculations!$B24,IF(Calculations!$E24=COUNT(Output!$B$33:D$33),Inputs!$B57-Calculations!$C24*(Calculations!$E24-1)+Calculations!$D24,0))</f>
        <v>311.66666666667</v>
      </c>
      <c r="E82" s="46">
        <f>IF(Calculations!$E24&gt;COUNT(Output!$B$33:E$33),Calculations!$B24,IF(Calculations!$E24=COUNT(Output!$B$33:E$33),Inputs!$B57-Calculations!$C24*(Calculations!$E24-1)+Calculations!$D24,0))</f>
        <v>311.66666666667</v>
      </c>
      <c r="F82" s="46">
        <f>IF(Calculations!$E24&gt;COUNT(Output!$B$33:F$33),Calculations!$B24,IF(Calculations!$E24=COUNT(Output!$B$33:F$33),Inputs!$B57-Calculations!$C24*(Calculations!$E24-1)+Calculations!$D24,0))</f>
        <v>311.66666666667</v>
      </c>
      <c r="G82" s="46">
        <f>IF(Calculations!$E24&gt;COUNT(Output!$B$33:G$33),Calculations!$B24,IF(Calculations!$E24=COUNT(Output!$B$33:G$33),Inputs!$B57-Calculations!$C24*(Calculations!$E24-1)+Calculations!$D24,0))</f>
        <v>311.66666666667</v>
      </c>
      <c r="H82" s="46">
        <f>IF(Calculations!$E24&gt;COUNT(Output!$B$33:H$33),Calculations!$B24,IF(Calculations!$E24=COUNT(Output!$B$33:H$33),Inputs!$B57-Calculations!$C24*(Calculations!$E24-1)+Calculations!$D24,0))</f>
        <v>311.66666666667</v>
      </c>
      <c r="I82" s="46">
        <f>IF(Calculations!$E24&gt;COUNT(Output!$B$33:I$33),Calculations!$B24,IF(Calculations!$E24=COUNT(Output!$B$33:I$33),Inputs!$B57-Calculations!$C24*(Calculations!$E24-1)+Calculations!$D24,0))</f>
        <v>311.66666666667</v>
      </c>
      <c r="J82" s="46">
        <f>IF(Calculations!$E24&gt;COUNT(Output!$B$33:J$33),Calculations!$B24,IF(Calculations!$E24=COUNT(Output!$B$33:J$33),Inputs!$B57-Calculations!$C24*(Calculations!$E24-1)+Calculations!$D24,0))</f>
        <v>311.66666666667</v>
      </c>
      <c r="K82" s="46">
        <f>IF(Calculations!$E24&gt;COUNT(Output!$B$33:K$33),Calculations!$B24,IF(Calculations!$E24=COUNT(Output!$B$33:K$33),Inputs!$B57-Calculations!$C24*(Calculations!$E24-1)+Calculations!$D24,0))</f>
        <v>311.66666666667</v>
      </c>
      <c r="L82" s="46">
        <f>IF(Calculations!$E24&gt;COUNT(Output!$B$33:L$33),Calculations!$B24,IF(Calculations!$E24=COUNT(Output!$B$33:L$33),Inputs!$B57-Calculations!$C24*(Calculations!$E24-1)+Calculations!$D24,0))</f>
        <v>311.66666666667</v>
      </c>
      <c r="M82" s="46">
        <f>IF(Calculations!$E24&gt;COUNT(Output!$B$33:M$33),Calculations!$B24,IF(Calculations!$E24=COUNT(Output!$B$33:M$33),Inputs!$B57-Calculations!$C24*(Calculations!$E24-1)+Calculations!$D24,0))</f>
        <v>311.66666666667</v>
      </c>
      <c r="N82" s="46">
        <f>IF(Calculations!$E24&gt;COUNT(Output!$B$33:N$33),Calculations!$B24,IF(Calculations!$E24=COUNT(Output!$B$33:N$33),Inputs!$B57-Calculations!$C24*(Calculations!$E24-1)+Calculations!$D24,0))</f>
        <v>311.66666666667</v>
      </c>
      <c r="O82" s="46">
        <f>IF(Calculations!$E24&gt;COUNT(Output!$B$33:O$33),Calculations!$B24,IF(Calculations!$E24=COUNT(Output!$B$33:O$33),Inputs!$B57-Calculations!$C24*(Calculations!$E24-1)+Calculations!$D24,0))</f>
        <v>311.66666666667</v>
      </c>
      <c r="P82" s="46">
        <f>IF(Calculations!$E24&gt;COUNT(Output!$B$33:P$33),Calculations!$B24,IF(Calculations!$E24=COUNT(Output!$B$33:P$33),Inputs!$B57-Calculations!$C24*(Calculations!$E24-1)+Calculations!$D24,0))</f>
        <v>311.66666666667</v>
      </c>
      <c r="Q82" s="46">
        <f>IF(Calculations!$E24&gt;COUNT(Output!$B$33:Q$33),Calculations!$B24,IF(Calculations!$E24=COUNT(Output!$B$33:Q$33),Inputs!$B57-Calculations!$C24*(Calculations!$E24-1)+Calculations!$D24,0))</f>
        <v>311.66666666667</v>
      </c>
      <c r="R82" s="46" t="str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311.66666666667</v>
      </c>
      <c r="AA82" s="46">
        <f>SUM(B82:M82)</f>
        <v>3740</v>
      </c>
      <c r="AB82" s="46">
        <f>SUM(B82:Y82)</f>
        <v>4986.6666666667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389043.34846793</v>
      </c>
      <c r="C86" s="19">
        <f>SUM(C70:C80,C64,C58,C52,C46,C40,C34)</f>
        <v>382523.34846793</v>
      </c>
      <c r="D86" s="19">
        <f>SUM(D70:D80,D64,D58,D52,D46,D40,D34)</f>
        <v>368523.34846793</v>
      </c>
      <c r="E86" s="19">
        <f>SUM(E70:E80,E64,E58,E52,E46,E40,E34)</f>
        <v>361773.34846793</v>
      </c>
      <c r="F86" s="19">
        <f>SUM(F70:F80,F64,F58,F52,F46,F40,F34)</f>
        <v>361773.34846793</v>
      </c>
      <c r="G86" s="19">
        <f>SUM(G70:G80,G64,G58,G52,G46,G40,G34)</f>
        <v>384553.34846793</v>
      </c>
      <c r="H86" s="19">
        <f>SUM(H70:H80,H64,H58,H52,H46,H40,H34)</f>
        <v>389043.34846793</v>
      </c>
      <c r="I86" s="19">
        <f>SUM(I70:I80,I64,I58,I52,I46,I40,I34)</f>
        <v>382523.34846793</v>
      </c>
      <c r="J86" s="19">
        <f>SUM(J70:J80,J64,J58,J52,J46,J40,J34)</f>
        <v>368523.34846793</v>
      </c>
      <c r="K86" s="19">
        <f>SUM(K70:K80,K64,K58,K52,K46,K40,K34)</f>
        <v>361773.34846793</v>
      </c>
      <c r="L86" s="19">
        <f>SUM(L70:L80,L64,L58,L52,L46,L40,L34)</f>
        <v>361773.34846793</v>
      </c>
      <c r="M86" s="19">
        <f>SUM(M70:M80,M64,M58,M52,M46,M40,M34)</f>
        <v>384553.34846793</v>
      </c>
      <c r="N86" s="19">
        <f>SUM(N70:N80,N64,N58,N52,N46,N40,N34)</f>
        <v>389043.34846793</v>
      </c>
      <c r="O86" s="19">
        <f>SUM(O70:O80,O64,O58,O52,O46,O40,O34)</f>
        <v>382523.34846793</v>
      </c>
      <c r="P86" s="19">
        <f>SUM(P70:P80,P64,P58,P52,P46,P40,P34)</f>
        <v>368523.34846793</v>
      </c>
      <c r="Q86" s="19">
        <f>SUM(Q70:Q80,Q64,Q58,Q52,Q46,Q40,Q34)</f>
        <v>361773.34846793</v>
      </c>
      <c r="R86" s="19">
        <f>SUM(R70:R80,R64,R58,R52,R46,R40,R34)</f>
        <v>361461.68180126</v>
      </c>
      <c r="S86" s="19">
        <f>SUM(S70:S80,S64,S58,S52,S46,S40,S34)</f>
        <v>384241.68180126</v>
      </c>
      <c r="T86" s="19">
        <f>SUM(T70:T80,T64,T58,T52,T46,T40,T34)</f>
        <v>388731.68180126</v>
      </c>
      <c r="U86" s="19">
        <f>SUM(U70:U80,U64,U58,U52,U46,U40,U34)</f>
        <v>382211.68180126</v>
      </c>
      <c r="V86" s="19">
        <f>SUM(V70:V80,V64,V58,V52,V46,V40,V34)</f>
        <v>368211.68180126</v>
      </c>
      <c r="W86" s="19">
        <f>SUM(W70:W80,W64,W58,W52,W46,W40,W34)</f>
        <v>361461.68180126</v>
      </c>
      <c r="X86" s="19">
        <f>SUM(X70:X80,X64,X58,X52,X46,X40,X34)</f>
        <v>361461.68180126</v>
      </c>
      <c r="Y86" s="19">
        <f>SUM(Y70:Y80,Y64,Y58,Y52,Y46,Y40,Y34)</f>
        <v>384241.68180126</v>
      </c>
      <c r="Z86" s="19">
        <f>SUMIF($B$11:$Y$11,"Yes",B86:Y86)</f>
        <v>389043.34846793</v>
      </c>
      <c r="AA86" s="19">
        <f>SUM(B86:M86)</f>
        <v>4496380.1816152</v>
      </c>
      <c r="AB86" s="19">
        <f>SUM(B86:Y86)</f>
        <v>8990267.029897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17700</v>
      </c>
    </row>
    <row r="93" spans="1:30">
      <c r="A93" t="s">
        <v>58</v>
      </c>
      <c r="B93" s="36">
        <f>Inputs!B47</f>
        <v>12700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25000</v>
      </c>
    </row>
    <row r="98" spans="1:30" customHeight="1" ht="15.75">
      <c r="A98" s="18" t="s">
        <v>63</v>
      </c>
      <c r="B98" s="37">
        <f>Inputs!B48</f>
        <v>0</v>
      </c>
    </row>
    <row r="99" spans="1:30" customHeight="1" ht="15.75">
      <c r="A99" s="1" t="s">
        <v>64</v>
      </c>
      <c r="B99" s="19">
        <f>SUM(B92:B98)</f>
        <v>55400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6500</v>
      </c>
    </row>
    <row r="103" spans="1:30">
      <c r="A103" t="s">
        <v>67</v>
      </c>
      <c r="B103" s="36">
        <f>SUM(Inputs!B56:B60)</f>
        <v>5200</v>
      </c>
    </row>
    <row r="104" spans="1:30" customHeight="1" ht="15.75">
      <c r="A104" s="18" t="s">
        <v>68</v>
      </c>
      <c r="B104" s="37">
        <f>Calculations!G35</f>
        <v>250000</v>
      </c>
    </row>
    <row r="105" spans="1:30" customHeight="1" ht="15.75">
      <c r="A105" s="1" t="s">
        <v>69</v>
      </c>
      <c r="B105" s="19">
        <f>SUM(B102:B104)</f>
        <v>261700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5</v>
      </c>
      <c r="D7" s="20"/>
      <c r="E7" s="146" t="s">
        <v>87</v>
      </c>
      <c r="F7" s="147" t="s">
        <v>88</v>
      </c>
      <c r="G7" s="146">
        <v>50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20</v>
      </c>
      <c r="N7" s="154">
        <v>3</v>
      </c>
      <c r="P7" s="41"/>
    </row>
    <row r="8" spans="1:48">
      <c r="A8" s="144" t="s">
        <v>92</v>
      </c>
      <c r="B8" s="16"/>
      <c r="C8" s="144">
        <v>4</v>
      </c>
      <c r="D8" s="16"/>
      <c r="E8" s="148" t="s">
        <v>93</v>
      </c>
      <c r="F8" s="150" t="s">
        <v>94</v>
      </c>
      <c r="G8" s="148">
        <v>42</v>
      </c>
      <c r="H8" s="148" t="s">
        <v>89</v>
      </c>
      <c r="I8" s="148" t="s">
        <v>95</v>
      </c>
      <c r="J8" s="149" t="s">
        <v>96</v>
      </c>
      <c r="K8" s="139" t="s">
        <v>97</v>
      </c>
      <c r="L8" s="16"/>
      <c r="M8" s="166">
        <v>10</v>
      </c>
      <c r="N8" s="155">
        <v>5</v>
      </c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3" t="s">
        <v>111</v>
      </c>
      <c r="B19" s="20"/>
      <c r="C19" s="143">
        <v>250</v>
      </c>
      <c r="D19" s="146"/>
      <c r="E19" s="20"/>
      <c r="F19" s="146" t="s">
        <v>89</v>
      </c>
      <c r="G19" s="20"/>
      <c r="H19" s="20"/>
      <c r="I19" s="146" t="s">
        <v>112</v>
      </c>
      <c r="J19" s="146"/>
      <c r="K19" s="146">
        <v>40</v>
      </c>
      <c r="L19" s="25">
        <v>1</v>
      </c>
    </row>
    <row r="20" spans="1:48">
      <c r="A20" s="144" t="s">
        <v>113</v>
      </c>
      <c r="B20" s="16"/>
      <c r="C20" s="144">
        <v>6</v>
      </c>
      <c r="D20" s="148">
        <v>4</v>
      </c>
      <c r="E20" s="16"/>
      <c r="F20" s="148" t="s">
        <v>90</v>
      </c>
      <c r="G20" s="16"/>
      <c r="H20" s="16"/>
      <c r="I20" s="148" t="s">
        <v>114</v>
      </c>
      <c r="J20" s="148">
        <v>50</v>
      </c>
      <c r="K20" s="148"/>
      <c r="L20" s="30">
        <v>2</v>
      </c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8">
        <v>40</v>
      </c>
    </row>
    <row r="27" spans="1:48">
      <c r="A27" s="14" t="s">
        <v>117</v>
      </c>
    </row>
    <row r="29" spans="1:48">
      <c r="A29" s="45" t="s">
        <v>118</v>
      </c>
      <c r="B29" s="157" t="s">
        <v>119</v>
      </c>
    </row>
    <row r="30" spans="1:48">
      <c r="A30" s="44" t="s">
        <v>120</v>
      </c>
      <c r="B30" s="158">
        <v>17500</v>
      </c>
    </row>
    <row r="31" spans="1:48">
      <c r="A31" s="5" t="s">
        <v>121</v>
      </c>
      <c r="B31" s="159">
        <v>10000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3" t="s">
        <v>127</v>
      </c>
      <c r="B35" s="160">
        <v>56000</v>
      </c>
      <c r="C35" s="146" t="s">
        <v>128</v>
      </c>
      <c r="D35" s="49">
        <f>IFERROR(VLOOKUP(C35,Parameters!$C$76:$D$87,2,0),"")</f>
        <v>6</v>
      </c>
    </row>
    <row r="36" spans="1:48">
      <c r="A36" s="145" t="s">
        <v>129</v>
      </c>
      <c r="B36" s="159">
        <v>100000</v>
      </c>
      <c r="C36" s="151" t="s">
        <v>130</v>
      </c>
      <c r="D36" s="49">
        <f>IFERROR(VLOOKUP(C36,Parameters!$C$76:$D$87,2,0),"")</f>
        <v>8</v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1" t="s">
        <v>89</v>
      </c>
    </row>
    <row r="41" spans="1:48">
      <c r="A41" s="55" t="s">
        <v>133</v>
      </c>
      <c r="B41" s="141"/>
    </row>
    <row r="42" spans="1:48">
      <c r="A42" s="55" t="s">
        <v>134</v>
      </c>
      <c r="B42" s="140"/>
    </row>
    <row r="43" spans="1:48">
      <c r="A43" s="55" t="s">
        <v>135</v>
      </c>
      <c r="B43" s="161" t="s">
        <v>136</v>
      </c>
    </row>
    <row r="44" spans="1:48">
      <c r="A44" s="56" t="s">
        <v>137</v>
      </c>
      <c r="B44" s="161" t="s">
        <v>89</v>
      </c>
    </row>
    <row r="45" spans="1:48">
      <c r="A45" s="56" t="s">
        <v>138</v>
      </c>
      <c r="B45" s="162">
        <v>0</v>
      </c>
    </row>
    <row r="46" spans="1:48" customHeight="1" ht="30">
      <c r="A46" s="57" t="s">
        <v>139</v>
      </c>
      <c r="B46" s="162">
        <v>25000</v>
      </c>
    </row>
    <row r="47" spans="1:48" customHeight="1" ht="30">
      <c r="A47" s="57" t="s">
        <v>140</v>
      </c>
      <c r="B47" s="162">
        <v>12700</v>
      </c>
    </row>
    <row r="48" spans="1:48" customHeight="1" ht="30">
      <c r="A48" s="57" t="s">
        <v>141</v>
      </c>
      <c r="B48" s="162">
        <v>0</v>
      </c>
    </row>
    <row r="49" spans="1:48" customHeight="1" ht="30">
      <c r="A49" s="57" t="s">
        <v>142</v>
      </c>
      <c r="B49" s="162">
        <v>17700</v>
      </c>
    </row>
    <row r="50" spans="1:48">
      <c r="A50" s="43"/>
      <c r="B50" s="36"/>
    </row>
    <row r="51" spans="1:48">
      <c r="A51" s="58" t="s">
        <v>143</v>
      </c>
      <c r="B51" s="162">
        <v>6500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60">
        <v>65236</v>
      </c>
      <c r="B56" s="160">
        <v>0</v>
      </c>
      <c r="C56" s="163" t="s">
        <v>151</v>
      </c>
      <c r="D56" s="164" t="s">
        <v>152</v>
      </c>
      <c r="E56" s="164" t="s">
        <v>89</v>
      </c>
      <c r="F56" s="164"/>
    </row>
    <row r="57" spans="1:48">
      <c r="A57" s="158">
        <v>17000</v>
      </c>
      <c r="B57" s="158">
        <v>5200</v>
      </c>
      <c r="C57" s="165" t="s">
        <v>153</v>
      </c>
      <c r="D57" s="166" t="s">
        <v>154</v>
      </c>
      <c r="E57" s="166" t="s">
        <v>90</v>
      </c>
      <c r="F57" s="166" t="s">
        <v>155</v>
      </c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157</v>
      </c>
      <c r="C65" s="10" t="s">
        <v>158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2">
        <v>1</v>
      </c>
    </row>
    <row r="76" spans="1:48">
      <c r="A76" t="s">
        <v>161</v>
      </c>
      <c r="B76" s="169" t="s">
        <v>162</v>
      </c>
    </row>
    <row r="78" spans="1:48" customHeight="1" ht="20.25">
      <c r="B78" s="128" t="s">
        <v>163</v>
      </c>
    </row>
    <row r="79" spans="1:48">
      <c r="A79" t="s">
        <v>164</v>
      </c>
      <c r="B79" s="169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9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2">
        <v>250000</v>
      </c>
    </row>
    <row r="82" spans="1:48">
      <c r="A82" t="s">
        <v>168</v>
      </c>
      <c r="B82" s="162">
        <v>18</v>
      </c>
    </row>
    <row r="83" spans="1:48">
      <c r="A83" t="s">
        <v>169</v>
      </c>
      <c r="B83" s="170" t="s">
        <v>170</v>
      </c>
    </row>
    <row r="84" spans="1:48">
      <c r="A84" t="s">
        <v>171</v>
      </c>
      <c r="B84" s="170">
        <v>2</v>
      </c>
    </row>
    <row r="85" spans="1:48">
      <c r="A85" t="s">
        <v>172</v>
      </c>
      <c r="B85" s="170">
        <v>48</v>
      </c>
    </row>
    <row r="86" spans="1:48">
      <c r="A86" t="s">
        <v>173</v>
      </c>
      <c r="B86" s="162"/>
    </row>
    <row r="87" spans="1:48">
      <c r="A87" t="s">
        <v>174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9" t="s">
        <v>84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40</v>
      </c>
      <c r="AA3" s="32" t="s">
        <v>198</v>
      </c>
      <c r="AB3" s="32" t="s">
        <v>199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42401</v>
      </c>
      <c r="C4" s="38">
        <f>IFERROR(DATE(YEAR(B4),MONTH(B4)+ROUND(T4/2,0),DAY(B4)),B4)</f>
        <v>42461</v>
      </c>
      <c r="D4" s="38">
        <f>IFERROR(DATE(YEAR(B4),MONTH(B4)+T4,DAY(B4)),"")</f>
        <v>42491</v>
      </c>
      <c r="E4" s="38">
        <f>IFERROR(IF($S4=0,"",IF($S4=2,DATE(YEAR(B4),MONTH(B4)+6,DAY(B4)),IF($S4=1,B4,""))),"")</f>
        <v>42583</v>
      </c>
      <c r="F4" s="38">
        <f>IFERROR(IF($S4=0,"",IF($S4=2,DATE(YEAR(C4),MONTH(C4)+6,DAY(C4)),IF($S4=1,C4,""))),"")</f>
        <v>42644</v>
      </c>
      <c r="G4" s="38">
        <f>IFERROR(IF($S4=0,"",IF($S4=2,DATE(YEAR(D4),MONTH(D4)+6,DAY(D4)),IF($S4=1,D4,""))),"")</f>
        <v>42675</v>
      </c>
      <c r="H4" s="20">
        <f>Inputs!C7</f>
        <v>5</v>
      </c>
      <c r="I4" s="138" t="str">
        <f>IFERROR(VLOOKUP(Inputs!E7,Parameters!$J$74:$K$78,2,0),"")</f>
        <v>No</v>
      </c>
      <c r="J4" s="26">
        <f>IFERROR(Inputs!G7/Calculations!H4,"")</f>
        <v>10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10393.17617153</v>
      </c>
      <c r="M4" s="25">
        <f>L4*H4</f>
        <v>51965.880857652</v>
      </c>
      <c r="N4" s="22">
        <f>Calculations!U4</f>
        <v>0.2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1164035.7312114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3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IFERROR(J4*H4*Parameters!$B$35+IF(OR(Inputs!F7=Parameters!$E$75,Inputs!F7=Parameters!$E$77),Calculations!H4*Parameters!$B$36,0),0)</f>
        <v>13000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14000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Mangoes</v>
      </c>
      <c r="B5" s="39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42614</v>
      </c>
      <c r="C5" s="39">
        <f>IFERROR(DATE(YEAR(B5),MONTH(B5)+ROUND(T5/2,0),DAY(B5)),B5)</f>
        <v>42614</v>
      </c>
      <c r="D5" s="39" t="str">
        <f>IFERROR(DATE(YEAR(B5),MONTH(B5)+T5,DAY(B5)),"")</f>
        <v/>
      </c>
      <c r="E5" s="39">
        <f>IFERROR(IF($S5=0,"",IF($S5=2,DATE(YEAR(B5),MONTH(B5)+6,DAY(B5)),IF($S5=1,B5,""))),"")</f>
        <v>42795</v>
      </c>
      <c r="F5" s="39">
        <f>IFERROR(IF($S5=0,"",IF($S5=2,DATE(YEAR(C5),MONTH(C5)+6,DAY(C5)),IF($S5=1,C5,""))),"")</f>
        <v>42795</v>
      </c>
      <c r="G5" s="39" t="str">
        <f>IFERROR(IF($S5=0,"",IF($S5=2,DATE(YEAR(D5),MONTH(D5)+6,DAY(D5)),IF($S5=1,D5,""))),"")</f>
        <v/>
      </c>
      <c r="H5" s="16">
        <f>Inputs!C8</f>
        <v>4</v>
      </c>
      <c r="I5" s="139" t="str">
        <f>IFERROR(VLOOKUP(Inputs!E8,Parameters!$J$74:$K$78,2,0),"")</f>
        <v>Yes</v>
      </c>
      <c r="J5" s="27">
        <f>IFERROR(Inputs!G8/Calculations!H5,"")</f>
        <v>10.5</v>
      </c>
      <c r="K5" s="27">
        <f>IFERROR(INDEX(Parameters!$A$3:$V$17,MATCH(Calculations!$A5,Parameters!$A$3:$A$17,0),MATCH(Parameters!$I$3,Parameters!$A$3:$V$3,0)),0)</f>
        <v>3500</v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5256.0651612081</v>
      </c>
      <c r="M5" s="30">
        <f>L5*H5</f>
        <v>21024.260644832</v>
      </c>
      <c r="N5" s="22">
        <f>Calculations!U5</f>
        <v>0.1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10.12004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382979.44565303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2520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18000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19200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99</v>
      </c>
      <c r="B13" s="15" t="s">
        <v>32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9" t="s">
        <v>210</v>
      </c>
      <c r="N13" s="179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46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250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2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6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1"/>
      <c r="M14" s="60">
        <f>Inputs!J19/100</f>
        <v>0</v>
      </c>
      <c r="N14" s="180">
        <f>Inputs!K19/100</f>
        <v>0.4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5940000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1368750</v>
      </c>
      <c r="R14" s="63">
        <f>IFERROR(D14*INDEX(Parameters!$A$22:$P$29,MATCH(Calculations!$A14,Parameters!$A$22:$A$29,0),MATCH(Parameters!$M$22,Parameters!$A$22:$P$22,0)),"")</f>
        <v>50000</v>
      </c>
      <c r="S14" s="63">
        <f>IFERROR(D14*INDEX(Parameters!$A$22:$P$29,MATCH(Calculations!$A14,Parameters!$A$22:$A$29,0),MATCH(Parameters!$N$22,Parameters!$A$22:$P$22,0)),"")</f>
        <v>500000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3.1666666666667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9.5</v>
      </c>
      <c r="K15" s="46">
        <f>IFERROR(INDEX(Parameters!$A$22:$P$29,MATCH(Calculations!$A15,Parameters!$A$22:$A$29,0),MATCH(Parameters!$H$22,Parameters!$A$22:$P$22,0)),"")</f>
        <v>30</v>
      </c>
      <c r="L15" s="172"/>
      <c r="M15" s="22">
        <f>Inputs!J20/100</f>
        <v>0.5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208050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145</v>
      </c>
      <c r="B22" s="75" t="s">
        <v>217</v>
      </c>
      <c r="C22" s="75" t="s">
        <v>218</v>
      </c>
      <c r="D22" s="75" t="s">
        <v>219</v>
      </c>
      <c r="E22" s="75" t="s">
        <v>220</v>
      </c>
    </row>
    <row r="23" spans="1:46">
      <c r="A23" s="76">
        <f>Inputs!A56</f>
        <v>65236</v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>17000</v>
      </c>
      <c r="B24" s="46">
        <f>SUM(C24:D24)</f>
        <v>311.66666666667</v>
      </c>
      <c r="C24" s="46" t="str">
        <f>IF(Inputs!B57&gt;0,(Inputs!A57-Inputs!B57)/(Inputs!$B$76-Inputs!C57)*30,0)</f>
        <v>0</v>
      </c>
      <c r="D24" s="46">
        <f>IF(Inputs!B57&gt;0,Inputs!A57*0.22/12,0)</f>
        <v>311.66666666667</v>
      </c>
      <c r="E24" s="46">
        <f>IFERROR(ROUNDUP(Inputs!B57/B24,0),0)</f>
        <v>17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222</v>
      </c>
      <c r="B32" s="130" t="s">
        <v>223</v>
      </c>
      <c r="C32" s="130" t="s">
        <v>224</v>
      </c>
      <c r="D32" s="130" t="s">
        <v>225</v>
      </c>
      <c r="F32" s="133" t="s">
        <v>226</v>
      </c>
      <c r="G32" s="133" t="s">
        <v>227</v>
      </c>
      <c r="I32" s="175" t="s">
        <v>228</v>
      </c>
      <c r="J32" s="176" t="str">
        <f>VLOOKUP(VALUE(Inputs!B75),Parameters!A54:B68,2,0)</f>
        <v>0</v>
      </c>
    </row>
    <row r="33" spans="1:46">
      <c r="A33">
        <v>1</v>
      </c>
      <c r="B33" s="129" t="str">
        <f>G34</f>
        <v>2016/10/5</v>
      </c>
      <c r="C33" s="27">
        <f>IF(B33&lt;&gt;"",IF(COUNT($A$33:A33)&lt;=$G$39,0,$G$41)+IF(COUNT($A$33:A33)&lt;=$G$40,0,$G$42),"")</f>
        <v>12142.694063927</v>
      </c>
      <c r="D33" s="182">
        <f>IFERROR(DATE(YEAR(B33),MONTH(B33),1),"")</f>
        <v>42644</v>
      </c>
      <c r="F33" t="s">
        <v>164</v>
      </c>
      <c r="G33" s="129" t="str">
        <f>IF(Inputs!B79="","",Inputs!B79)</f>
        <v>2016/9/28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165</v>
      </c>
      <c r="G34" s="129" t="str">
        <f>IF(Inputs!B80="","",Inputs!B80)</f>
        <v>2016/10/5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167</v>
      </c>
      <c r="G35" s="27">
        <f>Inputs!B81</f>
        <v>250000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168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229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230</v>
      </c>
      <c r="G38" s="27">
        <f>IFERROR(Inputs!B85/Inputs!B84,"")</f>
        <v>24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173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174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231</v>
      </c>
      <c r="G41" s="74">
        <f>IFERROR(G35/(G38-G39),"")</f>
        <v>10416.666666667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232</v>
      </c>
      <c r="G42" s="74">
        <f>IFERROR(G35*G36*IF(G37="Monthly",G38/12,IF(G37="Fortnightly",G38/(365/14),G38/(365/28)))/(G38-G40),"")</f>
        <v>1726.0273972603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4" customFormat="1">
      <c r="A4" s="94" t="s">
        <v>265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266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267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268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269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86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269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270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269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271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272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273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267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267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274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269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92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267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267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275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269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276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269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277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272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278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267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267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279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269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280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269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281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299</v>
      </c>
      <c r="B24" s="21" t="s">
        <v>300</v>
      </c>
      <c r="C24" s="117" t="s">
        <v>267</v>
      </c>
      <c r="D24" s="116" t="s">
        <v>267</v>
      </c>
      <c r="E24" s="107">
        <v>0.05</v>
      </c>
      <c r="F24" s="107">
        <v>0.1</v>
      </c>
      <c r="G24" s="107">
        <v>0.2</v>
      </c>
      <c r="H24" s="117" t="s">
        <v>267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113</v>
      </c>
      <c r="B25" s="16" t="s">
        <v>301</v>
      </c>
      <c r="C25" s="30" t="s">
        <v>302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267</v>
      </c>
      <c r="J25" s="72" t="s">
        <v>267</v>
      </c>
      <c r="K25" s="72" t="s">
        <v>267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303</v>
      </c>
      <c r="B26" s="16" t="s">
        <v>300</v>
      </c>
      <c r="C26" s="117" t="s">
        <v>267</v>
      </c>
      <c r="D26" s="116" t="s">
        <v>267</v>
      </c>
      <c r="E26" s="107">
        <v>0.2</v>
      </c>
      <c r="F26" s="107">
        <v>0.7</v>
      </c>
      <c r="G26" s="107">
        <v>2</v>
      </c>
      <c r="H26" s="117" t="s">
        <v>267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304</v>
      </c>
      <c r="B27" s="71" t="s">
        <v>300</v>
      </c>
      <c r="C27" s="117" t="s">
        <v>267</v>
      </c>
      <c r="D27" s="116" t="s">
        <v>267</v>
      </c>
      <c r="E27" s="107">
        <v>0.15</v>
      </c>
      <c r="F27" s="107">
        <v>0.25</v>
      </c>
      <c r="G27" s="107">
        <v>1</v>
      </c>
      <c r="H27" s="117" t="s">
        <v>267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305</v>
      </c>
      <c r="B28" s="71" t="s">
        <v>300</v>
      </c>
      <c r="C28" s="117" t="s">
        <v>267</v>
      </c>
      <c r="D28" s="116" t="s">
        <v>267</v>
      </c>
      <c r="E28" s="107">
        <v>0.15</v>
      </c>
      <c r="F28" s="107">
        <v>0.25</v>
      </c>
      <c r="G28" s="107">
        <v>1</v>
      </c>
      <c r="H28" s="117" t="s">
        <v>267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111</v>
      </c>
      <c r="B29" s="119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306</v>
      </c>
      <c r="B30" s="70" t="s">
        <v>300</v>
      </c>
    </row>
    <row r="31" spans="1:36">
      <c r="H31" s="87"/>
      <c r="I31" s="87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7"/>
    </row>
    <row r="36" spans="1:36">
      <c r="A36" t="s">
        <v>311</v>
      </c>
      <c r="B36" s="72">
        <v>2000</v>
      </c>
      <c r="C36" s="87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314</v>
      </c>
      <c r="C40" s="192"/>
    </row>
    <row r="41" spans="1:36">
      <c r="B41" s="73" t="s">
        <v>90</v>
      </c>
      <c r="C41" s="73" t="s">
        <v>89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111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136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326</v>
      </c>
      <c r="C56" s="12" t="s">
        <v>324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327</v>
      </c>
      <c r="C57" s="12" t="s">
        <v>324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328</v>
      </c>
      <c r="C58" s="12" t="s">
        <v>329</v>
      </c>
      <c r="D58" s="90">
        <v>806.09046126288</v>
      </c>
      <c r="E58" s="90">
        <v>2</v>
      </c>
      <c r="F58" s="90">
        <v>4</v>
      </c>
      <c r="G58" s="7" t="s">
        <v>90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330</v>
      </c>
      <c r="C59" s="12" t="s">
        <v>329</v>
      </c>
      <c r="D59" s="90">
        <v>806.09046126288</v>
      </c>
      <c r="E59" s="90">
        <v>1</v>
      </c>
      <c r="F59" s="90">
        <v>5</v>
      </c>
      <c r="G59" s="7" t="s">
        <v>90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331</v>
      </c>
      <c r="C60" s="12" t="s">
        <v>329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332</v>
      </c>
      <c r="C61" s="12" t="s">
        <v>329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333</v>
      </c>
      <c r="C62" s="12" t="s">
        <v>329</v>
      </c>
      <c r="D62" s="90">
        <v>806.09046126288</v>
      </c>
      <c r="E62" s="90">
        <v>2</v>
      </c>
      <c r="F62" s="90">
        <v>4</v>
      </c>
      <c r="G62" s="7" t="s">
        <v>90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334</v>
      </c>
      <c r="C63" s="12" t="s">
        <v>329</v>
      </c>
      <c r="D63" s="90">
        <v>806.09046126288</v>
      </c>
      <c r="E63" s="90">
        <v>2</v>
      </c>
      <c r="F63" s="90">
        <v>4</v>
      </c>
      <c r="G63" s="7" t="s">
        <v>90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335</v>
      </c>
      <c r="C64" s="12" t="s">
        <v>329</v>
      </c>
      <c r="D64" s="90">
        <v>1612.1809225258</v>
      </c>
      <c r="E64" s="90">
        <v>1</v>
      </c>
      <c r="F64" s="90">
        <v>6</v>
      </c>
      <c r="G64" s="7" t="s">
        <v>90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336</v>
      </c>
      <c r="C65" s="12" t="s">
        <v>329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337</v>
      </c>
      <c r="C66" s="12" t="s">
        <v>329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338</v>
      </c>
      <c r="C67" s="12" t="s">
        <v>329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339</v>
      </c>
      <c r="C68" s="12" t="s">
        <v>324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340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341</v>
      </c>
      <c r="B73" s="11" t="s">
        <v>342</v>
      </c>
      <c r="C73" s="11" t="s">
        <v>343</v>
      </c>
      <c r="D73" s="11" t="s">
        <v>344</v>
      </c>
      <c r="E73" s="11" t="s">
        <v>77</v>
      </c>
      <c r="F73" s="11" t="s">
        <v>345</v>
      </c>
      <c r="G73" s="11" t="s">
        <v>346</v>
      </c>
      <c r="H73" s="11" t="s">
        <v>347</v>
      </c>
      <c r="I73" s="11" t="s">
        <v>229</v>
      </c>
      <c r="J73" s="11" t="s">
        <v>348</v>
      </c>
      <c r="K73" s="11" t="s">
        <v>182</v>
      </c>
      <c r="AJ73" s="12"/>
    </row>
    <row r="74" spans="1:36">
      <c r="A74" t="s">
        <v>89</v>
      </c>
      <c r="B74" s="177">
        <v>0</v>
      </c>
      <c r="C74" s="12" t="s">
        <v>349</v>
      </c>
      <c r="E74" s="12" t="s">
        <v>90</v>
      </c>
      <c r="F74" s="12" t="s">
        <v>90</v>
      </c>
      <c r="G74" s="12" t="s">
        <v>350</v>
      </c>
      <c r="H74" s="12" t="s">
        <v>136</v>
      </c>
      <c r="I74" s="12" t="s">
        <v>351</v>
      </c>
      <c r="J74" s="137" t="s">
        <v>87</v>
      </c>
      <c r="K74" s="12" t="s">
        <v>90</v>
      </c>
      <c r="AJ74" s="12"/>
    </row>
    <row r="75" spans="1:36">
      <c r="A75" t="s">
        <v>90</v>
      </c>
      <c r="B75" s="177">
        <v>5</v>
      </c>
      <c r="C75" s="135" t="s">
        <v>352</v>
      </c>
      <c r="D75" s="134"/>
      <c r="E75" s="12" t="s">
        <v>88</v>
      </c>
      <c r="F75" s="12" t="s">
        <v>353</v>
      </c>
      <c r="G75" s="12" t="s">
        <v>112</v>
      </c>
      <c r="H75" s="12" t="s">
        <v>317</v>
      </c>
      <c r="I75" s="12" t="s">
        <v>170</v>
      </c>
      <c r="J75" s="70" t="s">
        <v>354</v>
      </c>
      <c r="K75" s="12" t="s">
        <v>90</v>
      </c>
      <c r="AJ75" s="12"/>
    </row>
    <row r="76" spans="1:36">
      <c r="B76" s="177">
        <v>10</v>
      </c>
      <c r="C76" s="12" t="s">
        <v>97</v>
      </c>
      <c r="D76" s="12">
        <v>1</v>
      </c>
      <c r="E76" s="12" t="s">
        <v>355</v>
      </c>
      <c r="F76" s="12" t="s">
        <v>356</v>
      </c>
      <c r="G76" s="12" t="s">
        <v>114</v>
      </c>
      <c r="I76" s="12" t="s">
        <v>343</v>
      </c>
      <c r="J76" s="70" t="s">
        <v>357</v>
      </c>
      <c r="K76" s="12" t="s">
        <v>90</v>
      </c>
      <c r="AJ76" s="12"/>
    </row>
    <row r="77" spans="1:36">
      <c r="B77" s="177">
        <v>20</v>
      </c>
      <c r="C77" s="12" t="s">
        <v>91</v>
      </c>
      <c r="D77" s="12">
        <f>D76+1</f>
        <v>2</v>
      </c>
      <c r="E77" s="12" t="s">
        <v>358</v>
      </c>
      <c r="F77" s="12" t="s">
        <v>95</v>
      </c>
      <c r="J77" s="70" t="s">
        <v>93</v>
      </c>
      <c r="K77" s="12" t="s">
        <v>89</v>
      </c>
      <c r="AJ77" s="12"/>
    </row>
    <row r="78" spans="1:36">
      <c r="B78" s="177">
        <v>30</v>
      </c>
      <c r="C78" s="12" t="s">
        <v>359</v>
      </c>
      <c r="D78" s="12">
        <f>D77+1</f>
        <v>3</v>
      </c>
      <c r="J78" s="70" t="s">
        <v>360</v>
      </c>
      <c r="K78" s="12" t="s">
        <v>89</v>
      </c>
    </row>
    <row r="79" spans="1:36">
      <c r="B79" s="177">
        <v>40</v>
      </c>
      <c r="C79" s="12" t="s">
        <v>361</v>
      </c>
      <c r="D79" s="12">
        <f>D78+1</f>
        <v>4</v>
      </c>
      <c r="J79" s="70"/>
    </row>
    <row r="80" spans="1:36">
      <c r="B80" s="177">
        <v>50</v>
      </c>
      <c r="C80" s="12" t="s">
        <v>362</v>
      </c>
      <c r="D80" s="12">
        <f>D79+1</f>
        <v>5</v>
      </c>
    </row>
    <row r="81" spans="1:36">
      <c r="B81" s="177">
        <v>60</v>
      </c>
      <c r="C81" s="12" t="s">
        <v>128</v>
      </c>
      <c r="D81" s="12">
        <f>D80+1</f>
        <v>6</v>
      </c>
    </row>
    <row r="82" spans="1:36">
      <c r="B82" s="177">
        <v>70</v>
      </c>
      <c r="C82" s="12" t="s">
        <v>363</v>
      </c>
      <c r="D82" s="12">
        <f>D81+1</f>
        <v>7</v>
      </c>
    </row>
    <row r="83" spans="1:36">
      <c r="B83" s="177">
        <v>80</v>
      </c>
      <c r="C83" s="12" t="s">
        <v>130</v>
      </c>
      <c r="D83" s="12">
        <f>D82+1</f>
        <v>8</v>
      </c>
    </row>
    <row r="84" spans="1:36">
      <c r="B84" s="177">
        <v>90</v>
      </c>
      <c r="C84" s="12" t="s">
        <v>96</v>
      </c>
      <c r="D84" s="12">
        <f>D83+1</f>
        <v>9</v>
      </c>
    </row>
    <row r="85" spans="1:36">
      <c r="B85" s="177">
        <v>100</v>
      </c>
      <c r="C85" s="12" t="s">
        <v>364</v>
      </c>
      <c r="D85" s="12">
        <f>D84+1</f>
        <v>10</v>
      </c>
    </row>
    <row r="86" spans="1:36">
      <c r="C86" s="12" t="s">
        <v>365</v>
      </c>
      <c r="D86" s="12">
        <f>D85+1</f>
        <v>11</v>
      </c>
    </row>
    <row r="87" spans="1:36">
      <c r="C87" s="12" t="s">
        <v>366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