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<sst xmlns="http://schemas.openxmlformats.org/spreadsheetml/2006/main" uniqueCount="358">
  <si>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</si>
  <si>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</si>
  <si>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</si>
  <si>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</si>
  <si>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</si>
  <si>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</si>
  <si>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</si>
  <si>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</si>
  <si>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</si>
  <si>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</si>
  <si>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</si>
  <si>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</si>
  <si>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</si>
  <si>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</si>
  <si>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</si>
  <si>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</si>
  <si>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</si>
  <si>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</si>
  <si>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</si>
  <si>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</si>
  <si>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</si>
  <si>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</si>
  <si>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</si>
  <si>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</si>
  <si>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</si>
  <si>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</si>
  <si>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</si>
  <si>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</si>
  <si>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</si>
  <si>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</si>
  <si>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</si>
  <si>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</si>
  <si>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</si>
  <si>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</si>
  <si>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</si>
  <si>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</si>
  <si>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</si>
  <si>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</si>
  <si>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</si>
  <si>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</si>
  <si>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</si>
  <si>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</si>
  <si>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</si>
  <si>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</si>
  <si>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</si>
  <si>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</si>
  <si>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</si>
  <si>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</si>
  <si>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</si>
  <si>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</si>
  <si>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</si>
  <si>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</si>
  <si>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</si>
  <si>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</si>
  <si>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</si>
  <si>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</si>
  <si>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</si>
  <si>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</si>
  <si>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</si>
  <si>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</si>
  <si>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</si>
  <si>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</si>
  <si>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</si>
  <si>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</si>
  <si>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</si>
  <si>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</si>
  <si>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</si>
  <si>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</si>
  <si>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</si>
  <si>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</si>
  <si>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</si>
  <si>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</si>
  <si>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</si>
  <si>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</si>
  <si>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</si>
  <si>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</si>
  <si>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</si>
  <si>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</si>
  <si>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</si>
  <si>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</si>
  <si>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</si>
  <si>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</si>
  <si>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</si>
  <si>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</si>
  <si>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</si>
  <si>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</si>
  <si>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</si>
  <si>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Other farmers</t>
  </si>
  <si>
    <t>Yes only manure</t>
  </si>
  <si>
    <t>Yes</t>
  </si>
  <si>
    <t>Yes using a solar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</si>
  <si>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</si>
  <si>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</si>
  <si>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</si>
  <si>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</si>
  <si>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</si>
  <si>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</si>
  <si>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</si>
  <si>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</si>
  <si>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</si>
  <si>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</si>
  <si>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</si>
  <si>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</si>
  <si>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</si>
  <si>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</si>
  <si>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</si>
  <si>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</si>
  <si>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</si>
  <si>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</si>
  <si>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</si>
  <si>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</si>
  <si>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</si>
  <si>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</si>
  <si>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</si>
  <si>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</si>
  <si>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</si>
  <si>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</si>
  <si>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</si>
  <si>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</si>
  <si>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</si>
  <si>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</si>
  <si>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</si>
  <si>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</si>
  <si>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</si>
  <si>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</si>
  <si>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</si>
  <si>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</si>
  <si>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</si>
  <si>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</si>
  <si>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</si>
  <si>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</si>
  <si>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</si>
  <si>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</si>
  <si>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</si>
  <si>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</si>
  <si>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</si>
  <si>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</si>
  <si>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</si>
  <si>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</si>
  <si>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</si>
  <si>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</si>
  <si>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</si>
  <si>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2016/9/30</t>
  </si>
  <si>
    <t>Loan terms</t>
  </si>
  <si>
    <t>Expected disbursement date</t>
  </si>
  <si>
    <t>Expected first repayment date</t>
  </si>
  <si>
    <t>2016/10/7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</si>
  <si>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</si>
  <si>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</si>
  <si>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</si>
  <si>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</si>
  <si>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</si>
  <si>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</si>
  <si>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</si>
  <si>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</si>
  <si>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</si>
  <si>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</si>
  <si>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</si>
  <si>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</si>
  <si>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</si>
  <si>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</si>
  <si>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</si>
  <si>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</si>
  <si>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</si>
  <si>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</si>
  <si>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</si>
  <si>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</si>
  <si>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</si>
  <si>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</si>
  <si>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</si>
  <si>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</si>
  <si>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</si>
  <si>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</si>
  <si>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</si>
  <si>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</si>
  <si>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</si>
  <si>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</si>
  <si>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</si>
  <si>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</si>
  <si>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</si>
  <si>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</si>
  <si>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</si>
  <si>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</si>
  <si>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</si>
  <si>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</si>
  <si>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</si>
  <si>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</si>
  <si>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</si>
  <si>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</si>
  <si>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</si>
  <si>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</si>
  <si>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</si>
  <si>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</si>
  <si>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</si>
  <si>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</si>
  <si>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</si>
  <si>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</si>
  <si>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</si>
  <si>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</si>
  <si>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</si>
  <si>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</si>
  <si>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</si>
  <si>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</si>
  <si>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</si>
  <si>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</si>
  <si>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</si>
  <si>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</si>
  <si>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</si>
  <si>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</si>
  <si>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</si>
  <si>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</si>
  <si>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</si>
  <si>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</si>
  <si>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</si>
  <si>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</si>
  <si>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</si>
  <si>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</si>
  <si>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</si>
  <si>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</si>
  <si>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</si>
  <si>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</si>
  <si>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</si>
  <si>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</si>
  <si>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</si>
  <si>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</si>
  <si>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</si>
  <si>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</si>
  <si>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</si>
  <si>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</si>
  <si>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</si>
  <si>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</si>
  <si>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</si>
  <si>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</si>
  <si>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</si>
  <si>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</si>
  <si>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</si>
  <si>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</si>
  <si>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</si>
  <si>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</si>
  <si>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</si>
  <si>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</si>
  <si>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</si>
  <si>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</si>
  <si>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</si>
  <si>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</si>
  <si>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</si>
  <si>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</si>
  <si>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</si>
  <si>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</si>
  <si>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</si>
  <si>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</si>
  <si>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</si>
  <si>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</si>
  <si>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</si>
  <si>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</si>
  <si>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</si>
  <si>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</si>
  <si>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</si>
  <si>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</si>
  <si>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</si>
  <si>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</si>
  <si>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</si>
  <si>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</si>
  <si>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</si>
  <si>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</si>
  <si>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</si>
  <si>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</si>
  <si>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</si>
  <si>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</si>
  <si>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</si>
  <si>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</si>
  <si>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</si>
  <si>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</si>
  <si>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</si>
  <si>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</si>
  <si>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</si>
  <si>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</si>
  <si>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</si>
  <si>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</si>
  <si>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</si>
  <si>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</si>
  <si>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</si>
  <si>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</si>
  <si>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</si>
  <si>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</si>
  <si>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</si>
  <si>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</si>
  <si>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</si>
  <si>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</si>
  <si>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</si>
  <si>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</si>
  <si>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</si>
  <si>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</si>
  <si>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</si>
  <si>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</si>
  <si>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</si>
  <si>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</si>
  <si>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</si>
  <si>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</si>
  <si>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</si>
  <si>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</si>
  <si>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</si>
  <si>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</si>
  <si>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</si>
  <si>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</si>
  <si>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</si>
  <si>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</si>
  <si>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</si>
  <si>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</si>
  <si>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</si>
  <si>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</si>
  <si>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</si>
  <si>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</si>
  <si>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</si>
  <si>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</si>
  <si>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</si>
  <si>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</si>
  <si>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</si>
  <si>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</si>
  <si>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</si>
  <si>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</si>
  <si>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</si>
  <si>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</si>
  <si>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</si>
  <si>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</si>
  <si>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</si>
  <si>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</si>
  <si>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</si>
  <si>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</si>
  <si>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</si>
  <si>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</si>
  <si>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</si>
  <si>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</si>
  <si>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</si>
  <si>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</si>
  <si>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</si>
  <si>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</si>
  <si>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</si>
  <si>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</si>
  <si>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</si>
  <si>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January</t>
  </si>
  <si>
    <t>Yes inorganic fertilizers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</si>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</sst>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 customHeight="1" ht="9.75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Maize,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0.0002115794814523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79749.109149584</v>
      </c>
    </row>
    <row r="18" spans="1:7">
      <c r="B18" s="1" t="s">
        <v>12</v>
      </c>
      <c r="C18" s="36">
        <f>MIN(Output!B4:M4)</f>
        <v>-17930.506063866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29248.874887659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8" topLeftCell="S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11347.105046247</v>
      </c>
      <c r="C4" s="51">
        <f>C28-C86</f>
        <v>28475.335204834</v>
      </c>
      <c r="D4" s="51">
        <f>D28-D86</f>
        <v>-17930.506063866</v>
      </c>
      <c r="E4" s="51">
        <f>E28-E86</f>
        <v>-16430.506063866</v>
      </c>
      <c r="F4" s="51">
        <f>F28-F86</f>
        <v>5164.251563783</v>
      </c>
      <c r="G4" s="51">
        <f>G28-G86</f>
        <v>29248.874887659</v>
      </c>
      <c r="H4" s="51">
        <f>H28-H86</f>
        <v>11347.105046247</v>
      </c>
      <c r="I4" s="51">
        <f>I28-I86</f>
        <v>28475.335204834</v>
      </c>
      <c r="J4" s="51">
        <f>J28-J86</f>
        <v>-17930.506063866</v>
      </c>
      <c r="K4" s="51">
        <f>K28-K86</f>
        <v>-16430.506063866</v>
      </c>
      <c r="L4" s="51">
        <f>L28-L86</f>
        <v>5164.251563783</v>
      </c>
      <c r="M4" s="51">
        <f>M28-M86</f>
        <v>29248.874887659</v>
      </c>
      <c r="N4" s="51">
        <f>N28-N86</f>
        <v>11347.105046247</v>
      </c>
      <c r="O4" s="51">
        <f>O28-O86</f>
        <v>28475.335204834</v>
      </c>
      <c r="P4" s="51">
        <f>P28-P86</f>
        <v>-17930.506063866</v>
      </c>
      <c r="Q4" s="51">
        <f>Q28-Q86</f>
        <v>-16430.506063866</v>
      </c>
      <c r="R4" s="51">
        <f>R28-R86</f>
        <v>5164.251563783</v>
      </c>
      <c r="S4" s="51">
        <f>S28-S86</f>
        <v>29248.874887659</v>
      </c>
      <c r="T4" s="51">
        <f>T28-T86</f>
        <v>11347.105046247</v>
      </c>
      <c r="U4" s="51">
        <f>U28-U86</f>
        <v>28475.335204834</v>
      </c>
      <c r="V4" s="51">
        <f>V28-V86</f>
        <v>-17930.506063866</v>
      </c>
      <c r="W4" s="51">
        <f>W28-W86</f>
        <v>-16430.506063866</v>
      </c>
      <c r="X4" s="51">
        <f>X28-X86</f>
        <v>5164.251563783</v>
      </c>
      <c r="Y4" s="51">
        <f>Y28-Y86</f>
        <v>29248.874887659</v>
      </c>
      <c r="Z4" s="51">
        <f>SUMIF($B$11:$Y$11,"Yes",B4:Y4)</f>
        <v>11347.105046247</v>
      </c>
      <c r="AA4" s="51">
        <f>AA28-AA86</f>
        <v>79749.109149584</v>
      </c>
      <c r="AB4" s="51">
        <f>AB28-AB86</f>
        <v>159498.21829917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0</v>
      </c>
      <c r="C5" s="81">
        <f>IFERROR(INDEX(Inputs!$B$66:$B$71,MATCH(MONTH(Output!C3),Inputs!$D$66:$D$71,0))-INDEX(Inputs!$C$66:$C$71,MATCH(MONTH(Output!C3),Inputs!$D$66:$D$71,0)),"")</f>
        <v>0</v>
      </c>
      <c r="D5" s="81">
        <f>IFERROR(INDEX(Inputs!$B$66:$B$71,MATCH(MONTH(Output!D3),Inputs!$D$66:$D$71,0))-INDEX(Inputs!$C$66:$C$71,MATCH(MONTH(Output!D3),Inputs!$D$66:$D$71,0)),"")</f>
        <v>0</v>
      </c>
      <c r="E5" s="81">
        <f>IFERROR(INDEX(Inputs!$B$66:$B$71,MATCH(MONTH(Output!E3),Inputs!$D$66:$D$71,0))-INDEX(Inputs!$C$66:$C$71,MATCH(MONTH(Output!E3),Inputs!$D$66:$D$71,0)),"")</f>
        <v>0</v>
      </c>
      <c r="F5" s="81">
        <f>IFERROR(INDEX(Inputs!$B$66:$B$71,MATCH(MONTH(Output!F3),Inputs!$D$66:$D$71,0))-INDEX(Inputs!$C$66:$C$71,MATCH(MONTH(Output!F3),Inputs!$D$66:$D$71,0)),"")</f>
        <v>0</v>
      </c>
      <c r="G5" s="81">
        <f>IFERROR(INDEX(Inputs!$B$66:$B$71,MATCH(MONTH(Output!G3),Inputs!$D$66:$D$71,0))-INDEX(Inputs!$C$66:$C$71,MATCH(MONTH(Output!G3),Inputs!$D$66:$D$71,0)),"")</f>
        <v>0</v>
      </c>
      <c r="H5" s="81">
        <f>IFERROR(INDEX(Inputs!$B$66:$B$71,MATCH(MONTH(Output!H3),Inputs!$D$66:$D$71,0))-INDEX(Inputs!$C$66:$C$71,MATCH(MONTH(Output!H3),Inputs!$D$66:$D$71,0)),"")</f>
        <v>0</v>
      </c>
      <c r="I5" s="81">
        <f>IFERROR(INDEX(Inputs!$B$66:$B$71,MATCH(MONTH(Output!I3),Inputs!$D$66:$D$71,0))-INDEX(Inputs!$C$66:$C$71,MATCH(MONTH(Output!I3),Inputs!$D$66:$D$71,0)),"")</f>
        <v>0</v>
      </c>
      <c r="J5" s="81">
        <f>IFERROR(INDEX(Inputs!$B$66:$B$71,MATCH(MONTH(Output!J3),Inputs!$D$66:$D$71,0))-INDEX(Inputs!$C$66:$C$71,MATCH(MONTH(Output!J3),Inputs!$D$66:$D$71,0)),"")</f>
        <v>0</v>
      </c>
      <c r="K5" s="81">
        <f>IFERROR(INDEX(Inputs!$B$66:$B$71,MATCH(MONTH(Output!K3),Inputs!$D$66:$D$71,0))-INDEX(Inputs!$C$66:$C$71,MATCH(MONTH(Output!K3),Inputs!$D$66:$D$71,0)),"")</f>
        <v>0</v>
      </c>
      <c r="L5" s="81">
        <f>IFERROR(INDEX(Inputs!$B$66:$B$71,MATCH(MONTH(Output!L3),Inputs!$D$66:$D$71,0))-INDEX(Inputs!$C$66:$C$71,MATCH(MONTH(Output!L3),Inputs!$D$66:$D$71,0)),"")</f>
        <v>0</v>
      </c>
      <c r="M5" s="81">
        <f>IFERROR(INDEX(Inputs!$B$66:$B$71,MATCH(MONTH(Output!M3),Inputs!$D$66:$D$71,0))-INDEX(Inputs!$C$66:$C$71,MATCH(MONTH(Output!M3),Inputs!$D$66:$D$71,0)),"")</f>
        <v>0</v>
      </c>
      <c r="N5" s="81">
        <f>IFERROR(INDEX(Inputs!$B$66:$B$71,MATCH(MONTH(Output!N3),Inputs!$D$66:$D$71,0))-INDEX(Inputs!$C$66:$C$71,MATCH(MONTH(Output!N3),Inputs!$D$66:$D$71,0)),"")</f>
        <v>0</v>
      </c>
      <c r="O5" s="81">
        <f>IFERROR(INDEX(Inputs!$B$66:$B$71,MATCH(MONTH(Output!O3),Inputs!$D$66:$D$71,0))-INDEX(Inputs!$C$66:$C$71,MATCH(MONTH(Output!O3),Inputs!$D$66:$D$71,0)),"")</f>
        <v>0</v>
      </c>
      <c r="P5" s="81">
        <f>IFERROR(INDEX(Inputs!$B$66:$B$71,MATCH(MONTH(Output!P3),Inputs!$D$66:$D$71,0))-INDEX(Inputs!$C$66:$C$71,MATCH(MONTH(Output!P3),Inputs!$D$66:$D$71,0)),"")</f>
        <v>0</v>
      </c>
      <c r="Q5" s="81">
        <f>IFERROR(INDEX(Inputs!$B$66:$B$71,MATCH(MONTH(Output!Q3),Inputs!$D$66:$D$71,0))-INDEX(Inputs!$C$66:$C$71,MATCH(MONTH(Output!Q3),Inputs!$D$66:$D$71,0)),"")</f>
        <v>0</v>
      </c>
      <c r="R5" s="81">
        <f>IFERROR(INDEX(Inputs!$B$66:$B$71,MATCH(MONTH(Output!R3),Inputs!$D$66:$D$71,0))-INDEX(Inputs!$C$66:$C$71,MATCH(MONTH(Output!R3),Inputs!$D$66:$D$71,0)),"")</f>
        <v>0</v>
      </c>
      <c r="S5" s="81">
        <f>IFERROR(INDEX(Inputs!$B$66:$B$71,MATCH(MONTH(Output!S3),Inputs!$D$66:$D$71,0))-INDEX(Inputs!$C$66:$C$71,MATCH(MONTH(Output!S3),Inputs!$D$66:$D$71,0)),"")</f>
        <v>0</v>
      </c>
      <c r="T5" s="81">
        <f>IFERROR(INDEX(Inputs!$B$66:$B$71,MATCH(MONTH(Output!T3),Inputs!$D$66:$D$71,0))-INDEX(Inputs!$C$66:$C$71,MATCH(MONTH(Output!T3),Inputs!$D$66:$D$71,0)),"")</f>
        <v>0</v>
      </c>
      <c r="U5" s="81">
        <f>IFERROR(INDEX(Inputs!$B$66:$B$71,MATCH(MONTH(Output!U3),Inputs!$D$66:$D$71,0))-INDEX(Inputs!$C$66:$C$71,MATCH(MONTH(Output!U3),Inputs!$D$66:$D$71,0)),"")</f>
        <v>0</v>
      </c>
      <c r="V5" s="81">
        <f>IFERROR(INDEX(Inputs!$B$66:$B$71,MATCH(MONTH(Output!V3),Inputs!$D$66:$D$71,0))-INDEX(Inputs!$C$66:$C$71,MATCH(MONTH(Output!V3),Inputs!$D$66:$D$71,0)),"")</f>
        <v>0</v>
      </c>
      <c r="W5" s="81">
        <f>IFERROR(INDEX(Inputs!$B$66:$B$71,MATCH(MONTH(Output!W3),Inputs!$D$66:$D$71,0))-INDEX(Inputs!$C$66:$C$71,MATCH(MONTH(Output!W3),Inputs!$D$66:$D$71,0)),"")</f>
        <v>0</v>
      </c>
      <c r="X5" s="81">
        <f>IFERROR(INDEX(Inputs!$B$66:$B$71,MATCH(MONTH(Output!X3),Inputs!$D$66:$D$71,0))-INDEX(Inputs!$C$66:$C$71,MATCH(MONTH(Output!X3),Inputs!$D$66:$D$71,0)),"")</f>
        <v>0</v>
      </c>
      <c r="Y5" s="81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10000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10000</v>
      </c>
      <c r="AA7" s="76">
        <f>SUM(B7:M7)</f>
        <v>10000</v>
      </c>
      <c r="AB7" s="76">
        <f>SUM(B7:Y7)</f>
        <v>10000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21347.105046247</v>
      </c>
      <c r="C9" s="81">
        <f>C4+C7-C8</f>
        <v>28475.335204834</v>
      </c>
      <c r="D9" s="81">
        <f>D4+D7-D8</f>
        <v>-17930.506063866</v>
      </c>
      <c r="E9" s="81">
        <f>E4+E7-E8</f>
        <v>-16430.506063866</v>
      </c>
      <c r="F9" s="81">
        <f>F4+F7-F8</f>
        <v>5164.251563783</v>
      </c>
      <c r="G9" s="81">
        <f>G4+G7-G8</f>
        <v>29248.874887659</v>
      </c>
      <c r="H9" s="81">
        <f>H4+H7-H8</f>
        <v>11347.105046247</v>
      </c>
      <c r="I9" s="81">
        <f>I4+I7-I8</f>
        <v>28475.335204834</v>
      </c>
      <c r="J9" s="81">
        <f>J4+J7-J8</f>
        <v>-17930.506063866</v>
      </c>
      <c r="K9" s="81">
        <f>K4+K7-K8</f>
        <v>-16430.506063866</v>
      </c>
      <c r="L9" s="81">
        <f>L4+L7-L8</f>
        <v>5164.251563783</v>
      </c>
      <c r="M9" s="81">
        <f>M4+M7-M8</f>
        <v>29248.874887659</v>
      </c>
      <c r="N9" s="81">
        <f>N4+N7-N8</f>
        <v>11347.105046247</v>
      </c>
      <c r="O9" s="81">
        <f>O4+O7-O8</f>
        <v>28475.335204834</v>
      </c>
      <c r="P9" s="81">
        <f>P4+P7-P8</f>
        <v>-17930.506063866</v>
      </c>
      <c r="Q9" s="81">
        <f>Q4+Q7-Q8</f>
        <v>-16430.506063866</v>
      </c>
      <c r="R9" s="81">
        <f>R4+R7-R8</f>
        <v>5164.251563783</v>
      </c>
      <c r="S9" s="81">
        <f>S4+S7-S8</f>
        <v>29248.874887659</v>
      </c>
      <c r="T9" s="81">
        <f>T4+T7-T8</f>
        <v>11347.105046247</v>
      </c>
      <c r="U9" s="81">
        <f>U4+U7-U8</f>
        <v>28475.335204834</v>
      </c>
      <c r="V9" s="81">
        <f>V4+V7-V8</f>
        <v>-17930.506063866</v>
      </c>
      <c r="W9" s="81">
        <f>W4+W7-W8</f>
        <v>-16430.506063866</v>
      </c>
      <c r="X9" s="81">
        <f>X4+X7-X8</f>
        <v>5164.251563783</v>
      </c>
      <c r="Y9" s="81">
        <f>Y4+Y7-Y8</f>
        <v>29248.874887659</v>
      </c>
      <c r="Z9" s="86">
        <f>SUMIF($B$11:$Y$11,"Yes",B9:Y9)</f>
        <v>21347.105046247</v>
      </c>
      <c r="AA9" s="81">
        <f>SUM(B9:M9)</f>
        <v>89749.109149584</v>
      </c>
      <c r="AB9" s="46">
        <f>SUM(B9:Y9)</f>
        <v>169498.21829917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 t="str">
        <f>IF(Calculations!A4&lt;&gt;Parameters!$A$18,IF(Calculations!A4=0,"",Calculations!A4),Inputs!B7)</f>
        <v>Maize</v>
      </c>
      <c r="B16" s="36">
        <f>N16</f>
        <v>39292.611110113</v>
      </c>
      <c r="C16" s="36">
        <f>O16</f>
        <v>44905.8412687</v>
      </c>
      <c r="D16" s="36">
        <f>P16</f>
        <v>0</v>
      </c>
      <c r="E16" s="36">
        <f>Q16</f>
        <v>0</v>
      </c>
      <c r="F16" s="36">
        <f>R16</f>
        <v>28066.150792938</v>
      </c>
      <c r="G16" s="36">
        <f>S16</f>
        <v>33679.380951525</v>
      </c>
      <c r="H16" s="36">
        <f>T16</f>
        <v>39292.611110113</v>
      </c>
      <c r="I16" s="36">
        <f>U16</f>
        <v>44905.8412687</v>
      </c>
      <c r="J16" s="36">
        <f>V16</f>
        <v>0</v>
      </c>
      <c r="K16" s="36">
        <f>W16</f>
        <v>0</v>
      </c>
      <c r="L16" s="36">
        <f>X16</f>
        <v>28066.150792938</v>
      </c>
      <c r="M16" s="36">
        <f>Y16</f>
        <v>33679.380951525</v>
      </c>
      <c r="N16" s="36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39292.611110113</v>
      </c>
      <c r="O16" s="36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44905.8412687</v>
      </c>
      <c r="P16" s="36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28066.150792938</v>
      </c>
      <c r="S16" s="36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33679.380951525</v>
      </c>
      <c r="T16" s="36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39292.611110113</v>
      </c>
      <c r="U16" s="36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44905.8412687</v>
      </c>
      <c r="V16" s="36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28066.150792938</v>
      </c>
      <c r="Y16" s="36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33679.380951525</v>
      </c>
      <c r="Z16" s="36">
        <f>SUMIF($B$11:$Y$11,"Yes",B16:Y16)</f>
        <v>39292.611110113</v>
      </c>
      <c r="AA16" s="36">
        <f>SUM(B16:M16)</f>
        <v>291887.96824655</v>
      </c>
      <c r="AB16" s="36">
        <f>SUM(B16:Y16)</f>
        <v>583775.9364931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0</v>
      </c>
    </row>
    <row r="22" spans="1:30">
      <c r="A22" s="43" t="str">
        <f>IF(Inputs!A19="","",IF(Inputs!A19=Parameters!$A$30,Inputs!B19,Inputs!A19))</f>
        <v/>
      </c>
      <c r="B22" s="36" t="str">
        <f>IFERROR(Calculations!$P14/12,"")</f>
        <v/>
      </c>
      <c r="C22" s="36" t="str">
        <f>IFERROR(Calculations!$P14/12,"")</f>
        <v/>
      </c>
      <c r="D22" s="36" t="str">
        <f>IFERROR(Calculations!$P14/12,"")</f>
        <v/>
      </c>
      <c r="E22" s="36" t="str">
        <f>IFERROR(Calculations!$P14/12,"")</f>
        <v/>
      </c>
      <c r="F22" s="36" t="str">
        <f>IFERROR(Calculations!$P14/12,"")</f>
        <v/>
      </c>
      <c r="G22" s="36" t="str">
        <f>IFERROR(Calculations!$P14/12,"")</f>
        <v/>
      </c>
      <c r="H22" s="36" t="str">
        <f>IFERROR(Calculations!$P14/12,"")</f>
        <v/>
      </c>
      <c r="I22" s="36" t="str">
        <f>IFERROR(Calculations!$P14/12,"")</f>
        <v/>
      </c>
      <c r="J22" s="36" t="str">
        <f>IFERROR(Calculations!$P14/12,"")</f>
        <v/>
      </c>
      <c r="K22" s="36" t="str">
        <f>IFERROR(Calculations!$P14/12,"")</f>
        <v/>
      </c>
      <c r="L22" s="36" t="str">
        <f>IFERROR(Calculations!$P14/12,"")</f>
        <v/>
      </c>
      <c r="M22" s="36" t="str">
        <f>IFERROR(Calculations!$P14/12,"")</f>
        <v/>
      </c>
      <c r="N22" s="36" t="str">
        <f>IFERROR(Calculations!$P14/12,"")</f>
        <v/>
      </c>
      <c r="O22" s="36" t="str">
        <f>IFERROR(Calculations!$P14/12,"")</f>
        <v/>
      </c>
      <c r="P22" s="36" t="str">
        <f>IFERROR(Calculations!$P14/12,"")</f>
        <v/>
      </c>
      <c r="Q22" s="36" t="str">
        <f>IFERROR(Calculations!$P14/12,"")</f>
        <v/>
      </c>
      <c r="R22" s="36" t="str">
        <f>IFERROR(Calculations!$P14/12,"")</f>
        <v/>
      </c>
      <c r="S22" s="36" t="str">
        <f>IFERROR(Calculations!$P14/12,"")</f>
        <v/>
      </c>
      <c r="T22" s="36" t="str">
        <f>IFERROR(Calculations!$P14/12,"")</f>
        <v/>
      </c>
      <c r="U22" s="36" t="str">
        <f>IFERROR(Calculations!$P14/12,"")</f>
        <v/>
      </c>
      <c r="V22" s="36" t="str">
        <f>IFERROR(Calculations!$P14/12,"")</f>
        <v/>
      </c>
      <c r="W22" s="36" t="str">
        <f>IFERROR(Calculations!$P14/12,"")</f>
        <v/>
      </c>
      <c r="X22" s="36" t="str">
        <f>IFERROR(Calculations!$P14/12,"")</f>
        <v/>
      </c>
      <c r="Y22" s="36" t="str">
        <f>IFERROR(Calculations!$P14/12,"")</f>
        <v/>
      </c>
      <c r="Z22" s="36">
        <f>SUMIF($B$11:$Y$11,"Yes",B22:Y22)</f>
        <v>0</v>
      </c>
      <c r="AA22" s="36">
        <f>SUM(B22:M22)</f>
        <v>0</v>
      </c>
      <c r="AB22" s="46">
        <f>SUM(B22:Y22)</f>
        <v>0</v>
      </c>
    </row>
    <row r="23" spans="1:30">
      <c r="A23" s="43" t="str">
        <f>IF(Inputs!A20="","",IF(Inputs!A20=Parameters!$A$30,Inputs!B20,Inputs!A20))</f>
        <v/>
      </c>
      <c r="B23" s="36" t="str">
        <f>IFERROR(Calculations!$P15/12,"")</f>
        <v/>
      </c>
      <c r="C23" s="36" t="str">
        <f>IFERROR(Calculations!$P15/12,"")</f>
        <v/>
      </c>
      <c r="D23" s="36" t="str">
        <f>IFERROR(Calculations!$P15/12,"")</f>
        <v/>
      </c>
      <c r="E23" s="36" t="str">
        <f>IFERROR(Calculations!$P15/12,"")</f>
        <v/>
      </c>
      <c r="F23" s="36" t="str">
        <f>IFERROR(Calculations!$P15/12,"")</f>
        <v/>
      </c>
      <c r="G23" s="36" t="str">
        <f>IFERROR(Calculations!$P15/12,"")</f>
        <v/>
      </c>
      <c r="H23" s="36" t="str">
        <f>IFERROR(Calculations!$P15/12,"")</f>
        <v/>
      </c>
      <c r="I23" s="36" t="str">
        <f>IFERROR(Calculations!$P15/12,"")</f>
        <v/>
      </c>
      <c r="J23" s="36" t="str">
        <f>IFERROR(Calculations!$P15/12,"")</f>
        <v/>
      </c>
      <c r="K23" s="36" t="str">
        <f>IFERROR(Calculations!$P15/12,"")</f>
        <v/>
      </c>
      <c r="L23" s="36" t="str">
        <f>IFERROR(Calculations!$P15/12,"")</f>
        <v/>
      </c>
      <c r="M23" s="36" t="str">
        <f>IFERROR(Calculations!$P15/12,"")</f>
        <v/>
      </c>
      <c r="N23" s="36" t="str">
        <f>IFERROR(Calculations!$P15/12,"")</f>
        <v/>
      </c>
      <c r="O23" s="36" t="str">
        <f>IFERROR(Calculations!$P15/12,"")</f>
        <v/>
      </c>
      <c r="P23" s="36" t="str">
        <f>IFERROR(Calculations!$P15/12,"")</f>
        <v/>
      </c>
      <c r="Q23" s="36" t="str">
        <f>IFERROR(Calculations!$P15/12,"")</f>
        <v/>
      </c>
      <c r="R23" s="36" t="str">
        <f>IFERROR(Calculations!$P15/12,"")</f>
        <v/>
      </c>
      <c r="S23" s="36" t="str">
        <f>IFERROR(Calculations!$P15/12,"")</f>
        <v/>
      </c>
      <c r="T23" s="36" t="str">
        <f>IFERROR(Calculations!$P15/12,"")</f>
        <v/>
      </c>
      <c r="U23" s="36" t="str">
        <f>IFERROR(Calculations!$P15/12,"")</f>
        <v/>
      </c>
      <c r="V23" s="36" t="str">
        <f>IFERROR(Calculations!$P15/12,"")</f>
        <v/>
      </c>
      <c r="W23" s="36" t="str">
        <f>IFERROR(Calculations!$P15/12,"")</f>
        <v/>
      </c>
      <c r="X23" s="36" t="str">
        <f>IFERROR(Calculations!$P15/12,"")</f>
        <v/>
      </c>
      <c r="Y23" s="36" t="str">
        <f>IFERROR(Calculations!$P15/12,"")</f>
        <v/>
      </c>
      <c r="Z23" s="36">
        <f>SUMIF($B$11:$Y$11,"Yes",B23:Y23)</f>
        <v>0</v>
      </c>
      <c r="AA23" s="36">
        <f>SUM(B23:M23)</f>
        <v>0</v>
      </c>
      <c r="AB23" s="46">
        <f>SUM(B23:Y23)</f>
        <v>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/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39292.611110113</v>
      </c>
      <c r="C28" s="19">
        <f>SUM(C16:C27)</f>
        <v>44905.8412687</v>
      </c>
      <c r="D28" s="19">
        <f>SUM(D16:D27)</f>
        <v>0</v>
      </c>
      <c r="E28" s="19">
        <f>SUM(E16:E27)</f>
        <v>0</v>
      </c>
      <c r="F28" s="19">
        <f>SUM(F16:F27)</f>
        <v>28066.150792938</v>
      </c>
      <c r="G28" s="19">
        <f>SUM(G16:G27)</f>
        <v>33679.380951525</v>
      </c>
      <c r="H28" s="19">
        <f>SUM(H16:H27)</f>
        <v>39292.611110113</v>
      </c>
      <c r="I28" s="19">
        <f>SUM(I16:I27)</f>
        <v>44905.8412687</v>
      </c>
      <c r="J28" s="19">
        <f>SUM(J16:J27)</f>
        <v>0</v>
      </c>
      <c r="K28" s="19">
        <f>SUM(K16:K27)</f>
        <v>0</v>
      </c>
      <c r="L28" s="19">
        <f>SUM(L16:L27)</f>
        <v>28066.150792938</v>
      </c>
      <c r="M28" s="19">
        <f>SUM(M16:M27)</f>
        <v>33679.380951525</v>
      </c>
      <c r="N28" s="19">
        <f>SUM(N16:N27)</f>
        <v>39292.611110113</v>
      </c>
      <c r="O28" s="19">
        <f>SUM(O16:O27)</f>
        <v>44905.8412687</v>
      </c>
      <c r="P28" s="19">
        <f>SUM(P16:P27)</f>
        <v>0</v>
      </c>
      <c r="Q28" s="19">
        <f>SUM(Q16:Q27)</f>
        <v>0</v>
      </c>
      <c r="R28" s="19">
        <f>SUM(R16:R27)</f>
        <v>28066.150792938</v>
      </c>
      <c r="S28" s="19">
        <f>SUM(S16:S27)</f>
        <v>33679.380951525</v>
      </c>
      <c r="T28" s="19">
        <f>SUM(T16:T27)</f>
        <v>39292.611110113</v>
      </c>
      <c r="U28" s="19">
        <f>SUM(U16:U27)</f>
        <v>44905.8412687</v>
      </c>
      <c r="V28" s="19">
        <f>SUM(V16:V27)</f>
        <v>0</v>
      </c>
      <c r="W28" s="19">
        <f>SUM(W16:W27)</f>
        <v>0</v>
      </c>
      <c r="X28" s="19">
        <f>SUM(X16:X27)</f>
        <v>28066.150792938</v>
      </c>
      <c r="Y28" s="19">
        <f>SUM(Y16:Y27)</f>
        <v>33679.380951525</v>
      </c>
      <c r="Z28" s="19">
        <f>SUMIF($B$11:$Y$11,"Yes",B28:Y28)</f>
        <v>39292.611110113</v>
      </c>
      <c r="AA28" s="19">
        <f>SUM(B28:M28)</f>
        <v>291887.96824655</v>
      </c>
      <c r="AB28" s="19">
        <f>SUM(B28:Y28)</f>
        <v>583775.9364931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10000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0</v>
      </c>
      <c r="H34" s="36">
        <f>T34</f>
        <v>10000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0</v>
      </c>
      <c r="N34" s="36">
        <f>SUM(N35:N39)</f>
        <v>10000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0</v>
      </c>
      <c r="T34" s="36">
        <f>SUM(T35:T39)</f>
        <v>10000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0</v>
      </c>
      <c r="Z34" s="36">
        <f>SUMIF($B$11:$Y$11,"Yes",B34:Y34)</f>
        <v>10000</v>
      </c>
      <c r="AA34" s="36">
        <f>SUM(B34:M34)</f>
        <v>20000</v>
      </c>
      <c r="AB34" s="36">
        <f>SUM(B34:Y34)</f>
        <v>40000</v>
      </c>
      <c r="AC34" s="74"/>
    </row>
    <row r="35" spans="1:30" hidden="true" outlineLevel="1">
      <c r="A35" s="183" t="str">
        <f>Calculations!$A$4</f>
        <v>Maize</v>
      </c>
      <c r="B35" s="36">
        <f>N35</f>
        <v>10000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10000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10000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10000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10000</v>
      </c>
      <c r="AA35" s="36">
        <f>SUM(B35:M35)</f>
        <v>20000</v>
      </c>
      <c r="AB35" s="36">
        <f>SUM(B35:Y35)</f>
        <v>40000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1515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1515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1515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1515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1515</v>
      </c>
      <c r="AA40" s="36">
        <f>SUM(B40:M40)</f>
        <v>3030</v>
      </c>
      <c r="AB40" s="36">
        <f>SUM(B40:Y40)</f>
        <v>6060</v>
      </c>
    </row>
    <row r="41" spans="1:30" hidden="true" outlineLevel="1">
      <c r="A41" s="183" t="str">
        <f>Calculations!$A$4</f>
        <v>Maize</v>
      </c>
      <c r="B41" s="36">
        <f>N41</f>
        <v>1515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1515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1515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1515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1515</v>
      </c>
      <c r="AA41" s="36">
        <f>SUM(B41:M41)</f>
        <v>3030</v>
      </c>
      <c r="AB41" s="36">
        <f>SUM(B41:Y41)</f>
        <v>6060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1500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1500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1500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1500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3000</v>
      </c>
      <c r="AB46" s="46">
        <f>SUM(B46:Y46)</f>
        <v>6000</v>
      </c>
    </row>
    <row r="47" spans="1:30" hidden="true" outlineLevel="1">
      <c r="A47" s="183" t="str">
        <f>Calculations!$A$4</f>
        <v>Maize</v>
      </c>
      <c r="B47" s="36">
        <f>N47</f>
        <v>0</v>
      </c>
      <c r="C47" s="36">
        <f>O47</f>
        <v>0</v>
      </c>
      <c r="D47" s="36">
        <f>P47</f>
        <v>1500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1500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1500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1500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3000</v>
      </c>
      <c r="AB47" s="46">
        <f>SUM(B47:Y47)</f>
        <v>6000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6471.3931652889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6471.3931652889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6471.3931652889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6471.3931652889</v>
      </c>
      <c r="Y52" s="46">
        <f>SUM(Y53:Y57)</f>
        <v>0</v>
      </c>
      <c r="Z52" s="46">
        <f>SUMIF($B$11:$Y$11,"Yes",B52:Y52)</f>
        <v>0</v>
      </c>
      <c r="AA52" s="46">
        <f>SUM(B52:M52)</f>
        <v>12942.786330578</v>
      </c>
      <c r="AB52" s="46">
        <f>SUM(B52:Y52)</f>
        <v>25885.572661155</v>
      </c>
    </row>
    <row r="53" spans="1:30" hidden="true" outlineLevel="1">
      <c r="A53" s="183" t="str">
        <f>Calculations!$A$4</f>
        <v>Maize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6471.3931652889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6471.3931652889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6471.3931652889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6471.3931652889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12942.786330578</v>
      </c>
      <c r="AB53" s="46">
        <f>SUM(B53:Y53)</f>
        <v>25885.572661155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 t="str">
        <f>Calculations!$A$4</f>
        <v>Maize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12000</v>
      </c>
      <c r="C64" s="36">
        <f>O64</f>
        <v>12000</v>
      </c>
      <c r="D64" s="36">
        <f>P64</f>
        <v>12000</v>
      </c>
      <c r="E64" s="36">
        <f>Q64</f>
        <v>12000</v>
      </c>
      <c r="F64" s="36">
        <f>R64</f>
        <v>12000</v>
      </c>
      <c r="G64" s="36">
        <f>S64</f>
        <v>0</v>
      </c>
      <c r="H64" s="36">
        <f>T64</f>
        <v>12000</v>
      </c>
      <c r="I64" s="36">
        <f>U64</f>
        <v>12000</v>
      </c>
      <c r="J64" s="36">
        <f>V64</f>
        <v>12000</v>
      </c>
      <c r="K64" s="36">
        <f>W64</f>
        <v>12000</v>
      </c>
      <c r="L64" s="36">
        <f>X64</f>
        <v>12000</v>
      </c>
      <c r="M64" s="36">
        <f>Y64</f>
        <v>0</v>
      </c>
      <c r="N64" s="46">
        <f>SUM(N65:N69)</f>
        <v>12000</v>
      </c>
      <c r="O64" s="46">
        <f>SUM(O65:O69)</f>
        <v>12000</v>
      </c>
      <c r="P64" s="46">
        <f>SUM(P65:P69)</f>
        <v>12000</v>
      </c>
      <c r="Q64" s="46">
        <f>SUM(Q65:Q69)</f>
        <v>12000</v>
      </c>
      <c r="R64" s="46">
        <f>SUM(R65:R69)</f>
        <v>12000</v>
      </c>
      <c r="S64" s="46">
        <f>SUM(S65:S69)</f>
        <v>0</v>
      </c>
      <c r="T64" s="46">
        <f>SUM(T65:T69)</f>
        <v>12000</v>
      </c>
      <c r="U64" s="46">
        <f>SUM(U65:U69)</f>
        <v>12000</v>
      </c>
      <c r="V64" s="46">
        <f>SUM(V65:V69)</f>
        <v>12000</v>
      </c>
      <c r="W64" s="46">
        <f>SUM(W65:W69)</f>
        <v>12000</v>
      </c>
      <c r="X64" s="46">
        <f>SUM(X65:X69)</f>
        <v>12000</v>
      </c>
      <c r="Y64" s="46">
        <f>SUM(Y65:Y69)</f>
        <v>0</v>
      </c>
      <c r="Z64" s="46">
        <f>SUMIF($B$11:$Y$11,"Yes",B64:Y64)</f>
        <v>12000</v>
      </c>
      <c r="AA64" s="46">
        <f>SUM(B64:M64)</f>
        <v>120000</v>
      </c>
      <c r="AB64" s="46">
        <f>SUM(B64:Y64)</f>
        <v>240000</v>
      </c>
    </row>
    <row r="65" spans="1:30" hidden="true" outlineLevel="1">
      <c r="A65" s="183" t="str">
        <f>Calculations!$A$4</f>
        <v>Maize</v>
      </c>
      <c r="B65" s="36">
        <f>N65</f>
        <v>12000</v>
      </c>
      <c r="C65" s="36">
        <f>O65</f>
        <v>12000</v>
      </c>
      <c r="D65" s="36">
        <f>P65</f>
        <v>12000</v>
      </c>
      <c r="E65" s="36">
        <f>Q65</f>
        <v>12000</v>
      </c>
      <c r="F65" s="36">
        <f>R65</f>
        <v>12000</v>
      </c>
      <c r="G65" s="36">
        <f>S65</f>
        <v>0</v>
      </c>
      <c r="H65" s="36">
        <f>T65</f>
        <v>12000</v>
      </c>
      <c r="I65" s="36">
        <f>U65</f>
        <v>12000</v>
      </c>
      <c r="J65" s="36">
        <f>V65</f>
        <v>12000</v>
      </c>
      <c r="K65" s="36">
        <f>W65</f>
        <v>12000</v>
      </c>
      <c r="L65" s="36">
        <f>X65</f>
        <v>12000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12000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12000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12000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12000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12000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12000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12000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12000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12000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12000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12000</v>
      </c>
      <c r="AA65" s="46">
        <f>SUM(B65:M65)</f>
        <v>120000</v>
      </c>
      <c r="AB65" s="46">
        <f>SUM(B65:Y65)</f>
        <v>240000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0</v>
      </c>
      <c r="C72" s="46">
        <f>SUM(Calculations!$Q$14:$Q$16)/12</f>
        <v>0</v>
      </c>
      <c r="D72" s="46">
        <f>SUM(Calculations!$Q$14:$Q$16)/12</f>
        <v>0</v>
      </c>
      <c r="E72" s="46">
        <f>SUM(Calculations!$Q$14:$Q$16)/12</f>
        <v>0</v>
      </c>
      <c r="F72" s="46">
        <f>SUM(Calculations!$Q$14:$Q$16)/12</f>
        <v>0</v>
      </c>
      <c r="G72" s="46">
        <f>SUM(Calculations!$Q$14:$Q$16)/12</f>
        <v>0</v>
      </c>
      <c r="H72" s="46">
        <f>SUM(Calculations!$Q$14:$Q$16)/12</f>
        <v>0</v>
      </c>
      <c r="I72" s="46">
        <f>SUM(Calculations!$Q$14:$Q$16)/12</f>
        <v>0</v>
      </c>
      <c r="J72" s="46">
        <f>SUM(Calculations!$Q$14:$Q$16)/12</f>
        <v>0</v>
      </c>
      <c r="K72" s="46">
        <f>SUM(Calculations!$Q$14:$Q$16)/12</f>
        <v>0</v>
      </c>
      <c r="L72" s="46">
        <f>SUM(Calculations!$Q$14:$Q$16)/12</f>
        <v>0</v>
      </c>
      <c r="M72" s="46">
        <f>SUM(Calculations!$Q$14:$Q$16)/12</f>
        <v>0</v>
      </c>
      <c r="N72" s="46">
        <f>SUM(Calculations!$Q$14:$Q$16)/12</f>
        <v>0</v>
      </c>
      <c r="O72" s="46">
        <f>SUM(Calculations!$Q$14:$Q$16)/12</f>
        <v>0</v>
      </c>
      <c r="P72" s="46">
        <f>SUM(Calculations!$Q$14:$Q$16)/12</f>
        <v>0</v>
      </c>
      <c r="Q72" s="46">
        <f>SUM(Calculations!$Q$14:$Q$16)/12</f>
        <v>0</v>
      </c>
      <c r="R72" s="46">
        <f>SUM(Calculations!$Q$14:$Q$16)/12</f>
        <v>0</v>
      </c>
      <c r="S72" s="46">
        <f>SUM(Calculations!$Q$14:$Q$16)/12</f>
        <v>0</v>
      </c>
      <c r="T72" s="46">
        <f>SUM(Calculations!$Q$14:$Q$16)/12</f>
        <v>0</v>
      </c>
      <c r="U72" s="46">
        <f>SUM(Calculations!$Q$14:$Q$16)/12</f>
        <v>0</v>
      </c>
      <c r="V72" s="46">
        <f>SUM(Calculations!$Q$14:$Q$16)/12</f>
        <v>0</v>
      </c>
      <c r="W72" s="46">
        <f>SUM(Calculations!$Q$14:$Q$16)/12</f>
        <v>0</v>
      </c>
      <c r="X72" s="46">
        <f>SUM(Calculations!$Q$14:$Q$16)/12</f>
        <v>0</v>
      </c>
      <c r="Y72" s="46">
        <f>SUM(Calculations!$Q$14:$Q$16)/12</f>
        <v>0</v>
      </c>
      <c r="Z72" s="46">
        <f>SUMIF($B$11:$Y$11,"Yes",B72:Y72)</f>
        <v>0</v>
      </c>
      <c r="AA72" s="46">
        <f>SUM(B72:M72)</f>
        <v>0</v>
      </c>
      <c r="AB72" s="46">
        <f>SUM(B72:Y72)</f>
        <v>0</v>
      </c>
    </row>
    <row r="73" spans="1:30">
      <c r="A73" s="16" t="s">
        <v>44</v>
      </c>
      <c r="B73" s="46">
        <f>SUM(Calculations!$R$14:$R$16)/12</f>
        <v>0</v>
      </c>
      <c r="C73" s="46">
        <f>SUM(Calculations!$R$14:$R$16)/12</f>
        <v>0</v>
      </c>
      <c r="D73" s="46">
        <f>SUM(Calculations!$R$14:$R$16)/12</f>
        <v>0</v>
      </c>
      <c r="E73" s="46">
        <f>SUM(Calculations!$R$14:$R$16)/12</f>
        <v>0</v>
      </c>
      <c r="F73" s="46">
        <f>SUM(Calculations!$R$14:$R$16)/12</f>
        <v>0</v>
      </c>
      <c r="G73" s="46">
        <f>SUM(Calculations!$R$14:$R$16)/12</f>
        <v>0</v>
      </c>
      <c r="H73" s="46">
        <f>SUM(Calculations!$R$14:$R$16)/12</f>
        <v>0</v>
      </c>
      <c r="I73" s="46">
        <f>SUM(Calculations!$R$14:$R$16)/12</f>
        <v>0</v>
      </c>
      <c r="J73" s="46">
        <f>SUM(Calculations!$R$14:$R$16)/12</f>
        <v>0</v>
      </c>
      <c r="K73" s="46">
        <f>SUM(Calculations!$R$14:$R$16)/12</f>
        <v>0</v>
      </c>
      <c r="L73" s="46">
        <f>SUM(Calculations!$R$14:$R$16)/12</f>
        <v>0</v>
      </c>
      <c r="M73" s="46">
        <f>SUM(Calculations!$R$14:$R$16)/12</f>
        <v>0</v>
      </c>
      <c r="N73" s="46">
        <f>SUM(Calculations!$R$14:$R$16)/12</f>
        <v>0</v>
      </c>
      <c r="O73" s="46">
        <f>SUM(Calculations!$R$14:$R$16)/12</f>
        <v>0</v>
      </c>
      <c r="P73" s="46">
        <f>SUM(Calculations!$R$14:$R$16)/12</f>
        <v>0</v>
      </c>
      <c r="Q73" s="46">
        <f>SUM(Calculations!$R$14:$R$16)/12</f>
        <v>0</v>
      </c>
      <c r="R73" s="46">
        <f>SUM(Calculations!$R$14:$R$16)/12</f>
        <v>0</v>
      </c>
      <c r="S73" s="46">
        <f>SUM(Calculations!$R$14:$R$16)/12</f>
        <v>0</v>
      </c>
      <c r="T73" s="46">
        <f>SUM(Calculations!$R$14:$R$16)/12</f>
        <v>0</v>
      </c>
      <c r="U73" s="46">
        <f>SUM(Calculations!$R$14:$R$16)/12</f>
        <v>0</v>
      </c>
      <c r="V73" s="46">
        <f>SUM(Calculations!$R$14:$R$16)/12</f>
        <v>0</v>
      </c>
      <c r="W73" s="46">
        <f>SUM(Calculations!$R$14:$R$16)/12</f>
        <v>0</v>
      </c>
      <c r="X73" s="46">
        <f>SUM(Calculations!$R$14:$R$16)/12</f>
        <v>0</v>
      </c>
      <c r="Y73" s="46">
        <f>SUM(Calculations!$R$14:$R$16)/12</f>
        <v>0</v>
      </c>
      <c r="Z73" s="46">
        <f>SUMIF($B$11:$Y$11,"Yes",B73:Y73)</f>
        <v>0</v>
      </c>
      <c r="AA73" s="46">
        <f>SUM(B73:M73)</f>
        <v>0</v>
      </c>
      <c r="AB73" s="46">
        <f>SUM(B73:Y73)</f>
        <v>0</v>
      </c>
    </row>
    <row r="74" spans="1:30">
      <c r="A74" s="16" t="s">
        <v>45</v>
      </c>
      <c r="B74" s="46">
        <f>SUM(Calculations!$S$14:$S$16)/12</f>
        <v>0</v>
      </c>
      <c r="C74" s="46">
        <f>SUM(Calculations!$S$14:$S$16)/12</f>
        <v>0</v>
      </c>
      <c r="D74" s="46">
        <f>SUM(Calculations!$S$14:$S$16)/12</f>
        <v>0</v>
      </c>
      <c r="E74" s="46">
        <f>SUM(Calculations!$S$14:$S$16)/12</f>
        <v>0</v>
      </c>
      <c r="F74" s="46">
        <f>SUM(Calculations!$S$14:$S$16)/12</f>
        <v>0</v>
      </c>
      <c r="G74" s="46">
        <f>SUM(Calculations!$S$14:$S$16)/12</f>
        <v>0</v>
      </c>
      <c r="H74" s="46">
        <f>SUM(Calculations!$S$14:$S$16)/12</f>
        <v>0</v>
      </c>
      <c r="I74" s="46">
        <f>SUM(Calculations!$S$14:$S$16)/12</f>
        <v>0</v>
      </c>
      <c r="J74" s="46">
        <f>SUM(Calculations!$S$14:$S$16)/12</f>
        <v>0</v>
      </c>
      <c r="K74" s="46">
        <f>SUM(Calculations!$S$14:$S$16)/12</f>
        <v>0</v>
      </c>
      <c r="L74" s="46">
        <f>SUM(Calculations!$S$14:$S$16)/12</f>
        <v>0</v>
      </c>
      <c r="M74" s="46">
        <f>SUM(Calculations!$S$14:$S$16)/12</f>
        <v>0</v>
      </c>
      <c r="N74" s="46">
        <f>SUM(Calculations!$S$14:$S$16)/12</f>
        <v>0</v>
      </c>
      <c r="O74" s="46">
        <f>SUM(Calculations!$S$14:$S$16)/12</f>
        <v>0</v>
      </c>
      <c r="P74" s="46">
        <f>SUM(Calculations!$S$14:$S$16)/12</f>
        <v>0</v>
      </c>
      <c r="Q74" s="46">
        <f>SUM(Calculations!$S$14:$S$16)/12</f>
        <v>0</v>
      </c>
      <c r="R74" s="46">
        <f>SUM(Calculations!$S$14:$S$16)/12</f>
        <v>0</v>
      </c>
      <c r="S74" s="46">
        <f>SUM(Calculations!$S$14:$S$16)/12</f>
        <v>0</v>
      </c>
      <c r="T74" s="46">
        <f>SUM(Calculations!$S$14:$S$16)/12</f>
        <v>0</v>
      </c>
      <c r="U74" s="46">
        <f>SUM(Calculations!$S$14:$S$16)/12</f>
        <v>0</v>
      </c>
      <c r="V74" s="46">
        <f>SUM(Calculations!$S$14:$S$16)/12</f>
        <v>0</v>
      </c>
      <c r="W74" s="46">
        <f>SUM(Calculations!$S$14:$S$16)/12</f>
        <v>0</v>
      </c>
      <c r="X74" s="46">
        <f>SUM(Calculations!$S$14:$S$16)/12</f>
        <v>0</v>
      </c>
      <c r="Y74" s="46">
        <f>SUM(Calculations!$S$14:$S$16)/12</f>
        <v>0</v>
      </c>
      <c r="Z74" s="46">
        <f>SUMIF($B$11:$Y$11,"Yes",B74:Y74)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4430.5060638658</v>
      </c>
      <c r="C79" s="46">
        <f>(SUM($AA$16:$AA$27)-SUM($AA$34,$AA$40,$AA$46,$AA$52,$AA$58,$AA$64,$AA$70:$AA$77))*Parameters!$B$37/12</f>
        <v>4430.5060638658</v>
      </c>
      <c r="D79" s="46">
        <f>(SUM($AA$16:$AA$27)-SUM($AA$34,$AA$40,$AA$46,$AA$52,$AA$58,$AA$64,$AA$70:$AA$77))*Parameters!$B$37/12</f>
        <v>4430.5060638658</v>
      </c>
      <c r="E79" s="46">
        <f>(SUM($AA$16:$AA$27)-SUM($AA$34,$AA$40,$AA$46,$AA$52,$AA$58,$AA$64,$AA$70:$AA$77))*Parameters!$B$37/12</f>
        <v>4430.5060638658</v>
      </c>
      <c r="F79" s="46">
        <f>(SUM($AA$16:$AA$27)-SUM($AA$34,$AA$40,$AA$46,$AA$52,$AA$58,$AA$64,$AA$70:$AA$77))*Parameters!$B$37/12</f>
        <v>4430.5060638658</v>
      </c>
      <c r="G79" s="46">
        <f>(SUM($AA$16:$AA$27)-SUM($AA$34,$AA$40,$AA$46,$AA$52,$AA$58,$AA$64,$AA$70:$AA$77))*Parameters!$B$37/12</f>
        <v>4430.5060638658</v>
      </c>
      <c r="H79" s="46">
        <f>(SUM($AA$16:$AA$27)-SUM($AA$34,$AA$40,$AA$46,$AA$52,$AA$58,$AA$64,$AA$70:$AA$77))*Parameters!$B$37/12</f>
        <v>4430.5060638658</v>
      </c>
      <c r="I79" s="46">
        <f>(SUM($AA$16:$AA$27)-SUM($AA$34,$AA$40,$AA$46,$AA$52,$AA$58,$AA$64,$AA$70:$AA$77))*Parameters!$B$37/12</f>
        <v>4430.5060638658</v>
      </c>
      <c r="J79" s="46">
        <f>(SUM($AA$16:$AA$27)-SUM($AA$34,$AA$40,$AA$46,$AA$52,$AA$58,$AA$64,$AA$70:$AA$77))*Parameters!$B$37/12</f>
        <v>4430.5060638658</v>
      </c>
      <c r="K79" s="46">
        <f>(SUM($AA$16:$AA$27)-SUM($AA$34,$AA$40,$AA$46,$AA$52,$AA$58,$AA$64,$AA$70:$AA$77))*Parameters!$B$37/12</f>
        <v>4430.5060638658</v>
      </c>
      <c r="L79" s="46">
        <f>(SUM($AA$16:$AA$27)-SUM($AA$34,$AA$40,$AA$46,$AA$52,$AA$58,$AA$64,$AA$70:$AA$77))*Parameters!$B$37/12</f>
        <v>4430.5060638658</v>
      </c>
      <c r="M79" s="46">
        <f>(SUM($AA$16:$AA$27)-SUM($AA$34,$AA$40,$AA$46,$AA$52,$AA$58,$AA$64,$AA$70:$AA$77))*Parameters!$B$37/12</f>
        <v>4430.5060638658</v>
      </c>
      <c r="N79" s="46">
        <f>(SUM($AA$16:$AA$27)-SUM($AA$34,$AA$40,$AA$46,$AA$52,$AA$58,$AA$64,$AA$70:$AA$77))*Parameters!$B$37/12</f>
        <v>4430.5060638658</v>
      </c>
      <c r="O79" s="46">
        <f>(SUM($AA$16:$AA$27)-SUM($AA$34,$AA$40,$AA$46,$AA$52,$AA$58,$AA$64,$AA$70:$AA$77))*Parameters!$B$37/12</f>
        <v>4430.5060638658</v>
      </c>
      <c r="P79" s="46">
        <f>(SUM($AA$16:$AA$27)-SUM($AA$34,$AA$40,$AA$46,$AA$52,$AA$58,$AA$64,$AA$70:$AA$77))*Parameters!$B$37/12</f>
        <v>4430.5060638658</v>
      </c>
      <c r="Q79" s="46">
        <f>(SUM($AA$16:$AA$27)-SUM($AA$34,$AA$40,$AA$46,$AA$52,$AA$58,$AA$64,$AA$70:$AA$77))*Parameters!$B$37/12</f>
        <v>4430.5060638658</v>
      </c>
      <c r="R79" s="46">
        <f>(SUM($AA$16:$AA$27)-SUM($AA$34,$AA$40,$AA$46,$AA$52,$AA$58,$AA$64,$AA$70:$AA$77))*Parameters!$B$37/12</f>
        <v>4430.5060638658</v>
      </c>
      <c r="S79" s="46">
        <f>(SUM($AA$16:$AA$27)-SUM($AA$34,$AA$40,$AA$46,$AA$52,$AA$58,$AA$64,$AA$70:$AA$77))*Parameters!$B$37/12</f>
        <v>4430.5060638658</v>
      </c>
      <c r="T79" s="46">
        <f>(SUM($AA$16:$AA$27)-SUM($AA$34,$AA$40,$AA$46,$AA$52,$AA$58,$AA$64,$AA$70:$AA$77))*Parameters!$B$37/12</f>
        <v>4430.5060638658</v>
      </c>
      <c r="U79" s="46">
        <f>(SUM($AA$16:$AA$27)-SUM($AA$34,$AA$40,$AA$46,$AA$52,$AA$58,$AA$64,$AA$70:$AA$77))*Parameters!$B$37/12</f>
        <v>4430.5060638658</v>
      </c>
      <c r="V79" s="46">
        <f>(SUM($AA$16:$AA$27)-SUM($AA$34,$AA$40,$AA$46,$AA$52,$AA$58,$AA$64,$AA$70:$AA$77))*Parameters!$B$37/12</f>
        <v>4430.5060638658</v>
      </c>
      <c r="W79" s="46">
        <f>(SUM($AA$16:$AA$27)-SUM($AA$34,$AA$40,$AA$46,$AA$52,$AA$58,$AA$64,$AA$70:$AA$77))*Parameters!$B$37/12</f>
        <v>4430.5060638658</v>
      </c>
      <c r="X79" s="46">
        <f>(SUM($AA$16:$AA$27)-SUM($AA$34,$AA$40,$AA$46,$AA$52,$AA$58,$AA$64,$AA$70:$AA$77))*Parameters!$B$37/12</f>
        <v>4430.5060638658</v>
      </c>
      <c r="Y79" s="46">
        <f>(SUM($AA$16:$AA$27)-SUM($AA$34,$AA$40,$AA$46,$AA$52,$AA$58,$AA$64,$AA$70:$AA$77))*Parameters!$B$37/12</f>
        <v>4430.5060638658</v>
      </c>
      <c r="Z79" s="46">
        <f>SUMIF($B$11:$Y$11,"Yes",B79:Y79)</f>
        <v>4430.5060638658</v>
      </c>
      <c r="AA79" s="46">
        <f>SUM(B79:M79)</f>
        <v>53166.072766389</v>
      </c>
      <c r="AB79" s="46">
        <f>SUM(B79:Y79)</f>
        <v>106332.14553278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27945.506063866</v>
      </c>
      <c r="C86" s="19">
        <f>SUM(C70:C80,C64,C58,C52,C46,C40,C34)</f>
        <v>16430.506063866</v>
      </c>
      <c r="D86" s="19">
        <f>SUM(D70:D80,D64,D58,D52,D46,D40,D34)</f>
        <v>17930.506063866</v>
      </c>
      <c r="E86" s="19">
        <f>SUM(E70:E80,E64,E58,E52,E46,E40,E34)</f>
        <v>16430.506063866</v>
      </c>
      <c r="F86" s="19">
        <f>SUM(F70:F80,F64,F58,F52,F46,F40,F34)</f>
        <v>22901.899229155</v>
      </c>
      <c r="G86" s="19">
        <f>SUM(G70:G80,G64,G58,G52,G46,G40,G34)</f>
        <v>4430.5060638658</v>
      </c>
      <c r="H86" s="19">
        <f>SUM(H70:H80,H64,H58,H52,H46,H40,H34)</f>
        <v>27945.506063866</v>
      </c>
      <c r="I86" s="19">
        <f>SUM(I70:I80,I64,I58,I52,I46,I40,I34)</f>
        <v>16430.506063866</v>
      </c>
      <c r="J86" s="19">
        <f>SUM(J70:J80,J64,J58,J52,J46,J40,J34)</f>
        <v>17930.506063866</v>
      </c>
      <c r="K86" s="19">
        <f>SUM(K70:K80,K64,K58,K52,K46,K40,K34)</f>
        <v>16430.506063866</v>
      </c>
      <c r="L86" s="19">
        <f>SUM(L70:L80,L64,L58,L52,L46,L40,L34)</f>
        <v>22901.899229155</v>
      </c>
      <c r="M86" s="19">
        <f>SUM(M70:M80,M64,M58,M52,M46,M40,M34)</f>
        <v>4430.5060638658</v>
      </c>
      <c r="N86" s="19">
        <f>SUM(N70:N80,N64,N58,N52,N46,N40,N34)</f>
        <v>27945.506063866</v>
      </c>
      <c r="O86" s="19">
        <f>SUM(O70:O80,O64,O58,O52,O46,O40,O34)</f>
        <v>16430.506063866</v>
      </c>
      <c r="P86" s="19">
        <f>SUM(P70:P80,P64,P58,P52,P46,P40,P34)</f>
        <v>17930.506063866</v>
      </c>
      <c r="Q86" s="19">
        <f>SUM(Q70:Q80,Q64,Q58,Q52,Q46,Q40,Q34)</f>
        <v>16430.506063866</v>
      </c>
      <c r="R86" s="19">
        <f>SUM(R70:R80,R64,R58,R52,R46,R40,R34)</f>
        <v>22901.899229155</v>
      </c>
      <c r="S86" s="19">
        <f>SUM(S70:S80,S64,S58,S52,S46,S40,S34)</f>
        <v>4430.5060638658</v>
      </c>
      <c r="T86" s="19">
        <f>SUM(T70:T80,T64,T58,T52,T46,T40,T34)</f>
        <v>27945.506063866</v>
      </c>
      <c r="U86" s="19">
        <f>SUM(U70:U80,U64,U58,U52,U46,U40,U34)</f>
        <v>16430.506063866</v>
      </c>
      <c r="V86" s="19">
        <f>SUM(V70:V80,V64,V58,V52,V46,V40,V34)</f>
        <v>17930.506063866</v>
      </c>
      <c r="W86" s="19">
        <f>SUM(W70:W80,W64,W58,W52,W46,W40,W34)</f>
        <v>16430.506063866</v>
      </c>
      <c r="X86" s="19">
        <f>SUM(X70:X80,X64,X58,X52,X46,X40,X34)</f>
        <v>22901.899229155</v>
      </c>
      <c r="Y86" s="19">
        <f>SUM(Y70:Y80,Y64,Y58,Y52,Y46,Y40,Y34)</f>
        <v>4430.5060638658</v>
      </c>
      <c r="Z86" s="19">
        <f>SUMIF($B$11:$Y$11,"Yes",B86:Y86)</f>
        <v>27945.506063866</v>
      </c>
      <c r="AA86" s="19">
        <f>SUM(B86:M86)</f>
        <v>212138.85909697</v>
      </c>
      <c r="AB86" s="19">
        <f>SUM(B86:Y86)</f>
        <v>424277.71819393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25000</v>
      </c>
    </row>
    <row r="93" spans="1:30">
      <c r="A93" t="s">
        <v>58</v>
      </c>
      <c r="B93" s="36">
        <f>Inputs!B47</f>
        <v>100000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82500000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>1234</v>
      </c>
    </row>
    <row r="98" spans="1:30" customHeight="1" ht="15.75">
      <c r="A98" s="18" t="s">
        <v>63</v>
      </c>
      <c r="B98" s="37">
        <f>Inputs!B48</f>
        <v>85000</v>
      </c>
    </row>
    <row r="99" spans="1:30" customHeight="1" ht="15.75">
      <c r="A99" s="1" t="s">
        <v>64</v>
      </c>
      <c r="B99" s="19">
        <f>SUM(B92:B98)</f>
        <v>82711234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7500</v>
      </c>
    </row>
    <row r="103" spans="1:30">
      <c r="A103" t="s">
        <v>67</v>
      </c>
      <c r="B103" s="36">
        <f>SUM(Inputs!B56:B60)</f>
        <v>0</v>
      </c>
    </row>
    <row r="104" spans="1:30" customHeight="1" ht="15.75">
      <c r="A104" s="18" t="s">
        <v>68</v>
      </c>
      <c r="B104" s="37">
        <f>Calculations!G35</f>
        <v>10000</v>
      </c>
    </row>
    <row r="105" spans="1:30" customHeight="1" ht="15.75">
      <c r="A105" s="1" t="s">
        <v>69</v>
      </c>
      <c r="B105" s="19">
        <f>SUM(B102:B104)</f>
        <v>17500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5</v>
      </c>
      <c r="D7" s="20"/>
      <c r="E7" s="146" t="s">
        <v>87</v>
      </c>
      <c r="F7" s="147" t="s">
        <v>88</v>
      </c>
      <c r="G7" s="146">
        <v>0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5</v>
      </c>
      <c r="N7" s="154">
        <v>3</v>
      </c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93</v>
      </c>
      <c r="B18" s="10" t="s">
        <v>94</v>
      </c>
      <c r="C18" s="10" t="s">
        <v>95</v>
      </c>
      <c r="D18" s="10" t="s">
        <v>96</v>
      </c>
      <c r="E18" s="10" t="s">
        <v>97</v>
      </c>
      <c r="F18" s="10" t="s">
        <v>98</v>
      </c>
      <c r="G18" s="10" t="s">
        <v>99</v>
      </c>
      <c r="H18" s="10" t="s">
        <v>100</v>
      </c>
      <c r="I18" s="10" t="s">
        <v>101</v>
      </c>
      <c r="J18" s="10" t="s">
        <v>102</v>
      </c>
      <c r="K18" s="10" t="s">
        <v>103</v>
      </c>
      <c r="L18" s="10" t="s">
        <v>104</v>
      </c>
    </row>
    <row r="19" spans="1:48">
      <c r="A19" s="143"/>
      <c r="B19" s="20"/>
      <c r="C19" s="143"/>
      <c r="D19" s="146"/>
      <c r="E19" s="20"/>
      <c r="F19" s="146"/>
      <c r="G19" s="20"/>
      <c r="H19" s="20"/>
      <c r="I19" s="146"/>
      <c r="J19" s="146"/>
      <c r="K19" s="146"/>
      <c r="L19" s="25"/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8"/>
    </row>
    <row r="27" spans="1:48">
      <c r="A27" s="14" t="s">
        <v>107</v>
      </c>
    </row>
    <row r="29" spans="1:48">
      <c r="A29" s="45" t="s">
        <v>108</v>
      </c>
      <c r="B29" s="157"/>
    </row>
    <row r="30" spans="1:48">
      <c r="A30" s="44" t="s">
        <v>109</v>
      </c>
      <c r="B30" s="158"/>
    </row>
    <row r="31" spans="1:48">
      <c r="A31" s="5" t="s">
        <v>110</v>
      </c>
      <c r="B31" s="159"/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1" t="s">
        <v>89</v>
      </c>
    </row>
    <row r="41" spans="1:48">
      <c r="A41" s="55" t="s">
        <v>118</v>
      </c>
      <c r="B41" s="141"/>
    </row>
    <row r="42" spans="1:48">
      <c r="A42" s="55" t="s">
        <v>119</v>
      </c>
      <c r="B42" s="140"/>
    </row>
    <row r="43" spans="1:48">
      <c r="A43" s="55" t="s">
        <v>120</v>
      </c>
      <c r="B43" s="161" t="s">
        <v>121</v>
      </c>
    </row>
    <row r="44" spans="1:48">
      <c r="A44" s="56" t="s">
        <v>122</v>
      </c>
      <c r="B44" s="161" t="s">
        <v>89</v>
      </c>
    </row>
    <row r="45" spans="1:48">
      <c r="A45" s="56" t="s">
        <v>123</v>
      </c>
      <c r="B45" s="162">
        <v>0</v>
      </c>
    </row>
    <row r="46" spans="1:48" customHeight="1" ht="30">
      <c r="A46" s="57" t="s">
        <v>124</v>
      </c>
      <c r="B46" s="162">
        <v>1234</v>
      </c>
    </row>
    <row r="47" spans="1:48" customHeight="1" ht="30">
      <c r="A47" s="57" t="s">
        <v>125</v>
      </c>
      <c r="B47" s="162">
        <v>100000</v>
      </c>
    </row>
    <row r="48" spans="1:48" customHeight="1" ht="30">
      <c r="A48" s="57" t="s">
        <v>126</v>
      </c>
      <c r="B48" s="162">
        <v>85000</v>
      </c>
    </row>
    <row r="49" spans="1:48" customHeight="1" ht="30">
      <c r="A49" s="57" t="s">
        <v>127</v>
      </c>
      <c r="B49" s="162">
        <v>25000</v>
      </c>
    </row>
    <row r="50" spans="1:48">
      <c r="A50" s="43"/>
      <c r="B50" s="36"/>
    </row>
    <row r="51" spans="1:48">
      <c r="A51" s="58" t="s">
        <v>128</v>
      </c>
      <c r="B51" s="162">
        <v>7500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60"/>
      <c r="B56" s="160"/>
      <c r="C56" s="163"/>
      <c r="D56" s="164"/>
      <c r="E56" s="164"/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3"/>
      <c r="B66" s="160"/>
      <c r="C66" s="164"/>
      <c r="D66" s="49">
        <f>INDEX(Parameters!$D$76:$D$87,MATCH(Inputs!A66,Parameters!$C$76:$C$87,0))</f>
        <v>12</v>
      </c>
    </row>
    <row r="67" spans="1:48">
      <c r="A67" s="144"/>
      <c r="B67" s="158"/>
      <c r="C67" s="166"/>
      <c r="D67" s="49">
        <f>INDEX(Parameters!$D$76:$D$87,MATCH(Inputs!A67,Parameters!$C$76:$C$87,0))</f>
        <v>12</v>
      </c>
    </row>
    <row r="68" spans="1:48">
      <c r="A68" s="144"/>
      <c r="B68" s="158"/>
      <c r="C68" s="166"/>
      <c r="D68" s="49">
        <f>INDEX(Parameters!$D$76:$D$87,MATCH(Inputs!A68,Parameters!$C$76:$C$87,0))</f>
        <v>12</v>
      </c>
    </row>
    <row r="69" spans="1:48">
      <c r="A69" s="144"/>
      <c r="B69" s="158"/>
      <c r="C69" s="166"/>
      <c r="D69" s="49">
        <f>INDEX(Parameters!$D$76:$D$87,MATCH(Inputs!A69,Parameters!$C$76:$C$87,0))</f>
        <v>12</v>
      </c>
    </row>
    <row r="70" spans="1:48">
      <c r="A70" s="144"/>
      <c r="B70" s="158"/>
      <c r="C70" s="166"/>
      <c r="D70" s="49">
        <f>INDEX(Parameters!$D$76:$D$87,MATCH(Inputs!A70,Parameters!$C$76:$C$87,0))</f>
        <v>12</v>
      </c>
    </row>
    <row r="71" spans="1:48">
      <c r="A71" s="145"/>
      <c r="B71" s="159"/>
      <c r="C71" s="168"/>
      <c r="D71" s="49">
        <f>INDEX(Parameters!$D$76:$D$87,MATCH(Inputs!A71,Parameters!$C$76:$C$87,0))</f>
        <v>12</v>
      </c>
    </row>
    <row r="73" spans="1:48">
      <c r="A73" s="3" t="s">
        <v>139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140</v>
      </c>
      <c r="B75" s="162">
        <v>10</v>
      </c>
    </row>
    <row r="76" spans="1:48">
      <c r="A76" t="s">
        <v>141</v>
      </c>
      <c r="B76" s="169" t="s">
        <v>142</v>
      </c>
    </row>
    <row r="78" spans="1:48" customHeight="1" ht="20.25">
      <c r="B78" s="128" t="s">
        <v>143</v>
      </c>
    </row>
    <row r="79" spans="1:48">
      <c r="A79" t="s">
        <v>144</v>
      </c>
      <c r="B79" s="169" t="s">
        <v>142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145</v>
      </c>
      <c r="B80" s="169" t="s">
        <v>146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147</v>
      </c>
      <c r="B81" s="162">
        <v>10000</v>
      </c>
    </row>
    <row r="82" spans="1:48">
      <c r="A82" t="s">
        <v>148</v>
      </c>
      <c r="B82" s="162">
        <v>18</v>
      </c>
    </row>
    <row r="83" spans="1:48">
      <c r="A83" t="s">
        <v>149</v>
      </c>
      <c r="B83" s="170" t="s">
        <v>150</v>
      </c>
    </row>
    <row r="84" spans="1:48">
      <c r="A84" t="s">
        <v>151</v>
      </c>
      <c r="B84" s="170">
        <v>2</v>
      </c>
    </row>
    <row r="85" spans="1:48">
      <c r="A85" t="s">
        <v>152</v>
      </c>
      <c r="B85" s="170">
        <v>36</v>
      </c>
    </row>
    <row r="86" spans="1:48">
      <c r="A86" t="s">
        <v>153</v>
      </c>
      <c r="B86" s="162"/>
    </row>
    <row r="87" spans="1:48">
      <c r="A87" t="s">
        <v>154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F8" sqref="F8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155</v>
      </c>
      <c r="C3" s="15" t="s">
        <v>156</v>
      </c>
      <c r="D3" s="15" t="s">
        <v>157</v>
      </c>
      <c r="E3" s="15" t="s">
        <v>158</v>
      </c>
      <c r="F3" s="15" t="s">
        <v>159</v>
      </c>
      <c r="G3" s="15" t="s">
        <v>160</v>
      </c>
      <c r="H3" s="15" t="s">
        <v>161</v>
      </c>
      <c r="I3" s="15" t="s">
        <v>162</v>
      </c>
      <c r="J3" s="15" t="s">
        <v>163</v>
      </c>
      <c r="K3" s="15" t="s">
        <v>164</v>
      </c>
      <c r="L3" s="15" t="s">
        <v>165</v>
      </c>
      <c r="M3" s="15" t="s">
        <v>166</v>
      </c>
      <c r="N3" s="15" t="s">
        <v>167</v>
      </c>
      <c r="O3" s="15" t="s">
        <v>168</v>
      </c>
      <c r="P3" s="15" t="s">
        <v>169</v>
      </c>
      <c r="Q3" s="32" t="s">
        <v>170</v>
      </c>
      <c r="R3" s="15" t="s">
        <v>171</v>
      </c>
      <c r="S3" s="15" t="s">
        <v>172</v>
      </c>
      <c r="T3" s="15" t="s">
        <v>173</v>
      </c>
      <c r="U3" s="179" t="s">
        <v>84</v>
      </c>
      <c r="V3" s="32" t="s">
        <v>174</v>
      </c>
      <c r="W3" s="32" t="s">
        <v>175</v>
      </c>
      <c r="X3" s="32" t="s">
        <v>176</v>
      </c>
      <c r="Y3" s="32" t="s">
        <v>177</v>
      </c>
      <c r="Z3" s="32" t="s">
        <v>40</v>
      </c>
      <c r="AA3" s="32" t="s">
        <v>178</v>
      </c>
      <c r="AB3" s="32" t="s">
        <v>179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 t="str">
        <f>Inputs!A7</f>
        <v>Maize</v>
      </c>
      <c r="B4" s="38">
        <f>IFERROR(IF(DATE(YEAR(Inputs!$B$76),VLOOKUP(VLOOKUP(A4,Inputs!$A$7:$J$11,MATCH(Inputs!$J$6,Inputs!$A$6:$N$6,0),0),Parameters!$C$76:$D$87,2,0)+1,1)&gt;DATE(YEAR(Inputs!$B$76),MONTH(Inputs!$B$76),DAY(Inputs!$B$76))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42795</v>
      </c>
      <c r="C4" s="38">
        <f>IFERROR(DATE(YEAR(B4),MONTH(B4)+ROUND(T4/2,0),DAY(B4)),B4)</f>
        <v>42856</v>
      </c>
      <c r="D4" s="38">
        <f>IFERROR(DATE(YEAR(B4),MONTH(B4)+T4,DAY(B4)),"")</f>
        <v>42917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5</v>
      </c>
      <c r="I4" s="138" t="str">
        <f>IFERROR(VLOOKUP(Inputs!E7,Parameters!$J$74:$K$78,2,0),"")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1125.4596809198</v>
      </c>
      <c r="M4" s="25">
        <f>L4*H4</f>
        <v>5627.298404599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224529.2063435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IFERROR(J4*H4*Parameters!$B$35+IF(OR(Inputs!F7=Parameters!$E$75,Inputs!F7=Parameters!$E$77),Calculations!H4*Parameters!$B$36,0),0)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6471.3931652889</v>
      </c>
      <c r="AB4" s="33">
        <f>H4*IFERROR(INDEX(Parameters!$A$3:$AI$17,MATCH(Calculations!A4,Parameters!$A$3:$A$17,0),MATCH(Parameters!$O$3,Parameters!$A$3:$AI$3,0)),AVERAGE(Parameters!$O$4:$O$17))*(1-Inputs!$B$25/100)</f>
        <v>60000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DATE(YEAR(Inputs!$B$76),MONTH(Inputs!$B$76),DAY(Inputs!$B$76))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DATE(YEAR(Inputs!$B$76),MONTH(Inputs!$B$76),DAY(Inputs!$B$76))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DATE(YEAR(Inputs!$B$76),MONTH(Inputs!$B$76),DAY(Inputs!$B$76))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DATE(YEAR(Inputs!$B$76),MONTH(Inputs!$B$76),DAY(Inputs!$B$76))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93</v>
      </c>
      <c r="B13" s="15" t="s">
        <v>32</v>
      </c>
      <c r="C13" s="15" t="s">
        <v>180</v>
      </c>
      <c r="D13" s="15" t="s">
        <v>181</v>
      </c>
      <c r="E13" s="15" t="s">
        <v>182</v>
      </c>
      <c r="F13" s="15" t="s">
        <v>183</v>
      </c>
      <c r="G13" s="15" t="s">
        <v>184</v>
      </c>
      <c r="H13" s="15" t="s">
        <v>185</v>
      </c>
      <c r="I13" s="15" t="s">
        <v>186</v>
      </c>
      <c r="J13" s="15" t="s">
        <v>187</v>
      </c>
      <c r="K13" s="15" t="s">
        <v>188</v>
      </c>
      <c r="L13" s="15" t="s">
        <v>189</v>
      </c>
      <c r="M13" s="179" t="s">
        <v>190</v>
      </c>
      <c r="N13" s="179" t="s">
        <v>191</v>
      </c>
      <c r="O13" s="62" t="s">
        <v>192</v>
      </c>
      <c r="P13" s="62" t="s">
        <v>193</v>
      </c>
      <c r="Q13" s="62" t="s">
        <v>194</v>
      </c>
      <c r="R13" s="62" t="s">
        <v>195</v>
      </c>
      <c r="S13" s="62" t="s">
        <v>196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1"/>
      <c r="M14" s="60">
        <f>Inputs!J19/100</f>
        <v>0</v>
      </c>
      <c r="N14" s="180">
        <f>Inputs!K19/100</f>
        <v>0</v>
      </c>
      <c r="O14" s="63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2"/>
      <c r="M15" s="22">
        <f>Inputs!J20/100</f>
        <v>0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1" t="str">
        <f>IF(A17="","",INDEX(G14:G16,MATCH(Parameters!B23,B14:B16,0)))</f>
        <v/>
      </c>
      <c r="H17" s="124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7"/>
      <c r="K17" s="61"/>
      <c r="L17" s="173" t="str">
        <f>IF(A17="","",DATE(YEAR(Inputs!$B$76),MONTH(Inputs!$B$76)+Parameters!O23-INDEX(Inputs!$L$19:$L$21,MATCH(Parameters!$A$23,Inputs!$A$19:$A$21,0)),1))</f>
        <v/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130</v>
      </c>
      <c r="B22" s="75" t="s">
        <v>197</v>
      </c>
      <c r="C22" s="75" t="s">
        <v>198</v>
      </c>
      <c r="D22" s="75" t="s">
        <v>199</v>
      </c>
      <c r="E22" s="75" t="s">
        <v>200</v>
      </c>
    </row>
    <row r="23" spans="1:46">
      <c r="A23" s="76">
        <f>Inputs!A56</f>
        <v/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202</v>
      </c>
      <c r="B32" s="130" t="s">
        <v>203</v>
      </c>
      <c r="C32" s="130" t="s">
        <v>204</v>
      </c>
      <c r="D32" s="130" t="s">
        <v>205</v>
      </c>
      <c r="F32" s="133" t="s">
        <v>206</v>
      </c>
      <c r="G32" s="133" t="s">
        <v>207</v>
      </c>
      <c r="I32" s="175" t="s">
        <v>208</v>
      </c>
      <c r="J32" s="176" t="str">
        <f>VLOOKUP(VALUE(Inputs!B75),Parameters!A54:B68,2,0)</f>
        <v>Kawangware</v>
      </c>
    </row>
    <row r="33" spans="1:46">
      <c r="A33">
        <v>1</v>
      </c>
      <c r="B33" s="129">
        <f>G34</f>
        <v>42650</v>
      </c>
      <c r="C33" s="27">
        <f>IF(B33&lt;&gt;"",IF(COUNT($A$33:A33)&lt;=$G$39,0,$G$41)+IF(COUNT($A$33:A33)&lt;=$G$40,0,$G$42),"")</f>
        <v>624.59665144597</v>
      </c>
      <c r="D33" s="182">
        <f>IFERROR(DATE(YEAR(B33),MONTH(B33),1),"")</f>
        <v>42644</v>
      </c>
      <c r="F33" t="s">
        <v>144</v>
      </c>
      <c r="G33" s="129">
        <f>IF(Inputs!B79="","",DATE(YEAR(Inputs!B79),MONTH(Inputs!B79),DAY(Inputs!B79)))</f>
        <v>42643</v>
      </c>
      <c r="J33" s="43"/>
    </row>
    <row r="34" spans="1:46">
      <c r="A34">
        <f>A33+1</f>
        <v>2</v>
      </c>
      <c r="B34" s="129">
        <f>IFERROR(IF(COUNT($A$33:A34)&lt;=$G$38,IF($G$37="Monthly",DATE(YEAR(B33),MONTH(B33)+1,MIN(DAY(B33),28)),B33+14),""),"")</f>
        <v>42664</v>
      </c>
      <c r="C34" s="27">
        <f>IF(B34&lt;&gt;"",IF(COUNT($A$33:A34)&lt;=$G$39,0,$G$41)+IF(COUNT($A$33:A34)&lt;=$G$40,0,$G$42),"")</f>
        <v>624.59665144597</v>
      </c>
      <c r="D34" s="182">
        <f>IFERROR(DATE(YEAR(B34),MONTH(B34),1),"")</f>
        <v>42644</v>
      </c>
      <c r="F34" t="s">
        <v>145</v>
      </c>
      <c r="G34" s="129">
        <f>IF(Inputs!B80="","",DATE(YEAR(Inputs!B80),MONTH(Inputs!B80),DAY(Inputs!B80)))</f>
        <v>42650</v>
      </c>
    </row>
    <row r="35" spans="1:46">
      <c r="A35">
        <f>A34+1</f>
        <v>3</v>
      </c>
      <c r="B35" s="129">
        <f>IFERROR(IF(COUNT($A$33:A35)&lt;=$G$38,IF($G$37="Monthly",DATE(YEAR(B34),MONTH(B34)+1,MIN(DAY(B34),28)),B34+14),""),"")</f>
        <v>42678</v>
      </c>
      <c r="C35" s="27">
        <f>IF(B35&lt;&gt;"",IF(COUNT($A$33:A35)&lt;=$G$39,0,$G$41)+IF(COUNT($A$33:A35)&lt;=$G$40,0,$G$42),"")</f>
        <v>624.59665144597</v>
      </c>
      <c r="D35" s="182">
        <f>IFERROR(DATE(YEAR(B35),MONTH(B35),1),"")</f>
        <v>42675</v>
      </c>
      <c r="F35" t="s">
        <v>147</v>
      </c>
      <c r="G35" s="27">
        <f>Inputs!B81</f>
        <v>10000</v>
      </c>
    </row>
    <row r="36" spans="1:46">
      <c r="A36">
        <f>A35+1</f>
        <v>4</v>
      </c>
      <c r="B36" s="129">
        <f>IFERROR(IF(COUNT($A$33:A36)&lt;=$G$38,IF($G$37="Monthly",DATE(YEAR(B35),MONTH(B35)+1,MIN(DAY(B35),28)),B35+14),""),"")</f>
        <v>42692</v>
      </c>
      <c r="C36" s="27">
        <f>IF(B36&lt;&gt;"",IF(COUNT($A$33:A36)&lt;=$G$39,0,$G$41)+IF(COUNT($A$33:A36)&lt;=$G$40,0,$G$42),"")</f>
        <v>624.59665144597</v>
      </c>
      <c r="D36" s="182">
        <f>IFERROR(DATE(YEAR(B36),MONTH(B36),1),"")</f>
        <v>42675</v>
      </c>
      <c r="F36" t="s">
        <v>148</v>
      </c>
      <c r="G36" s="131">
        <f>Inputs!B82/100</f>
        <v>0.18</v>
      </c>
    </row>
    <row r="37" spans="1:46">
      <c r="A37">
        <f>A36+1</f>
        <v>5</v>
      </c>
      <c r="B37" s="129">
        <f>IFERROR(IF(COUNT($A$33:A37)&lt;=$G$38,IF($G$37="Monthly",DATE(YEAR(B36),MONTH(B36)+1,MIN(DAY(B36),28)),B36+14),""),"")</f>
        <v>42706</v>
      </c>
      <c r="C37" s="27">
        <f>IF(B37&lt;&gt;"",IF(COUNT($A$33:A37)&lt;=$G$39,0,$G$41)+IF(COUNT($A$33:A37)&lt;=$G$40,0,$G$42),"")</f>
        <v>624.59665144597</v>
      </c>
      <c r="D37" s="182">
        <f>IFERROR(DATE(YEAR(B37),MONTH(B37),1),"")</f>
        <v>42705</v>
      </c>
      <c r="F37" t="s">
        <v>209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>
        <f>IFERROR(IF(COUNT($A$33:A38)&lt;=$G$38,IF($G$37="Monthly",DATE(YEAR(B37),MONTH(B37)+1,MIN(DAY(B37),28)),B37+14),""),"")</f>
        <v>42720</v>
      </c>
      <c r="C38" s="27">
        <f>IF(B38&lt;&gt;"",IF(COUNT($A$33:A38)&lt;=$G$39,0,$G$41)+IF(COUNT($A$33:A38)&lt;=$G$40,0,$G$42),"")</f>
        <v>624.59665144597</v>
      </c>
      <c r="D38" s="182">
        <f>IFERROR(DATE(YEAR(B38),MONTH(B38),1),"")</f>
        <v>42705</v>
      </c>
      <c r="F38" t="s">
        <v>210</v>
      </c>
      <c r="G38" s="27">
        <f>IFERROR(Inputs!B85/Inputs!B84,"")</f>
        <v>18</v>
      </c>
    </row>
    <row r="39" spans="1:46">
      <c r="A39">
        <f>A38+1</f>
        <v>7</v>
      </c>
      <c r="B39" s="129">
        <f>IFERROR(IF(COUNT($A$33:A39)&lt;=$G$38,IF($G$37="Monthly",DATE(YEAR(B38),MONTH(B38)+1,MIN(DAY(B38),28)),B38+14),""),"")</f>
        <v>42734</v>
      </c>
      <c r="C39" s="27">
        <f>IF(B39&lt;&gt;"",IF(COUNT($A$33:A39)&lt;=$G$39,0,$G$41)+IF(COUNT($A$33:A39)&lt;=$G$40,0,$G$42),"")</f>
        <v>624.59665144597</v>
      </c>
      <c r="D39" s="182">
        <f>IFERROR(DATE(YEAR(B39),MONTH(B39),1),"")</f>
        <v>42705</v>
      </c>
      <c r="F39" t="s">
        <v>153</v>
      </c>
      <c r="G39" s="27">
        <f>Inputs!B86</f>
        <v/>
      </c>
    </row>
    <row r="40" spans="1:46">
      <c r="A40">
        <f>A39+1</f>
        <v>8</v>
      </c>
      <c r="B40" s="129">
        <f>IFERROR(IF(COUNT($A$33:A40)&lt;=$G$38,IF($G$37="Monthly",DATE(YEAR(B39),MONTH(B39)+1,MIN(DAY(B39),28)),B39+14),""),"")</f>
        <v>42748</v>
      </c>
      <c r="C40" s="27">
        <f>IF(B40&lt;&gt;"",IF(COUNT($A$33:A40)&lt;=$G$39,0,$G$41)+IF(COUNT($A$33:A40)&lt;=$G$40,0,$G$42),"")</f>
        <v>624.59665144597</v>
      </c>
      <c r="D40" s="182">
        <f>IFERROR(DATE(YEAR(B40),MONTH(B40),1),"")</f>
        <v>42736</v>
      </c>
      <c r="F40" t="s">
        <v>154</v>
      </c>
      <c r="G40" s="27">
        <f>Inputs!B87</f>
        <v/>
      </c>
    </row>
    <row r="41" spans="1:46">
      <c r="A41">
        <f>A40+1</f>
        <v>9</v>
      </c>
      <c r="B41" s="129">
        <f>IFERROR(IF(COUNT($A$33:A41)&lt;=$G$38,IF($G$37="Monthly",DATE(YEAR(B40),MONTH(B40)+1,MIN(DAY(B40),28)),B40+14),""),"")</f>
        <v>42762</v>
      </c>
      <c r="C41" s="27">
        <f>IF(B41&lt;&gt;"",IF(COUNT($A$33:A41)&lt;=$G$39,0,$G$41)+IF(COUNT($A$33:A41)&lt;=$G$40,0,$G$42),"")</f>
        <v>624.59665144597</v>
      </c>
      <c r="D41" s="182">
        <f>IFERROR(DATE(YEAR(B41),MONTH(B41),1),"")</f>
        <v>42736</v>
      </c>
      <c r="F41" t="s">
        <v>211</v>
      </c>
      <c r="G41" s="74">
        <f>IFERROR(G35/(G38-G39),"")</f>
        <v>555.55555555556</v>
      </c>
      <c r="H41" s="74"/>
    </row>
    <row r="42" spans="1:46">
      <c r="A42">
        <f>A41+1</f>
        <v>10</v>
      </c>
      <c r="B42" s="129">
        <f>IFERROR(IF(COUNT($A$33:A42)&lt;=$G$38,IF($G$37="Monthly",DATE(YEAR(B41),MONTH(B41)+1,MIN(DAY(B41),28)),B41+14),""),"")</f>
        <v>42776</v>
      </c>
      <c r="C42" s="27">
        <f>IF(B42&lt;&gt;"",IF(COUNT($A$33:A42)&lt;=$G$39,0,$G$41)+IF(COUNT($A$33:A42)&lt;=$G$40,0,$G$42),"")</f>
        <v>624.59665144597</v>
      </c>
      <c r="D42" s="182">
        <f>IFERROR(DATE(YEAR(B42),MONTH(B42),1),"")</f>
        <v>42767</v>
      </c>
      <c r="F42" t="s">
        <v>212</v>
      </c>
      <c r="G42" s="74">
        <f>IFERROR(G35*G36*IF(G37="Monthly",G38/12,IF(G37="Fortnightly",G38/(365/14),G38/(365/28)))/(G38-G40),"")</f>
        <v>69.041095890411</v>
      </c>
    </row>
    <row r="43" spans="1:46">
      <c r="A43">
        <f>A42+1</f>
        <v>11</v>
      </c>
      <c r="B43" s="129">
        <f>IFERROR(IF(COUNT($A$33:A43)&lt;=$G$38,IF($G$37="Monthly",DATE(YEAR(B42),MONTH(B42)+1,MIN(DAY(B42),28)),B42+14),""),"")</f>
        <v>42790</v>
      </c>
      <c r="C43" s="27">
        <f>IF(B43&lt;&gt;"",IF(COUNT($A$33:A43)&lt;=$G$39,0,$G$41)+IF(COUNT($A$33:A43)&lt;=$G$40,0,$G$42),"")</f>
        <v>624.59665144597</v>
      </c>
      <c r="D43" s="182">
        <f>IFERROR(DATE(YEAR(B43),MONTH(B43),1),"")</f>
        <v>42767</v>
      </c>
    </row>
    <row r="44" spans="1:46">
      <c r="A44">
        <f>A43+1</f>
        <v>12</v>
      </c>
      <c r="B44" s="129">
        <f>IFERROR(IF(COUNT($A$33:A44)&lt;=$G$38,IF($G$37="Monthly",DATE(YEAR(B43),MONTH(B43)+1,MIN(DAY(B43),28)),B43+14),""),"")</f>
        <v>42804</v>
      </c>
      <c r="C44" s="27">
        <f>IF(B44&lt;&gt;"",IF(COUNT($A$33:A44)&lt;=$G$39,0,$G$41)+IF(COUNT($A$33:A44)&lt;=$G$40,0,$G$42),"")</f>
        <v>624.59665144597</v>
      </c>
      <c r="D44" s="182">
        <f>IFERROR(DATE(YEAR(B44),MONTH(B44),1),"")</f>
        <v>42795</v>
      </c>
    </row>
    <row r="45" spans="1:46">
      <c r="A45">
        <f>A44+1</f>
        <v>13</v>
      </c>
      <c r="B45" s="129">
        <f>IFERROR(IF(COUNT($A$33:A45)&lt;=$G$38,IF($G$37="Monthly",DATE(YEAR(B44),MONTH(B44)+1,MIN(DAY(B44),28)),B44+14),""),"")</f>
        <v>42818</v>
      </c>
      <c r="C45" s="27">
        <f>IF(B45&lt;&gt;"",IF(COUNT($A$33:A45)&lt;=$G$39,0,$G$41)+IF(COUNT($A$33:A45)&lt;=$G$40,0,$G$42),"")</f>
        <v>624.59665144597</v>
      </c>
      <c r="D45" s="182">
        <f>IFERROR(DATE(YEAR(B45),MONTH(B45),1),"")</f>
        <v>42795</v>
      </c>
    </row>
    <row r="46" spans="1:46">
      <c r="A46">
        <f>A45+1</f>
        <v>14</v>
      </c>
      <c r="B46" s="129">
        <f>IFERROR(IF(COUNT($A$33:A46)&lt;=$G$38,IF($G$37="Monthly",DATE(YEAR(B45),MONTH(B45)+1,MIN(DAY(B45),28)),B45+14),""),"")</f>
        <v>42832</v>
      </c>
      <c r="C46" s="27">
        <f>IF(B46&lt;&gt;"",IF(COUNT($A$33:A46)&lt;=$G$39,0,$G$41)+IF(COUNT($A$33:A46)&lt;=$G$40,0,$G$42),"")</f>
        <v>624.59665144597</v>
      </c>
      <c r="D46" s="182">
        <f>IFERROR(DATE(YEAR(B46),MONTH(B46),1),"")</f>
        <v>42826</v>
      </c>
    </row>
    <row r="47" spans="1:46">
      <c r="A47">
        <f>A46+1</f>
        <v>15</v>
      </c>
      <c r="B47" s="129">
        <f>IFERROR(IF(COUNT($A$33:A47)&lt;=$G$38,IF($G$37="Monthly",DATE(YEAR(B46),MONTH(B46)+1,MIN(DAY(B46),28)),B46+14),""),"")</f>
        <v>42846</v>
      </c>
      <c r="C47" s="27">
        <f>IF(B47&lt;&gt;"",IF(COUNT($A$33:A47)&lt;=$G$39,0,$G$41)+IF(COUNT($A$33:A47)&lt;=$G$40,0,$G$42),"")</f>
        <v>624.59665144597</v>
      </c>
      <c r="D47" s="182">
        <f>IFERROR(DATE(YEAR(B47),MONTH(B47),1),"")</f>
        <v>42826</v>
      </c>
    </row>
    <row r="48" spans="1:46">
      <c r="A48">
        <f>A47+1</f>
        <v>16</v>
      </c>
      <c r="B48" s="129">
        <f>IFERROR(IF(COUNT($A$33:A48)&lt;=$G$38,IF($G$37="Monthly",DATE(YEAR(B47),MONTH(B47)+1,MIN(DAY(B47),28)),B47+14),""),"")</f>
        <v>42860</v>
      </c>
      <c r="C48" s="27">
        <f>IF(B48&lt;&gt;"",IF(COUNT($A$33:A48)&lt;=$G$39,0,$G$41)+IF(COUNT($A$33:A48)&lt;=$G$40,0,$G$42),"")</f>
        <v>624.59665144597</v>
      </c>
      <c r="D48" s="182">
        <f>IFERROR(DATE(YEAR(B48),MONTH(B48),1),"")</f>
        <v>42856</v>
      </c>
    </row>
    <row r="49" spans="1:46">
      <c r="A49">
        <f>A48+1</f>
        <v>17</v>
      </c>
      <c r="B49" s="129">
        <f>IFERROR(IF(COUNT($A$33:A49)&lt;=$G$38,IF($G$37="Monthly",DATE(YEAR(B48),MONTH(B48)+1,MIN(DAY(B48),28)),B48+14),""),"")</f>
        <v>42874</v>
      </c>
      <c r="C49" s="27">
        <f>IF(B49&lt;&gt;"",IF(COUNT($A$33:A49)&lt;=$G$39,0,$G$41)+IF(COUNT($A$33:A49)&lt;=$G$40,0,$G$42),"")</f>
        <v>624.59665144597</v>
      </c>
      <c r="D49" s="182">
        <f>IFERROR(DATE(YEAR(B49),MONTH(B49),1),"")</f>
        <v>42856</v>
      </c>
    </row>
    <row r="50" spans="1:46">
      <c r="A50">
        <f>A49+1</f>
        <v>18</v>
      </c>
      <c r="B50" s="129">
        <f>IFERROR(IF(COUNT($A$33:A50)&lt;=$G$38,IF($G$37="Monthly",DATE(YEAR(B49),MONTH(B49)+1,MIN(DAY(B49),28)),B49+14),""),"")</f>
        <v>42888</v>
      </c>
      <c r="C50" s="27">
        <f>IF(B50&lt;&gt;"",IF(COUNT($A$33:A50)&lt;=$G$39,0,$G$41)+IF(COUNT($A$33:A50)&lt;=$G$40,0,$G$42),"")</f>
        <v>624.59665144597</v>
      </c>
      <c r="D50" s="182">
        <f>IFERROR(DATE(YEAR(B50),MONTH(B50),1),"")</f>
        <v>42887</v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213</v>
      </c>
      <c r="C3" s="10" t="s">
        <v>214</v>
      </c>
      <c r="D3" s="10" t="s">
        <v>215</v>
      </c>
      <c r="E3" s="10" t="s">
        <v>216</v>
      </c>
      <c r="F3" s="10" t="s">
        <v>217</v>
      </c>
      <c r="G3" s="10" t="s">
        <v>218</v>
      </c>
      <c r="H3" s="10" t="s">
        <v>219</v>
      </c>
      <c r="I3" s="10" t="s">
        <v>220</v>
      </c>
      <c r="J3" s="10" t="s">
        <v>221</v>
      </c>
      <c r="K3" s="10" t="s">
        <v>222</v>
      </c>
      <c r="L3" s="10" t="s">
        <v>223</v>
      </c>
      <c r="M3" s="10" t="s">
        <v>224</v>
      </c>
      <c r="N3" s="10" t="s">
        <v>225</v>
      </c>
      <c r="O3" s="10" t="s">
        <v>226</v>
      </c>
      <c r="P3" s="10" t="s">
        <v>227</v>
      </c>
      <c r="Q3" s="10" t="s">
        <v>228</v>
      </c>
      <c r="R3" s="10" t="s">
        <v>229</v>
      </c>
      <c r="S3" s="10" t="s">
        <v>230</v>
      </c>
      <c r="T3" s="10" t="s">
        <v>231</v>
      </c>
      <c r="U3" s="10" t="s">
        <v>171</v>
      </c>
      <c r="V3" s="10" t="s">
        <v>169</v>
      </c>
      <c r="W3" s="10" t="s">
        <v>232</v>
      </c>
      <c r="X3" s="10" t="s">
        <v>233</v>
      </c>
      <c r="Y3" s="10" t="s">
        <v>234</v>
      </c>
      <c r="Z3" s="10" t="s">
        <v>235</v>
      </c>
      <c r="AA3" s="10" t="s">
        <v>236</v>
      </c>
      <c r="AB3" s="10" t="s">
        <v>237</v>
      </c>
      <c r="AC3" s="10" t="s">
        <v>238</v>
      </c>
      <c r="AD3" s="10" t="s">
        <v>239</v>
      </c>
      <c r="AE3" s="10" t="s">
        <v>240</v>
      </c>
      <c r="AF3" s="10" t="s">
        <v>241</v>
      </c>
      <c r="AG3" s="10" t="s">
        <v>242</v>
      </c>
      <c r="AH3" s="10" t="s">
        <v>243</v>
      </c>
      <c r="AI3" s="10" t="s">
        <v>244</v>
      </c>
    </row>
    <row r="4" spans="1:36" s="94" customFormat="1">
      <c r="A4" s="94" t="s">
        <v>245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246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247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248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249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250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249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251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249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252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253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254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247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247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86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249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255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247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247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256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249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257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249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258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253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259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247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247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260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249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261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249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262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93</v>
      </c>
      <c r="B22" s="8" t="s">
        <v>263</v>
      </c>
      <c r="C22" s="10" t="s">
        <v>264</v>
      </c>
      <c r="D22" s="10" t="s">
        <v>265</v>
      </c>
      <c r="E22" s="10" t="s">
        <v>266</v>
      </c>
      <c r="F22" s="10" t="s">
        <v>267</v>
      </c>
      <c r="G22" s="10" t="s">
        <v>268</v>
      </c>
      <c r="H22" s="10" t="s">
        <v>269</v>
      </c>
      <c r="I22" s="10" t="s">
        <v>185</v>
      </c>
      <c r="J22" s="10" t="s">
        <v>270</v>
      </c>
      <c r="K22" s="10" t="s">
        <v>271</v>
      </c>
      <c r="L22" s="10" t="s">
        <v>272</v>
      </c>
      <c r="M22" s="10" t="s">
        <v>273</v>
      </c>
      <c r="N22" s="10" t="s">
        <v>274</v>
      </c>
      <c r="O22" s="10" t="s">
        <v>275</v>
      </c>
      <c r="P22" s="10" t="s">
        <v>276</v>
      </c>
    </row>
    <row r="23" spans="1:36" s="21" customFormat="1">
      <c r="A23" s="21" t="s">
        <v>277</v>
      </c>
      <c r="B23" s="21" t="s">
        <v>278</v>
      </c>
      <c r="C23" s="72" t="s">
        <v>279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280</v>
      </c>
      <c r="B24" s="21" t="s">
        <v>281</v>
      </c>
      <c r="C24" s="117" t="s">
        <v>247</v>
      </c>
      <c r="D24" s="116" t="s">
        <v>247</v>
      </c>
      <c r="E24" s="107">
        <v>0.05</v>
      </c>
      <c r="F24" s="107">
        <v>0.1</v>
      </c>
      <c r="G24" s="107">
        <v>0.2</v>
      </c>
      <c r="H24" s="117" t="s">
        <v>247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282</v>
      </c>
      <c r="B25" s="16" t="s">
        <v>283</v>
      </c>
      <c r="C25" s="30" t="s">
        <v>284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247</v>
      </c>
      <c r="J25" s="72" t="s">
        <v>247</v>
      </c>
      <c r="K25" s="72" t="s">
        <v>247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285</v>
      </c>
      <c r="B26" s="16" t="s">
        <v>281</v>
      </c>
      <c r="C26" s="117" t="s">
        <v>247</v>
      </c>
      <c r="D26" s="116" t="s">
        <v>247</v>
      </c>
      <c r="E26" s="107">
        <v>0.2</v>
      </c>
      <c r="F26" s="107">
        <v>0.7</v>
      </c>
      <c r="G26" s="107">
        <v>2</v>
      </c>
      <c r="H26" s="117" t="s">
        <v>247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286</v>
      </c>
      <c r="B27" s="71" t="s">
        <v>281</v>
      </c>
      <c r="C27" s="117" t="s">
        <v>247</v>
      </c>
      <c r="D27" s="116" t="s">
        <v>247</v>
      </c>
      <c r="E27" s="107">
        <v>0.15</v>
      </c>
      <c r="F27" s="107">
        <v>0.25</v>
      </c>
      <c r="G27" s="107">
        <v>1</v>
      </c>
      <c r="H27" s="117" t="s">
        <v>247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287</v>
      </c>
      <c r="B28" s="71" t="s">
        <v>281</v>
      </c>
      <c r="C28" s="117" t="s">
        <v>247</v>
      </c>
      <c r="D28" s="116" t="s">
        <v>247</v>
      </c>
      <c r="E28" s="107">
        <v>0.15</v>
      </c>
      <c r="F28" s="107">
        <v>0.25</v>
      </c>
      <c r="G28" s="107">
        <v>1</v>
      </c>
      <c r="H28" s="117" t="s">
        <v>247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288</v>
      </c>
      <c r="B29" s="119" t="s">
        <v>281</v>
      </c>
      <c r="C29" s="31" t="s">
        <v>247</v>
      </c>
      <c r="D29" s="31" t="s">
        <v>247</v>
      </c>
      <c r="E29" s="24">
        <v>0.1</v>
      </c>
      <c r="F29" s="24">
        <v>0.2</v>
      </c>
      <c r="G29" s="24">
        <v>0</v>
      </c>
      <c r="H29" s="31" t="s">
        <v>247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289</v>
      </c>
      <c r="B30" s="70" t="s">
        <v>281</v>
      </c>
    </row>
    <row r="31" spans="1:36">
      <c r="H31" s="87"/>
      <c r="I31" s="87"/>
      <c r="AI31" s="12"/>
    </row>
    <row r="32" spans="1:36">
      <c r="A32" s="3" t="s">
        <v>290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291</v>
      </c>
      <c r="B34" s="11" t="s">
        <v>292</v>
      </c>
    </row>
    <row r="35" spans="1:36">
      <c r="A35" t="s">
        <v>293</v>
      </c>
      <c r="B35" s="72">
        <v>60</v>
      </c>
      <c r="C35" s="87"/>
    </row>
    <row r="36" spans="1:36">
      <c r="A36" t="s">
        <v>294</v>
      </c>
      <c r="B36" s="72">
        <v>2000</v>
      </c>
      <c r="C36" s="87"/>
    </row>
    <row r="37" spans="1:36">
      <c r="A37" t="s">
        <v>295</v>
      </c>
      <c r="B37" s="2">
        <v>0.4</v>
      </c>
    </row>
    <row r="39" spans="1:36">
      <c r="A39" s="3" t="s">
        <v>296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297</v>
      </c>
      <c r="C40" s="192"/>
    </row>
    <row r="41" spans="1:36">
      <c r="B41" s="73" t="s">
        <v>298</v>
      </c>
      <c r="C41" s="73" t="s">
        <v>89</v>
      </c>
    </row>
    <row r="42" spans="1:36">
      <c r="A42" t="s">
        <v>277</v>
      </c>
      <c r="B42" s="72">
        <v>450</v>
      </c>
      <c r="C42" s="72">
        <v>450</v>
      </c>
    </row>
    <row r="43" spans="1:36">
      <c r="A43" t="s">
        <v>280</v>
      </c>
      <c r="B43" s="72">
        <v>450</v>
      </c>
      <c r="C43" s="72">
        <v>250</v>
      </c>
    </row>
    <row r="44" spans="1:36">
      <c r="A44" t="s">
        <v>282</v>
      </c>
      <c r="B44" s="72">
        <v>50000</v>
      </c>
      <c r="C44" s="72">
        <v>200000</v>
      </c>
    </row>
    <row r="45" spans="1:36">
      <c r="A45" t="s">
        <v>285</v>
      </c>
      <c r="B45" s="72">
        <v>25000</v>
      </c>
      <c r="C45" s="72">
        <v>50000</v>
      </c>
    </row>
    <row r="46" spans="1:36">
      <c r="A46" t="s">
        <v>286</v>
      </c>
      <c r="B46" s="72">
        <v>6000</v>
      </c>
      <c r="C46" s="72">
        <v>12000</v>
      </c>
    </row>
    <row r="47" spans="1:36">
      <c r="A47" t="s">
        <v>287</v>
      </c>
      <c r="B47" s="72">
        <v>4500</v>
      </c>
      <c r="C47" s="72">
        <v>12000</v>
      </c>
    </row>
    <row r="48" spans="1:36">
      <c r="A48" t="s">
        <v>288</v>
      </c>
      <c r="B48" s="72">
        <v>20000</v>
      </c>
      <c r="C48" s="72">
        <v>20000</v>
      </c>
      <c r="D48" s="72"/>
    </row>
    <row r="50" spans="1:36">
      <c r="A50" s="3" t="s">
        <v>299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86</v>
      </c>
      <c r="E52" s="12" t="s">
        <v>86</v>
      </c>
      <c r="F52" s="12" t="s">
        <v>86</v>
      </c>
      <c r="G52" s="12" t="s">
        <v>300</v>
      </c>
      <c r="H52" s="12" t="s">
        <v>121</v>
      </c>
      <c r="I52" s="12" t="s">
        <v>301</v>
      </c>
      <c r="AJ52" s="12"/>
    </row>
    <row r="53" spans="1:36" customHeight="1" ht="30">
      <c r="A53" s="11" t="s">
        <v>302</v>
      </c>
      <c r="B53" s="11" t="s">
        <v>303</v>
      </c>
      <c r="C53" s="11" t="s">
        <v>304</v>
      </c>
      <c r="D53" s="10" t="s">
        <v>213</v>
      </c>
      <c r="E53" s="10" t="s">
        <v>172</v>
      </c>
      <c r="F53" s="10" t="s">
        <v>232</v>
      </c>
      <c r="G53" s="10" t="s">
        <v>305</v>
      </c>
      <c r="H53" s="10" t="s">
        <v>306</v>
      </c>
      <c r="I53" s="10" t="s">
        <v>306</v>
      </c>
      <c r="AJ53" s="12"/>
    </row>
    <row r="54" spans="1:36">
      <c r="A54">
        <v>8</v>
      </c>
      <c r="B54" s="12" t="s">
        <v>307</v>
      </c>
      <c r="C54" s="12" t="s">
        <v>308</v>
      </c>
      <c r="D54" s="90">
        <v>806.09046126288</v>
      </c>
      <c r="E54" s="90">
        <v>2</v>
      </c>
      <c r="F54" s="90">
        <v>4</v>
      </c>
      <c r="G54" s="7" t="s">
        <v>89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309</v>
      </c>
      <c r="C55" s="12" t="s">
        <v>308</v>
      </c>
      <c r="D55" s="90">
        <v>806.09046126288</v>
      </c>
      <c r="E55" s="90">
        <v>2</v>
      </c>
      <c r="F55" s="90">
        <v>4</v>
      </c>
      <c r="G55" s="7" t="s">
        <v>89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310</v>
      </c>
      <c r="C56" s="12" t="s">
        <v>308</v>
      </c>
      <c r="D56" s="90">
        <v>806.09046126288</v>
      </c>
      <c r="E56" s="90">
        <v>2</v>
      </c>
      <c r="F56" s="90">
        <v>4</v>
      </c>
      <c r="G56" s="7" t="s">
        <v>89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311</v>
      </c>
      <c r="C57" s="12" t="s">
        <v>308</v>
      </c>
      <c r="D57" s="90">
        <v>806.09046126288</v>
      </c>
      <c r="E57" s="90">
        <v>2</v>
      </c>
      <c r="F57" s="90">
        <v>4</v>
      </c>
      <c r="G57" s="7" t="s">
        <v>89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312</v>
      </c>
      <c r="C58" s="12" t="s">
        <v>313</v>
      </c>
      <c r="D58" s="90">
        <v>806.09046126288</v>
      </c>
      <c r="E58" s="90">
        <v>2</v>
      </c>
      <c r="F58" s="90">
        <v>4</v>
      </c>
      <c r="G58" s="7" t="s">
        <v>298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314</v>
      </c>
      <c r="C59" s="12" t="s">
        <v>313</v>
      </c>
      <c r="D59" s="90">
        <v>806.09046126288</v>
      </c>
      <c r="E59" s="90">
        <v>1</v>
      </c>
      <c r="F59" s="90">
        <v>5</v>
      </c>
      <c r="G59" s="7" t="s">
        <v>298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315</v>
      </c>
      <c r="C60" s="12" t="s">
        <v>313</v>
      </c>
      <c r="D60" s="90">
        <v>806.09046126288</v>
      </c>
      <c r="E60" s="90">
        <v>2</v>
      </c>
      <c r="F60" s="90">
        <v>4</v>
      </c>
      <c r="G60" s="7" t="s">
        <v>89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316</v>
      </c>
      <c r="C61" s="12" t="s">
        <v>313</v>
      </c>
      <c r="D61" s="90">
        <v>268.69682042096</v>
      </c>
      <c r="E61" s="90">
        <v>2</v>
      </c>
      <c r="F61" s="90">
        <v>4</v>
      </c>
      <c r="G61" s="7" t="s">
        <v>89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317</v>
      </c>
      <c r="C62" s="12" t="s">
        <v>313</v>
      </c>
      <c r="D62" s="90">
        <v>806.09046126288</v>
      </c>
      <c r="E62" s="90">
        <v>2</v>
      </c>
      <c r="F62" s="90">
        <v>4</v>
      </c>
      <c r="G62" s="7" t="s">
        <v>298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318</v>
      </c>
      <c r="C63" s="12" t="s">
        <v>313</v>
      </c>
      <c r="D63" s="90">
        <v>806.09046126288</v>
      </c>
      <c r="E63" s="90">
        <v>2</v>
      </c>
      <c r="F63" s="90">
        <v>4</v>
      </c>
      <c r="G63" s="7" t="s">
        <v>298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319</v>
      </c>
      <c r="C64" s="12" t="s">
        <v>313</v>
      </c>
      <c r="D64" s="90">
        <v>1612.1809225258</v>
      </c>
      <c r="E64" s="90">
        <v>1</v>
      </c>
      <c r="F64" s="90">
        <v>6</v>
      </c>
      <c r="G64" s="7" t="s">
        <v>298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320</v>
      </c>
      <c r="C65" s="12" t="s">
        <v>313</v>
      </c>
      <c r="D65" s="90">
        <v>1612.1809225258</v>
      </c>
      <c r="E65" s="90">
        <v>1</v>
      </c>
      <c r="F65" s="90">
        <v>6</v>
      </c>
      <c r="G65" s="7" t="s">
        <v>89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321</v>
      </c>
      <c r="C66" s="12" t="s">
        <v>313</v>
      </c>
      <c r="D66" s="90">
        <v>806.09046126288</v>
      </c>
      <c r="E66" s="90">
        <v>2</v>
      </c>
      <c r="F66" s="90">
        <v>4</v>
      </c>
      <c r="G66" s="7" t="s">
        <v>89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322</v>
      </c>
      <c r="C67" s="12" t="s">
        <v>313</v>
      </c>
      <c r="D67" s="90">
        <v>806.09046126288</v>
      </c>
      <c r="E67" s="90">
        <v>2</v>
      </c>
      <c r="F67" s="90">
        <v>4</v>
      </c>
      <c r="G67" s="7" t="s">
        <v>89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323</v>
      </c>
      <c r="C68" s="12" t="s">
        <v>308</v>
      </c>
      <c r="D68" s="90">
        <v>806.09046126288</v>
      </c>
      <c r="E68" s="90">
        <v>2</v>
      </c>
      <c r="F68" s="90">
        <v>4</v>
      </c>
      <c r="G68" s="7" t="s">
        <v>89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324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325</v>
      </c>
      <c r="B73" s="11" t="s">
        <v>326</v>
      </c>
      <c r="C73" s="11" t="s">
        <v>327</v>
      </c>
      <c r="D73" s="11" t="s">
        <v>328</v>
      </c>
      <c r="E73" s="11" t="s">
        <v>77</v>
      </c>
      <c r="F73" s="11" t="s">
        <v>329</v>
      </c>
      <c r="G73" s="11" t="s">
        <v>330</v>
      </c>
      <c r="H73" s="11" t="s">
        <v>331</v>
      </c>
      <c r="I73" s="11" t="s">
        <v>209</v>
      </c>
      <c r="J73" s="11" t="s">
        <v>332</v>
      </c>
      <c r="K73" s="11" t="s">
        <v>162</v>
      </c>
      <c r="AJ73" s="12"/>
    </row>
    <row r="74" spans="1:36">
      <c r="A74" t="s">
        <v>89</v>
      </c>
      <c r="B74" s="177">
        <v>0</v>
      </c>
      <c r="C74" s="12" t="s">
        <v>333</v>
      </c>
      <c r="E74" s="12" t="s">
        <v>298</v>
      </c>
      <c r="F74" s="12" t="s">
        <v>298</v>
      </c>
      <c r="G74" s="12" t="s">
        <v>334</v>
      </c>
      <c r="H74" s="12" t="s">
        <v>121</v>
      </c>
      <c r="I74" s="12" t="s">
        <v>335</v>
      </c>
      <c r="J74" s="137" t="s">
        <v>336</v>
      </c>
      <c r="K74" s="12" t="s">
        <v>298</v>
      </c>
      <c r="AJ74" s="12"/>
    </row>
    <row r="75" spans="1:36">
      <c r="A75" t="s">
        <v>298</v>
      </c>
      <c r="B75" s="177">
        <v>5</v>
      </c>
      <c r="C75" s="135" t="s">
        <v>337</v>
      </c>
      <c r="D75" s="134"/>
      <c r="E75" s="12" t="s">
        <v>88</v>
      </c>
      <c r="F75" s="12" t="s">
        <v>338</v>
      </c>
      <c r="G75" s="12" t="s">
        <v>339</v>
      </c>
      <c r="H75" s="12" t="s">
        <v>301</v>
      </c>
      <c r="I75" s="12" t="s">
        <v>150</v>
      </c>
      <c r="J75" s="70" t="s">
        <v>87</v>
      </c>
      <c r="K75" s="12" t="s">
        <v>298</v>
      </c>
      <c r="AJ75" s="12"/>
    </row>
    <row r="76" spans="1:36">
      <c r="B76" s="177">
        <v>10</v>
      </c>
      <c r="C76" s="12" t="s">
        <v>340</v>
      </c>
      <c r="D76" s="12">
        <v>1</v>
      </c>
      <c r="E76" s="12" t="s">
        <v>341</v>
      </c>
      <c r="F76" s="12" t="s">
        <v>90</v>
      </c>
      <c r="G76" s="12" t="s">
        <v>342</v>
      </c>
      <c r="I76" s="12" t="s">
        <v>327</v>
      </c>
      <c r="J76" s="70" t="s">
        <v>343</v>
      </c>
      <c r="K76" s="12" t="s">
        <v>298</v>
      </c>
      <c r="AJ76" s="12"/>
    </row>
    <row r="77" spans="1:36">
      <c r="B77" s="177">
        <v>20</v>
      </c>
      <c r="C77" s="12" t="s">
        <v>344</v>
      </c>
      <c r="D77" s="12">
        <f>D76+1</f>
        <v>2</v>
      </c>
      <c r="E77" s="12" t="s">
        <v>345</v>
      </c>
      <c r="F77" s="12" t="s">
        <v>346</v>
      </c>
      <c r="J77" s="70" t="s">
        <v>347</v>
      </c>
      <c r="K77" s="12" t="s">
        <v>89</v>
      </c>
      <c r="AJ77" s="12"/>
    </row>
    <row r="78" spans="1:36">
      <c r="B78" s="177">
        <v>30</v>
      </c>
      <c r="C78" s="12" t="s">
        <v>91</v>
      </c>
      <c r="D78" s="12">
        <f>D77+1</f>
        <v>3</v>
      </c>
      <c r="J78" s="70" t="s">
        <v>348</v>
      </c>
      <c r="K78" s="12" t="s">
        <v>89</v>
      </c>
    </row>
    <row r="79" spans="1:36">
      <c r="B79" s="177">
        <v>40</v>
      </c>
      <c r="C79" s="12" t="s">
        <v>349</v>
      </c>
      <c r="D79" s="12">
        <f>D78+1</f>
        <v>4</v>
      </c>
      <c r="J79" s="70"/>
    </row>
    <row r="80" spans="1:36">
      <c r="B80" s="177">
        <v>50</v>
      </c>
      <c r="C80" s="12" t="s">
        <v>350</v>
      </c>
      <c r="D80" s="12">
        <f>D79+1</f>
        <v>5</v>
      </c>
    </row>
    <row r="81" spans="1:36">
      <c r="B81" s="177">
        <v>60</v>
      </c>
      <c r="C81" s="12" t="s">
        <v>351</v>
      </c>
      <c r="D81" s="12">
        <f>D80+1</f>
        <v>6</v>
      </c>
    </row>
    <row r="82" spans="1:36">
      <c r="B82" s="177">
        <v>70</v>
      </c>
      <c r="C82" s="12" t="s">
        <v>352</v>
      </c>
      <c r="D82" s="12">
        <f>D81+1</f>
        <v>7</v>
      </c>
    </row>
    <row r="83" spans="1:36">
      <c r="B83" s="177">
        <v>80</v>
      </c>
      <c r="C83" s="12" t="s">
        <v>353</v>
      </c>
      <c r="D83" s="12">
        <f>D82+1</f>
        <v>8</v>
      </c>
    </row>
    <row r="84" spans="1:36">
      <c r="B84" s="177">
        <v>90</v>
      </c>
      <c r="C84" s="12" t="s">
        <v>354</v>
      </c>
      <c r="D84" s="12">
        <f>D83+1</f>
        <v>9</v>
      </c>
    </row>
    <row r="85" spans="1:36">
      <c r="B85" s="177">
        <v>100</v>
      </c>
      <c r="C85" s="12" t="s">
        <v>355</v>
      </c>
      <c r="D85" s="12">
        <f>D84+1</f>
        <v>10</v>
      </c>
    </row>
    <row r="86" spans="1:36">
      <c r="C86" s="12" t="s">
        <v>356</v>
      </c>
      <c r="D86" s="12">
        <f>D85+1</f>
        <v>11</v>
      </c>
    </row>
    <row r="87" spans="1:36">
      <c r="C87" s="12" t="s">
        <v>357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2016-09-28T14:20:16+00:00</dcterms:modified>
  <dc:title/>
  <dc:description/>
  <dc:subject/>
  <cp:keywords/>
  <cp:category/>
</cp:coreProperties>
</file>