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<sst xmlns="http://schemas.openxmlformats.org/spreadsheetml/2006/main" uniqueCount="363">
  <si>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</si>
  <si>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</si>
  <si>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</si>
  <si>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</si>
  <si>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</si>
  <si>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</si>
  <si>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</si>
  <si>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</si>
  <si>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</si>
  <si>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</si>
  <si>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</si>
  <si>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</si>
  <si>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</si>
  <si>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</si>
  <si>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</si>
  <si>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</si>
  <si>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</si>
  <si>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</si>
  <si>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</si>
  <si>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</si>
  <si>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</si>
  <si>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</si>
  <si>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</si>
  <si>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</si>
  <si>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</si>
  <si>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</si>
  <si>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</si>
  <si>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</si>
  <si>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</si>
  <si>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</si>
  <si>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</si>
  <si>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</si>
  <si>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</si>
  <si>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</si>
  <si>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</si>
  <si>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</si>
  <si>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</si>
  <si>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</si>
  <si>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</si>
  <si>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</si>
  <si>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</si>
  <si>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</si>
  <si>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</si>
  <si>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</si>
  <si>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</si>
  <si>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</si>
  <si>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</si>
  <si>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</si>
  <si>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</si>
  <si>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</si>
  <si>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</si>
  <si>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</si>
  <si>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</si>
  <si>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</si>
  <si>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</si>
  <si>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</si>
  <si>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</si>
  <si>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</si>
  <si>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</si>
  <si>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</si>
  <si>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</si>
  <si>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</si>
  <si>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</si>
  <si>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</si>
  <si>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</si>
  <si>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</si>
  <si>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</si>
  <si>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</si>
  <si>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</si>
  <si>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</si>
  <si>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</si>
  <si>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</si>
  <si>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</si>
  <si>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</si>
  <si>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</si>
  <si>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</si>
  <si>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</si>
  <si>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</si>
  <si>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</si>
  <si>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</si>
  <si>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</si>
  <si>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</si>
  <si>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</si>
  <si>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</si>
  <si>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</si>
  <si>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</si>
  <si>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</si>
  <si>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Other farmers</t>
  </si>
  <si>
    <t>Yes only manure</t>
  </si>
  <si>
    <t>No</t>
  </si>
  <si>
    <t>Yes using a diesel pump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</si>
  <si>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</si>
  <si>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</si>
  <si>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</si>
  <si>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</si>
  <si>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</si>
  <si>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</si>
  <si>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</si>
  <si>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</si>
  <si>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</si>
  <si>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</si>
  <si>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</si>
  <si>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</si>
  <si>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</si>
  <si>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</si>
  <si>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</si>
  <si>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</si>
  <si>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</si>
  <si>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</si>
  <si>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</si>
  <si>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</si>
  <si>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</si>
  <si>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</si>
  <si>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</si>
  <si>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</si>
  <si>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</si>
  <si>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</si>
  <si>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</si>
  <si>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</si>
  <si>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</si>
  <si>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cow shed</t>
  </si>
  <si>
    <t>December</t>
  </si>
  <si>
    <t>Assets and liabilities</t>
  </si>
  <si>
    <t>Is the land yours?</t>
  </si>
  <si>
    <t>Land rent amount/ year</t>
  </si>
  <si>
    <t>Month when land rent is paid</t>
  </si>
  <si>
    <t>April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</si>
  <si>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</si>
  <si>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</si>
  <si>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</si>
  <si>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</si>
  <si>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</si>
  <si>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</si>
  <si>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</si>
  <si>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</si>
  <si>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</si>
  <si>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</si>
  <si>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</si>
  <si>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</si>
  <si>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</si>
  <si>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</si>
  <si>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</si>
  <si>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</si>
  <si>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2015/10/3</t>
  </si>
  <si>
    <t>kcb</t>
  </si>
  <si>
    <t>was sick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</si>
  <si>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</si>
  <si>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</si>
  <si>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</si>
  <si>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</si>
  <si>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</si>
  <si>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</si>
  <si>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May</t>
  </si>
  <si>
    <t>June</t>
  </si>
  <si>
    <t>Loan info</t>
  </si>
  <si>
    <t>Branch ID</t>
  </si>
  <si>
    <t>Submission date</t>
  </si>
  <si>
    <t>2016/10/3</t>
  </si>
  <si>
    <t>Loan terms</t>
  </si>
  <si>
    <t>Expected disbursement date</t>
  </si>
  <si>
    <t>Expected first repayment date</t>
  </si>
  <si>
    <t>2016/10/10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</si>
  <si>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</si>
  <si>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</si>
  <si>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</si>
  <si>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</si>
  <si>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</si>
  <si>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</si>
  <si>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</si>
  <si>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</si>
  <si>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</si>
  <si>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</si>
  <si>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</si>
  <si>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</si>
  <si>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</si>
  <si>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</si>
  <si>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</si>
  <si>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</si>
  <si>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</si>
  <si>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</si>
  <si>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</si>
  <si>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</si>
  <si>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</si>
  <si>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</si>
  <si>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</si>
  <si>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</si>
  <si>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</si>
  <si>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</si>
  <si>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</si>
  <si>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</si>
  <si>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</si>
  <si>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</si>
  <si>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</si>
  <si>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</si>
  <si>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</si>
  <si>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</si>
  <si>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</si>
  <si>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</si>
  <si>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</si>
  <si>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</si>
  <si>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</si>
  <si>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</si>
  <si>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</si>
  <si>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</si>
  <si>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</si>
  <si>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</si>
  <si>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</si>
  <si>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</si>
  <si>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</si>
  <si>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</si>
  <si>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</si>
  <si>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</si>
  <si>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</si>
  <si>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</si>
  <si>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</si>
  <si>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</si>
  <si>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</si>
  <si>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</si>
  <si>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</si>
  <si>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</si>
  <si>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</si>
  <si>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</si>
  <si>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</si>
  <si>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</si>
  <si>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</si>
  <si>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</si>
  <si>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</si>
  <si>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</si>
  <si>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</si>
  <si>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</si>
  <si>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</si>
  <si>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</si>
  <si>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</si>
  <si>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</si>
  <si>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</si>
  <si>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</si>
  <si>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</si>
  <si>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</si>
  <si>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</si>
  <si>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</si>
  <si>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</si>
  <si>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</si>
  <si>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</si>
  <si>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</si>
  <si>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</si>
  <si>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</si>
  <si>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</si>
  <si>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</si>
  <si>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</si>
  <si>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</si>
  <si>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</si>
  <si>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</si>
  <si>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</si>
  <si>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</si>
  <si>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</si>
  <si>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</si>
  <si>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</si>
  <si>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</si>
  <si>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</si>
  <si>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</si>
  <si>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</si>
  <si>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</si>
  <si>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</si>
  <si>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</si>
  <si>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</si>
  <si>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</si>
  <si>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</si>
  <si>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</si>
  <si>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</si>
  <si>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</si>
  <si>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</si>
  <si>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</si>
  <si>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</si>
  <si>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</si>
  <si>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</si>
  <si>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</si>
  <si>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</si>
  <si>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</si>
  <si>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</si>
  <si>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</si>
  <si>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</si>
  <si>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</si>
  <si>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</si>
  <si>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</si>
  <si>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</si>
  <si>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</si>
  <si>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</si>
  <si>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</si>
  <si>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</si>
  <si>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</si>
  <si>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</si>
  <si>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</si>
  <si>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</si>
  <si>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</si>
  <si>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</si>
  <si>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</si>
  <si>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</si>
  <si>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</si>
  <si>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</si>
  <si>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</si>
  <si>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</si>
  <si>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</si>
  <si>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</si>
  <si>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</si>
  <si>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</si>
  <si>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</si>
  <si>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</si>
  <si>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</si>
  <si>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</si>
  <si>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</si>
  <si>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</si>
  <si>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</si>
  <si>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</si>
  <si>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</si>
  <si>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</si>
  <si>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</si>
  <si>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</si>
  <si>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</si>
  <si>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</si>
  <si>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</si>
  <si>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</si>
  <si>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</si>
  <si>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</si>
  <si>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</si>
  <si>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</si>
  <si>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</si>
  <si>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</si>
  <si>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</si>
  <si>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</si>
  <si>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</si>
  <si>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</si>
  <si>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</si>
  <si>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</si>
  <si>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</si>
  <si>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</si>
  <si>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</si>
  <si>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</si>
  <si>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</si>
  <si>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</si>
  <si>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</si>
  <si>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</si>
  <si>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</si>
  <si>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</si>
  <si>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</si>
  <si>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</si>
  <si>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</si>
  <si>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</si>
  <si>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</si>
  <si>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</si>
  <si>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</si>
  <si>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Sometimes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</si>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</sst>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March 2018, 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 customHeight="1" ht="9.75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Cabbages, 0, , 0, 0, 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Chicken_layers, Chicken: sale of ex layers</v>
      </c>
    </row>
    <row r="8" spans="1:7">
      <c r="B8" s="1" t="s">
        <v>4</v>
      </c>
      <c r="C8" t="str">
        <f>IF(Inputs!B29="","None",Inputs!B29)</f>
        <v>mpesa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March 2018</v>
      </c>
    </row>
    <row r="13" spans="1:7">
      <c r="B13" s="1" t="s">
        <v>8</v>
      </c>
      <c r="C13" s="67">
        <f>IFERROR(Output!B105/Output!B99,"")</f>
        <v>0.24584717607973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248474.56082647</v>
      </c>
    </row>
    <row r="18" spans="1:7">
      <c r="B18" s="1" t="s">
        <v>12</v>
      </c>
      <c r="C18" s="36">
        <f>MIN(Output!B4:M4)</f>
        <v>-6243.3874644612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September 2017</v>
      </c>
    </row>
    <row r="20" spans="1:7">
      <c r="B20" s="1" t="s">
        <v>14</v>
      </c>
      <c r="C20" s="36">
        <f>MAX(Output!B4:M4)</f>
        <v>47739.480935539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47500</v>
      </c>
    </row>
    <row r="25" spans="1:7">
      <c r="B25" s="1" t="s">
        <v>18</v>
      </c>
      <c r="C25" s="36">
        <f>MAX(Inputs!A56:A60)</f>
        <v>47500</v>
      </c>
    </row>
    <row r="26" spans="1:7">
      <c r="B26" s="1" t="s">
        <v>19</v>
      </c>
      <c r="C26" s="136" t="str">
        <f>IF(OR(Inputs!E56="No",Inputs!E57="No",Inputs!E58="No",Inputs!E59="No",Inputs!E60="No"),"No","Yes")</f>
        <v>No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8" topLeftCell="S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42644</v>
      </c>
      <c r="C3" s="17">
        <f>DATE(YEAR(B3),MONTH(B3)+1,DAY(B3))</f>
        <v>42675</v>
      </c>
      <c r="D3" s="17">
        <f>DATE(YEAR(C3),MONTH(C3)+1,DAY(C3))</f>
        <v>42705</v>
      </c>
      <c r="E3" s="17">
        <f>DATE(YEAR(D3),MONTH(D3)+1,DAY(D3))</f>
        <v>42736</v>
      </c>
      <c r="F3" s="17">
        <f>DATE(YEAR(E3),MONTH(E3)+1,DAY(E3))</f>
        <v>42767</v>
      </c>
      <c r="G3" s="17">
        <f>DATE(YEAR(F3),MONTH(F3)+1,DAY(F3))</f>
        <v>42795</v>
      </c>
      <c r="H3" s="17">
        <f>DATE(YEAR(G3),MONTH(G3)+1,DAY(G3))</f>
        <v>42826</v>
      </c>
      <c r="I3" s="17">
        <f>DATE(YEAR(H3),MONTH(H3)+1,DAY(H3))</f>
        <v>42856</v>
      </c>
      <c r="J3" s="17">
        <f>DATE(YEAR(I3),MONTH(I3)+1,DAY(I3))</f>
        <v>42887</v>
      </c>
      <c r="K3" s="17">
        <f>DATE(YEAR(J3),MONTH(J3)+1,DAY(J3))</f>
        <v>42917</v>
      </c>
      <c r="L3" s="17">
        <f>DATE(YEAR(K3),MONTH(K3)+1,DAY(K3))</f>
        <v>42948</v>
      </c>
      <c r="M3" s="17">
        <f>DATE(YEAR(L3),MONTH(L3)+1,DAY(L3))</f>
        <v>42979</v>
      </c>
      <c r="N3" s="17">
        <f>DATE(YEAR(M3),MONTH(M3)+1,DAY(M3))</f>
        <v>43009</v>
      </c>
      <c r="O3" s="17">
        <f>DATE(YEAR(N3),MONTH(N3)+1,DAY(N3))</f>
        <v>43040</v>
      </c>
      <c r="P3" s="17">
        <f>DATE(YEAR(O3),MONTH(O3)+1,DAY(O3))</f>
        <v>43070</v>
      </c>
      <c r="Q3" s="17">
        <f>DATE(YEAR(P3),MONTH(P3)+1,DAY(P3))</f>
        <v>43101</v>
      </c>
      <c r="R3" s="17">
        <f>DATE(YEAR(Q3),MONTH(Q3)+1,DAY(Q3))</f>
        <v>43132</v>
      </c>
      <c r="S3" s="17">
        <f>DATE(YEAR(R3),MONTH(R3)+1,DAY(R3))</f>
        <v>43160</v>
      </c>
      <c r="T3" s="17">
        <f>DATE(YEAR(S3),MONTH(S3)+1,DAY(S3))</f>
        <v>43191</v>
      </c>
      <c r="U3" s="17">
        <f>DATE(YEAR(T3),MONTH(T3)+1,DAY(T3))</f>
        <v>43221</v>
      </c>
      <c r="V3" s="17">
        <f>DATE(YEAR(U3),MONTH(U3)+1,DAY(U3))</f>
        <v>43252</v>
      </c>
      <c r="W3" s="17">
        <f>DATE(YEAR(V3),MONTH(V3)+1,DAY(V3))</f>
        <v>43282</v>
      </c>
      <c r="X3" s="17">
        <f>DATE(YEAR(W3),MONTH(W3)+1,DAY(W3))</f>
        <v>43313</v>
      </c>
      <c r="Y3" s="17">
        <f>DATE(YEAR(X3),MONTH(X3)+1,DAY(X3))</f>
        <v>43344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43374</v>
      </c>
    </row>
    <row r="4" spans="1:30" customHeight="1" ht="15.75">
      <c r="A4" s="50" t="s">
        <v>24</v>
      </c>
      <c r="B4" s="51">
        <f>B28-B86</f>
        <v>-1031.3874644612</v>
      </c>
      <c r="C4" s="51">
        <f>C28-C86</f>
        <v>-1031.3874644612</v>
      </c>
      <c r="D4" s="51">
        <f>D28-D86</f>
        <v>37664.480935539</v>
      </c>
      <c r="E4" s="51">
        <f>E28-E86</f>
        <v>47739.480935539</v>
      </c>
      <c r="F4" s="51">
        <f>F28-F86</f>
        <v>47739.480935539</v>
      </c>
      <c r="G4" s="51">
        <f>G28-G86</f>
        <v>-6243.3874644612</v>
      </c>
      <c r="H4" s="51">
        <f>H28-H86</f>
        <v>-2231.3874644612</v>
      </c>
      <c r="I4" s="51">
        <f>I28-I86</f>
        <v>-1031.3874644612</v>
      </c>
      <c r="J4" s="51">
        <f>J28-J86</f>
        <v>37664.480935539</v>
      </c>
      <c r="K4" s="51">
        <f>K28-K86</f>
        <v>47739.480935539</v>
      </c>
      <c r="L4" s="51">
        <f>L28-L86</f>
        <v>47739.480935539</v>
      </c>
      <c r="M4" s="51">
        <f>M28-M86</f>
        <v>-6243.3874644612</v>
      </c>
      <c r="N4" s="51">
        <f>N28-N86</f>
        <v>-1031.3874644612</v>
      </c>
      <c r="O4" s="51">
        <f>O28-O86</f>
        <v>-1031.3874644612</v>
      </c>
      <c r="P4" s="51">
        <f>P28-P86</f>
        <v>37664.480935539</v>
      </c>
      <c r="Q4" s="51">
        <f>Q28-Q86</f>
        <v>47739.480935539</v>
      </c>
      <c r="R4" s="51">
        <f>R28-R86</f>
        <v>85239.480935539</v>
      </c>
      <c r="S4" s="51">
        <f>S28-S86</f>
        <v>-6243.3874644612</v>
      </c>
      <c r="T4" s="51">
        <f>T28-T86</f>
        <v>-2231.3874644612</v>
      </c>
      <c r="U4" s="51">
        <f>U28-U86</f>
        <v>-1031.3874644612</v>
      </c>
      <c r="V4" s="51">
        <f>V28-V86</f>
        <v>37664.480935539</v>
      </c>
      <c r="W4" s="51">
        <f>W28-W86</f>
        <v>47739.480935539</v>
      </c>
      <c r="X4" s="51">
        <f>X28-X86</f>
        <v>47739.480935539</v>
      </c>
      <c r="Y4" s="51">
        <f>Y28-Y86</f>
        <v>-6243.3874644612</v>
      </c>
      <c r="Z4" s="51">
        <f>SUMIF($B$11:$Y$11,"Yes",B4:Y4)</f>
        <v>-1031.3874644612</v>
      </c>
      <c r="AA4" s="51">
        <f>AA28-AA86</f>
        <v>248474.56082647</v>
      </c>
      <c r="AB4" s="51">
        <f>AB28-AB86</f>
        <v>534449.12165293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-1500</v>
      </c>
      <c r="C5" s="81">
        <f>IFERROR(INDEX(Inputs!$B$66:$B$71,MATCH(MONTH(Output!C3),Inputs!$D$66:$D$71,0))-INDEX(Inputs!$C$66:$C$71,MATCH(MONTH(Output!C3),Inputs!$D$66:$D$71,0)),"")</f>
        <v>-1500</v>
      </c>
      <c r="D5" s="81">
        <f>IFERROR(INDEX(Inputs!$B$66:$B$71,MATCH(MONTH(Output!D3),Inputs!$D$66:$D$71,0))-INDEX(Inputs!$C$66:$C$71,MATCH(MONTH(Output!D3),Inputs!$D$66:$D$71,0)),"")</f>
        <v>-1500</v>
      </c>
      <c r="E5" s="81">
        <f>IFERROR(INDEX(Inputs!$B$66:$B$71,MATCH(MONTH(Output!E3),Inputs!$D$66:$D$71,0))-INDEX(Inputs!$C$66:$C$71,MATCH(MONTH(Output!E3),Inputs!$D$66:$D$71,0)),"")</f>
        <v>5000</v>
      </c>
      <c r="F5" s="81">
        <f>IFERROR(INDEX(Inputs!$B$66:$B$71,MATCH(MONTH(Output!F3),Inputs!$D$66:$D$71,0))-INDEX(Inputs!$C$66:$C$71,MATCH(MONTH(Output!F3),Inputs!$D$66:$D$71,0)),"")</f>
        <v>-34000</v>
      </c>
      <c r="G5" s="81">
        <f>IFERROR(INDEX(Inputs!$B$66:$B$71,MATCH(MONTH(Output!G3),Inputs!$D$66:$D$71,0))-INDEX(Inputs!$C$66:$C$71,MATCH(MONTH(Output!G3),Inputs!$D$66:$D$71,0)),"")</f>
        <v>8845</v>
      </c>
      <c r="H5" s="81">
        <f>IFERROR(INDEX(Inputs!$B$66:$B$71,MATCH(MONTH(Output!H3),Inputs!$D$66:$D$71,0))-INDEX(Inputs!$C$66:$C$71,MATCH(MONTH(Output!H3),Inputs!$D$66:$D$71,0)),"")</f>
        <v>7300</v>
      </c>
      <c r="I5" s="81">
        <f>IFERROR(INDEX(Inputs!$B$66:$B$71,MATCH(MONTH(Output!I3),Inputs!$D$66:$D$71,0))-INDEX(Inputs!$C$66:$C$71,MATCH(MONTH(Output!I3),Inputs!$D$66:$D$71,0)),"")</f>
        <v>13000</v>
      </c>
      <c r="J5" s="81">
        <f>IFERROR(INDEX(Inputs!$B$66:$B$71,MATCH(MONTH(Output!J3),Inputs!$D$66:$D$71,0))-INDEX(Inputs!$C$66:$C$71,MATCH(MONTH(Output!J3),Inputs!$D$66:$D$71,0)),"")</f>
        <v>-1500</v>
      </c>
      <c r="K5" s="81">
        <f>IFERROR(INDEX(Inputs!$B$66:$B$71,MATCH(MONTH(Output!K3),Inputs!$D$66:$D$71,0))-INDEX(Inputs!$C$66:$C$71,MATCH(MONTH(Output!K3),Inputs!$D$66:$D$71,0)),"")</f>
        <v>-1500</v>
      </c>
      <c r="L5" s="81">
        <f>IFERROR(INDEX(Inputs!$B$66:$B$71,MATCH(MONTH(Output!L3),Inputs!$D$66:$D$71,0))-INDEX(Inputs!$C$66:$C$71,MATCH(MONTH(Output!L3),Inputs!$D$66:$D$71,0)),"")</f>
        <v>-1500</v>
      </c>
      <c r="M5" s="81">
        <f>IFERROR(INDEX(Inputs!$B$66:$B$71,MATCH(MONTH(Output!M3),Inputs!$D$66:$D$71,0))-INDEX(Inputs!$C$66:$C$71,MATCH(MONTH(Output!M3),Inputs!$D$66:$D$71,0)),"")</f>
        <v>-1500</v>
      </c>
      <c r="N5" s="81">
        <f>IFERROR(INDEX(Inputs!$B$66:$B$71,MATCH(MONTH(Output!N3),Inputs!$D$66:$D$71,0))-INDEX(Inputs!$C$66:$C$71,MATCH(MONTH(Output!N3),Inputs!$D$66:$D$71,0)),"")</f>
        <v>-1500</v>
      </c>
      <c r="O5" s="81">
        <f>IFERROR(INDEX(Inputs!$B$66:$B$71,MATCH(MONTH(Output!O3),Inputs!$D$66:$D$71,0))-INDEX(Inputs!$C$66:$C$71,MATCH(MONTH(Output!O3),Inputs!$D$66:$D$71,0)),"")</f>
        <v>-1500</v>
      </c>
      <c r="P5" s="81">
        <f>IFERROR(INDEX(Inputs!$B$66:$B$71,MATCH(MONTH(Output!P3),Inputs!$D$66:$D$71,0))-INDEX(Inputs!$C$66:$C$71,MATCH(MONTH(Output!P3),Inputs!$D$66:$D$71,0)),"")</f>
        <v>-1500</v>
      </c>
      <c r="Q5" s="81">
        <f>IFERROR(INDEX(Inputs!$B$66:$B$71,MATCH(MONTH(Output!Q3),Inputs!$D$66:$D$71,0))-INDEX(Inputs!$C$66:$C$71,MATCH(MONTH(Output!Q3),Inputs!$D$66:$D$71,0)),"")</f>
        <v>5000</v>
      </c>
      <c r="R5" s="81">
        <f>IFERROR(INDEX(Inputs!$B$66:$B$71,MATCH(MONTH(Output!R3),Inputs!$D$66:$D$71,0))-INDEX(Inputs!$C$66:$C$71,MATCH(MONTH(Output!R3),Inputs!$D$66:$D$71,0)),"")</f>
        <v>-34000</v>
      </c>
      <c r="S5" s="81">
        <f>IFERROR(INDEX(Inputs!$B$66:$B$71,MATCH(MONTH(Output!S3),Inputs!$D$66:$D$71,0))-INDEX(Inputs!$C$66:$C$71,MATCH(MONTH(Output!S3),Inputs!$D$66:$D$71,0)),"")</f>
        <v>8845</v>
      </c>
      <c r="T5" s="81">
        <f>IFERROR(INDEX(Inputs!$B$66:$B$71,MATCH(MONTH(Output!T3),Inputs!$D$66:$D$71,0))-INDEX(Inputs!$C$66:$C$71,MATCH(MONTH(Output!T3),Inputs!$D$66:$D$71,0)),"")</f>
        <v>7300</v>
      </c>
      <c r="U5" s="81">
        <f>IFERROR(INDEX(Inputs!$B$66:$B$71,MATCH(MONTH(Output!U3),Inputs!$D$66:$D$71,0))-INDEX(Inputs!$C$66:$C$71,MATCH(MONTH(Output!U3),Inputs!$D$66:$D$71,0)),"")</f>
        <v>13000</v>
      </c>
      <c r="V5" s="81">
        <f>IFERROR(INDEX(Inputs!$B$66:$B$71,MATCH(MONTH(Output!V3),Inputs!$D$66:$D$71,0))-INDEX(Inputs!$C$66:$C$71,MATCH(MONTH(Output!V3),Inputs!$D$66:$D$71,0)),"")</f>
        <v>-1500</v>
      </c>
      <c r="W5" s="81">
        <f>IFERROR(INDEX(Inputs!$B$66:$B$71,MATCH(MONTH(Output!W3),Inputs!$D$66:$D$71,0))-INDEX(Inputs!$C$66:$C$71,MATCH(MONTH(Output!W3),Inputs!$D$66:$D$71,0)),"")</f>
        <v>-1500</v>
      </c>
      <c r="X5" s="81">
        <f>IFERROR(INDEX(Inputs!$B$66:$B$71,MATCH(MONTH(Output!X3),Inputs!$D$66:$D$71,0))-INDEX(Inputs!$C$66:$C$71,MATCH(MONTH(Output!X3),Inputs!$D$66:$D$71,0)),"")</f>
        <v>-1500</v>
      </c>
      <c r="Y5" s="81">
        <f>IFERROR(INDEX(Inputs!$B$66:$B$71,MATCH(MONTH(Output!Y3),Inputs!$D$66:$D$71,0))-INDEX(Inputs!$C$66:$C$71,MATCH(MONTH(Output!Y3),Inputs!$D$66:$D$71,0)),"")</f>
        <v>-1500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10000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10000</v>
      </c>
      <c r="AA7" s="76">
        <f>SUM(B7:M7)</f>
        <v>10000</v>
      </c>
      <c r="AB7" s="76">
        <f>SUM(B7:Y7)</f>
        <v>10000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8968.6125355388</v>
      </c>
      <c r="C9" s="81">
        <f>C4+C7-C8</f>
        <v>-1031.3874644612</v>
      </c>
      <c r="D9" s="81">
        <f>D4+D7-D8</f>
        <v>37664.480935539</v>
      </c>
      <c r="E9" s="81">
        <f>E4+E7-E8</f>
        <v>47739.480935539</v>
      </c>
      <c r="F9" s="81">
        <f>F4+F7-F8</f>
        <v>47739.480935539</v>
      </c>
      <c r="G9" s="81">
        <f>G4+G7-G8</f>
        <v>-6243.3874644612</v>
      </c>
      <c r="H9" s="81">
        <f>H4+H7-H8</f>
        <v>-2231.3874644612</v>
      </c>
      <c r="I9" s="81">
        <f>I4+I7-I8</f>
        <v>-1031.3874644612</v>
      </c>
      <c r="J9" s="81">
        <f>J4+J7-J8</f>
        <v>37664.480935539</v>
      </c>
      <c r="K9" s="81">
        <f>K4+K7-K8</f>
        <v>47739.480935539</v>
      </c>
      <c r="L9" s="81">
        <f>L4+L7-L8</f>
        <v>47739.480935539</v>
      </c>
      <c r="M9" s="81">
        <f>M4+M7-M8</f>
        <v>-6243.3874644612</v>
      </c>
      <c r="N9" s="81">
        <f>N4+N7-N8</f>
        <v>-1031.3874644612</v>
      </c>
      <c r="O9" s="81">
        <f>O4+O7-O8</f>
        <v>-1031.3874644612</v>
      </c>
      <c r="P9" s="81">
        <f>P4+P7-P8</f>
        <v>37664.480935539</v>
      </c>
      <c r="Q9" s="81">
        <f>Q4+Q7-Q8</f>
        <v>47739.480935539</v>
      </c>
      <c r="R9" s="81">
        <f>R4+R7-R8</f>
        <v>85239.480935539</v>
      </c>
      <c r="S9" s="81">
        <f>S4+S7-S8</f>
        <v>-6243.3874644612</v>
      </c>
      <c r="T9" s="81">
        <f>T4+T7-T8</f>
        <v>-2231.3874644612</v>
      </c>
      <c r="U9" s="81">
        <f>U4+U7-U8</f>
        <v>-1031.3874644612</v>
      </c>
      <c r="V9" s="81">
        <f>V4+V7-V8</f>
        <v>37664.480935539</v>
      </c>
      <c r="W9" s="81">
        <f>W4+W7-W8</f>
        <v>47739.480935539</v>
      </c>
      <c r="X9" s="81">
        <f>X4+X7-X8</f>
        <v>47739.480935539</v>
      </c>
      <c r="Y9" s="81">
        <f>Y4+Y7-Y8</f>
        <v>-6243.3874644612</v>
      </c>
      <c r="Z9" s="86">
        <f>SUMIF($B$11:$Y$11,"Yes",B9:Y9)</f>
        <v>8968.6125355388</v>
      </c>
      <c r="AA9" s="81">
        <f>SUM(B9:M9)</f>
        <v>258474.56082647</v>
      </c>
      <c r="AB9" s="46">
        <f>SUM(B9:Y9)</f>
        <v>544449.12165293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42644</v>
      </c>
      <c r="C15" s="17">
        <f>C3</f>
        <v>42675</v>
      </c>
      <c r="D15" s="17">
        <f>D3</f>
        <v>42705</v>
      </c>
      <c r="E15" s="17">
        <f>E3</f>
        <v>42736</v>
      </c>
      <c r="F15" s="17">
        <f>F3</f>
        <v>42767</v>
      </c>
      <c r="G15" s="17">
        <f>G3</f>
        <v>42795</v>
      </c>
      <c r="H15" s="17">
        <f>H3</f>
        <v>42826</v>
      </c>
      <c r="I15" s="17">
        <f>I3</f>
        <v>42856</v>
      </c>
      <c r="J15" s="17">
        <f>J3</f>
        <v>42887</v>
      </c>
      <c r="K15" s="17">
        <f>K3</f>
        <v>42917</v>
      </c>
      <c r="L15" s="17">
        <f>L3</f>
        <v>42948</v>
      </c>
      <c r="M15" s="17">
        <f>M3</f>
        <v>42979</v>
      </c>
      <c r="N15" s="17">
        <f>N3</f>
        <v>43009</v>
      </c>
      <c r="O15" s="17">
        <f>O3</f>
        <v>43040</v>
      </c>
      <c r="P15" s="17">
        <f>P3</f>
        <v>43070</v>
      </c>
      <c r="Q15" s="17">
        <f>Q3</f>
        <v>43101</v>
      </c>
      <c r="R15" s="17">
        <f>R3</f>
        <v>43132</v>
      </c>
      <c r="S15" s="17">
        <f>S3</f>
        <v>43160</v>
      </c>
      <c r="T15" s="17">
        <f>T3</f>
        <v>43191</v>
      </c>
      <c r="U15" s="17">
        <f>U3</f>
        <v>43221</v>
      </c>
      <c r="V15" s="17">
        <f>V3</f>
        <v>43252</v>
      </c>
      <c r="W15" s="17">
        <f>W3</f>
        <v>43282</v>
      </c>
      <c r="X15" s="17">
        <f>X3</f>
        <v>43313</v>
      </c>
      <c r="Y15" s="17">
        <f>Y3</f>
        <v>43344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 t="str">
        <f>IF(Calculations!A4&lt;&gt;Parameters!$A$18,IF(Calculations!A4=0,"",Calculations!A4),Inputs!B7)</f>
        <v>Cabbages</v>
      </c>
      <c r="B16" s="36">
        <f>N16</f>
        <v>0</v>
      </c>
      <c r="C16" s="36">
        <f>O16</f>
        <v>0</v>
      </c>
      <c r="D16" s="36">
        <f>P16</f>
        <v>38695.8684</v>
      </c>
      <c r="E16" s="36">
        <f>Q16</f>
        <v>38695.8684</v>
      </c>
      <c r="F16" s="36">
        <f>R16</f>
        <v>38695.8684</v>
      </c>
      <c r="G16" s="36">
        <f>S16</f>
        <v>0</v>
      </c>
      <c r="H16" s="36">
        <f>T16</f>
        <v>0</v>
      </c>
      <c r="I16" s="36">
        <f>U16</f>
        <v>0</v>
      </c>
      <c r="J16" s="36">
        <f>V16</f>
        <v>38695.8684</v>
      </c>
      <c r="K16" s="36">
        <f>W16</f>
        <v>38695.8684</v>
      </c>
      <c r="L16" s="36">
        <f>X16</f>
        <v>38695.8684</v>
      </c>
      <c r="M16" s="36">
        <f>Y16</f>
        <v>0</v>
      </c>
      <c r="N16" s="36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0</v>
      </c>
      <c r="O16" s="36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0</v>
      </c>
      <c r="P16" s="36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38695.8684</v>
      </c>
      <c r="Q16" s="36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38695.8684</v>
      </c>
      <c r="R16" s="36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38695.8684</v>
      </c>
      <c r="S16" s="36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0</v>
      </c>
      <c r="T16" s="36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38695.8684</v>
      </c>
      <c r="W16" s="36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38695.8684</v>
      </c>
      <c r="X16" s="36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38695.8684</v>
      </c>
      <c r="Y16" s="36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>
        <f>SUMIF($B$11:$Y$11,"Yes",B16:Y16)</f>
        <v>0</v>
      </c>
      <c r="AA16" s="36">
        <f>SUM(B16:M16)</f>
        <v>232175.2104</v>
      </c>
      <c r="AB16" s="36">
        <f>SUM(B16:Y16)</f>
        <v>464350.4208</v>
      </c>
      <c r="AC16" s="43"/>
      <c r="AD16" s="43"/>
    </row>
    <row r="17" spans="1:30">
      <c r="A17">
        <f>IF(Calculations!A5&lt;&gt;Parameters!$A$18,IF(Calculations!A5=0,"",Calculations!A5),Inputs!B8)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0</v>
      </c>
      <c r="O17" s="36" t="str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0</v>
      </c>
      <c r="P17" s="36" t="str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 t="str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 t="str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 t="str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 t="str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 t="str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 t="str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 t="str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 t="str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 t="str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0</v>
      </c>
      <c r="AA17" s="36">
        <f>SUM(B17:M17)</f>
        <v>0</v>
      </c>
      <c r="AB17" s="36">
        <f>SUM(B17:Y17)</f>
        <v>0</v>
      </c>
      <c r="AC17" s="43"/>
      <c r="AD17" s="43"/>
    </row>
    <row r="18" spans="1:30">
      <c r="A18">
        <f>IF(Calculations!A6&lt;&gt;Parameters!$A$18,IF(Calculations!A6=0,"",Calculations!A6),Inputs!B9)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 t="str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0</v>
      </c>
      <c r="P18" s="36" t="str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0</v>
      </c>
      <c r="Q18" s="36" t="str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0</v>
      </c>
      <c r="R18" s="36" t="str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 t="str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 t="str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 t="str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 t="str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 t="str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 t="str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 t="str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0</v>
      </c>
      <c r="AA18" s="36">
        <f>SUM(B18:M18)</f>
        <v>0</v>
      </c>
      <c r="AB18" s="36">
        <f>SUM(B18:Y18)</f>
        <v>0</v>
      </c>
    </row>
    <row r="19" spans="1:30">
      <c r="A19">
        <f>IF(Calculations!A7&lt;&gt;Parameters!$A$18,IF(Calculations!A7=0,"",Calculations!A7),Inputs!B10)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0</v>
      </c>
      <c r="AA19" s="36">
        <f>SUM(B19:M19)</f>
        <v>0</v>
      </c>
      <c r="AB19" s="36">
        <f>SUM(B19:Y19)</f>
        <v>0</v>
      </c>
    </row>
    <row r="20" spans="1:30">
      <c r="A20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34304.511278195</v>
      </c>
    </row>
    <row r="22" spans="1:30">
      <c r="A22" s="43" t="str">
        <f>IF(Inputs!A19="","",IF(Inputs!A19=Parameters!$A$30,Inputs!B19,Inputs!A19))</f>
        <v>Chicken_layers</v>
      </c>
      <c r="B22" s="36">
        <f>IFERROR(Calculations!$P14/12,"")</f>
        <v>21954.887218045</v>
      </c>
      <c r="C22" s="36">
        <f>IFERROR(Calculations!$P14/12,"")</f>
        <v>21954.887218045</v>
      </c>
      <c r="D22" s="36">
        <f>IFERROR(Calculations!$P14/12,"")</f>
        <v>21954.887218045</v>
      </c>
      <c r="E22" s="36">
        <f>IFERROR(Calculations!$P14/12,"")</f>
        <v>21954.887218045</v>
      </c>
      <c r="F22" s="36">
        <f>IFERROR(Calculations!$P14/12,"")</f>
        <v>21954.887218045</v>
      </c>
      <c r="G22" s="36">
        <f>IFERROR(Calculations!$P14/12,"")</f>
        <v>21954.887218045</v>
      </c>
      <c r="H22" s="36">
        <f>IFERROR(Calculations!$P14/12,"")</f>
        <v>21954.887218045</v>
      </c>
      <c r="I22" s="36">
        <f>IFERROR(Calculations!$P14/12,"")</f>
        <v>21954.887218045</v>
      </c>
      <c r="J22" s="36">
        <f>IFERROR(Calculations!$P14/12,"")</f>
        <v>21954.887218045</v>
      </c>
      <c r="K22" s="36">
        <f>IFERROR(Calculations!$P14/12,"")</f>
        <v>21954.887218045</v>
      </c>
      <c r="L22" s="36">
        <f>IFERROR(Calculations!$P14/12,"")</f>
        <v>21954.887218045</v>
      </c>
      <c r="M22" s="36">
        <f>IFERROR(Calculations!$P14/12,"")</f>
        <v>21954.887218045</v>
      </c>
      <c r="N22" s="36">
        <f>IFERROR(Calculations!$P14/12,"")</f>
        <v>21954.887218045</v>
      </c>
      <c r="O22" s="36">
        <f>IFERROR(Calculations!$P14/12,"")</f>
        <v>21954.887218045</v>
      </c>
      <c r="P22" s="36">
        <f>IFERROR(Calculations!$P14/12,"")</f>
        <v>21954.887218045</v>
      </c>
      <c r="Q22" s="36">
        <f>IFERROR(Calculations!$P14/12,"")</f>
        <v>21954.887218045</v>
      </c>
      <c r="R22" s="36">
        <f>IFERROR(Calculations!$P14/12,"")</f>
        <v>21954.887218045</v>
      </c>
      <c r="S22" s="36">
        <f>IFERROR(Calculations!$P14/12,"")</f>
        <v>21954.887218045</v>
      </c>
      <c r="T22" s="36">
        <f>IFERROR(Calculations!$P14/12,"")</f>
        <v>21954.887218045</v>
      </c>
      <c r="U22" s="36">
        <f>IFERROR(Calculations!$P14/12,"")</f>
        <v>21954.887218045</v>
      </c>
      <c r="V22" s="36">
        <f>IFERROR(Calculations!$P14/12,"")</f>
        <v>21954.887218045</v>
      </c>
      <c r="W22" s="36">
        <f>IFERROR(Calculations!$P14/12,"")</f>
        <v>21954.887218045</v>
      </c>
      <c r="X22" s="36">
        <f>IFERROR(Calculations!$P14/12,"")</f>
        <v>21954.887218045</v>
      </c>
      <c r="Y22" s="36">
        <f>IFERROR(Calculations!$P14/12,"")</f>
        <v>21954.887218045</v>
      </c>
      <c r="Z22" s="36">
        <f>SUMIF($B$11:$Y$11,"Yes",B22:Y22)</f>
        <v>21954.887218045</v>
      </c>
      <c r="AA22" s="36">
        <f>SUM(B22:M22)</f>
        <v>263458.64661654</v>
      </c>
      <c r="AB22" s="46">
        <f>SUM(B22:Y22)</f>
        <v>526917.29323308</v>
      </c>
    </row>
    <row r="23" spans="1:30">
      <c r="A23" s="43" t="str">
        <f>IF(Inputs!A20="","",IF(Inputs!A20=Parameters!$A$30,Inputs!B20,Inputs!A20))</f>
        <v/>
      </c>
      <c r="B23" s="36" t="str">
        <f>IFERROR(Calculations!$P15/12,"")</f>
        <v/>
      </c>
      <c r="C23" s="36" t="str">
        <f>IFERROR(Calculations!$P15/12,"")</f>
        <v/>
      </c>
      <c r="D23" s="36" t="str">
        <f>IFERROR(Calculations!$P15/12,"")</f>
        <v/>
      </c>
      <c r="E23" s="36" t="str">
        <f>IFERROR(Calculations!$P15/12,"")</f>
        <v/>
      </c>
      <c r="F23" s="36" t="str">
        <f>IFERROR(Calculations!$P15/12,"")</f>
        <v/>
      </c>
      <c r="G23" s="36" t="str">
        <f>IFERROR(Calculations!$P15/12,"")</f>
        <v/>
      </c>
      <c r="H23" s="36" t="str">
        <f>IFERROR(Calculations!$P15/12,"")</f>
        <v/>
      </c>
      <c r="I23" s="36" t="str">
        <f>IFERROR(Calculations!$P15/12,"")</f>
        <v/>
      </c>
      <c r="J23" s="36" t="str">
        <f>IFERROR(Calculations!$P15/12,"")</f>
        <v/>
      </c>
      <c r="K23" s="36" t="str">
        <f>IFERROR(Calculations!$P15/12,"")</f>
        <v/>
      </c>
      <c r="L23" s="36" t="str">
        <f>IFERROR(Calculations!$P15/12,"")</f>
        <v/>
      </c>
      <c r="M23" s="36" t="str">
        <f>IFERROR(Calculations!$P15/12,"")</f>
        <v/>
      </c>
      <c r="N23" s="36" t="str">
        <f>IFERROR(Calculations!$P15/12,"")</f>
        <v/>
      </c>
      <c r="O23" s="36" t="str">
        <f>IFERROR(Calculations!$P15/12,"")</f>
        <v/>
      </c>
      <c r="P23" s="36" t="str">
        <f>IFERROR(Calculations!$P15/12,"")</f>
        <v/>
      </c>
      <c r="Q23" s="36" t="str">
        <f>IFERROR(Calculations!$P15/12,"")</f>
        <v/>
      </c>
      <c r="R23" s="36" t="str">
        <f>IFERROR(Calculations!$P15/12,"")</f>
        <v/>
      </c>
      <c r="S23" s="36" t="str">
        <f>IFERROR(Calculations!$P15/12,"")</f>
        <v/>
      </c>
      <c r="T23" s="36" t="str">
        <f>IFERROR(Calculations!$P15/12,"")</f>
        <v/>
      </c>
      <c r="U23" s="36" t="str">
        <f>IFERROR(Calculations!$P15/12,"")</f>
        <v/>
      </c>
      <c r="V23" s="36" t="str">
        <f>IFERROR(Calculations!$P15/12,"")</f>
        <v/>
      </c>
      <c r="W23" s="36" t="str">
        <f>IFERROR(Calculations!$P15/12,"")</f>
        <v/>
      </c>
      <c r="X23" s="36" t="str">
        <f>IFERROR(Calculations!$P15/12,"")</f>
        <v/>
      </c>
      <c r="Y23" s="36" t="str">
        <f>IFERROR(Calculations!$P15/12,"")</f>
        <v/>
      </c>
      <c r="Z23" s="36">
        <f>SUMIF($B$11:$Y$11,"Yes",B23:Y23)</f>
        <v>0</v>
      </c>
      <c r="AA23" s="36">
        <f>SUM(B23:M23)</f>
        <v>0</v>
      </c>
      <c r="AB23" s="46">
        <f>SUM(B23:Y23)</f>
        <v>0</v>
      </c>
    </row>
    <row r="24" spans="1:30">
      <c r="A24" s="43" t="str">
        <f>IF(Inputs!A21="","",IF(Inputs!A21=Parameters!$A$30,Inputs!B21,Inputs!A21))</f>
        <v/>
      </c>
      <c r="B24" s="36" t="str">
        <f>IFERROR(Calculations!$P16/12,"")</f>
        <v/>
      </c>
      <c r="C24" s="36" t="str">
        <f>IFERROR(Calculations!$P16/12,"")</f>
        <v/>
      </c>
      <c r="D24" s="36" t="str">
        <f>IFERROR(Calculations!$P16/12,"")</f>
        <v/>
      </c>
      <c r="E24" s="36" t="str">
        <f>IFERROR(Calculations!$P16/12,"")</f>
        <v/>
      </c>
      <c r="F24" s="36" t="str">
        <f>IFERROR(Calculations!$P16/12,"")</f>
        <v/>
      </c>
      <c r="G24" s="36" t="str">
        <f>IFERROR(Calculations!$P16/12,"")</f>
        <v/>
      </c>
      <c r="H24" s="36" t="str">
        <f>IFERROR(Calculations!$P16/12,"")</f>
        <v/>
      </c>
      <c r="I24" s="36" t="str">
        <f>IFERROR(Calculations!$P16/12,"")</f>
        <v/>
      </c>
      <c r="J24" s="36" t="str">
        <f>IFERROR(Calculations!$P16/12,"")</f>
        <v/>
      </c>
      <c r="K24" s="36" t="str">
        <f>IFERROR(Calculations!$P16/12,"")</f>
        <v/>
      </c>
      <c r="L24" s="36" t="str">
        <f>IFERROR(Calculations!$P16/12,"")</f>
        <v/>
      </c>
      <c r="M24" s="36" t="str">
        <f>IFERROR(Calculations!$P16/12,"")</f>
        <v/>
      </c>
      <c r="N24" s="36" t="str">
        <f>IFERROR(Calculations!$P16/12,"")</f>
        <v/>
      </c>
      <c r="O24" s="36" t="str">
        <f>IFERROR(Calculations!$P16/12,"")</f>
        <v/>
      </c>
      <c r="P24" s="36" t="str">
        <f>IFERROR(Calculations!$P16/12,"")</f>
        <v/>
      </c>
      <c r="Q24" s="36" t="str">
        <f>IFERROR(Calculations!$P16/12,"")</f>
        <v/>
      </c>
      <c r="R24" s="36" t="str">
        <f>IFERROR(Calculations!$P16/12,"")</f>
        <v/>
      </c>
      <c r="S24" s="36" t="str">
        <f>IFERROR(Calculations!$P16/12,"")</f>
        <v/>
      </c>
      <c r="T24" s="36" t="str">
        <f>IFERROR(Calculations!$P16/12,"")</f>
        <v/>
      </c>
      <c r="U24" s="36" t="str">
        <f>IFERROR(Calculations!$P16/12,"")</f>
        <v/>
      </c>
      <c r="V24" s="36" t="str">
        <f>IFERROR(Calculations!$P16/12,"")</f>
        <v/>
      </c>
      <c r="W24" s="36" t="str">
        <f>IFERROR(Calculations!$P16/12,"")</f>
        <v/>
      </c>
      <c r="X24" s="36" t="str">
        <f>IFERROR(Calculations!$P16/12,"")</f>
        <v/>
      </c>
      <c r="Y24" s="36" t="str">
        <f>IFERROR(Calculations!$P16/12,"")</f>
        <v/>
      </c>
      <c r="Z24" s="36">
        <f>SUMIF($B$11:$Y$11,"Yes",B24:Y24)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Calculations!C17</f>
        <v>Chicken: sale of ex layers</v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37500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37500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>10000</v>
      </c>
      <c r="C27" s="37">
        <f>Inputs!$B$30</f>
        <v>10000</v>
      </c>
      <c r="D27" s="37">
        <f>Inputs!$B$30</f>
        <v>10000</v>
      </c>
      <c r="E27" s="37">
        <f>Inputs!$B$30</f>
        <v>10000</v>
      </c>
      <c r="F27" s="37">
        <f>Inputs!$B$30</f>
        <v>10000</v>
      </c>
      <c r="G27" s="37">
        <f>Inputs!$B$30</f>
        <v>10000</v>
      </c>
      <c r="H27" s="37">
        <f>Inputs!$B$30</f>
        <v>10000</v>
      </c>
      <c r="I27" s="37">
        <f>Inputs!$B$30</f>
        <v>10000</v>
      </c>
      <c r="J27" s="37">
        <f>Inputs!$B$30</f>
        <v>10000</v>
      </c>
      <c r="K27" s="37">
        <f>Inputs!$B$30</f>
        <v>10000</v>
      </c>
      <c r="L27" s="37">
        <f>Inputs!$B$30</f>
        <v>10000</v>
      </c>
      <c r="M27" s="37">
        <f>Inputs!$B$30</f>
        <v>10000</v>
      </c>
      <c r="N27" s="37">
        <f>Inputs!$B$30</f>
        <v>10000</v>
      </c>
      <c r="O27" s="37">
        <f>Inputs!$B$30</f>
        <v>10000</v>
      </c>
      <c r="P27" s="37">
        <f>Inputs!$B$30</f>
        <v>10000</v>
      </c>
      <c r="Q27" s="37">
        <f>Inputs!$B$30</f>
        <v>10000</v>
      </c>
      <c r="R27" s="37">
        <f>Inputs!$B$30</f>
        <v>10000</v>
      </c>
      <c r="S27" s="37">
        <f>Inputs!$B$30</f>
        <v>10000</v>
      </c>
      <c r="T27" s="37">
        <f>Inputs!$B$30</f>
        <v>10000</v>
      </c>
      <c r="U27" s="37">
        <f>Inputs!$B$30</f>
        <v>10000</v>
      </c>
      <c r="V27" s="37">
        <f>Inputs!$B$30</f>
        <v>10000</v>
      </c>
      <c r="W27" s="37">
        <f>Inputs!$B$30</f>
        <v>10000</v>
      </c>
      <c r="X27" s="37">
        <f>Inputs!$B$30</f>
        <v>10000</v>
      </c>
      <c r="Y27" s="37">
        <f>Inputs!$B$30</f>
        <v>10000</v>
      </c>
      <c r="Z27" s="37">
        <f>SUMIF($B$11:$Y$11,"Yes",B27:Y27)</f>
        <v>10000</v>
      </c>
      <c r="AA27" s="37">
        <f>SUM(B27:M27)</f>
        <v>120000</v>
      </c>
      <c r="AB27" s="37">
        <f>SUM(B27:Y27)</f>
        <v>240000</v>
      </c>
    </row>
    <row r="28" spans="1:30" customHeight="1" ht="15.75">
      <c r="A28" s="1" t="s">
        <v>34</v>
      </c>
      <c r="B28" s="19">
        <f>SUM(B16:B27)</f>
        <v>31954.887218045</v>
      </c>
      <c r="C28" s="19">
        <f>SUM(C16:C27)</f>
        <v>31954.887218045</v>
      </c>
      <c r="D28" s="19">
        <f>SUM(D16:D27)</f>
        <v>70650.755618045</v>
      </c>
      <c r="E28" s="19">
        <f>SUM(E16:E27)</f>
        <v>70650.755618045</v>
      </c>
      <c r="F28" s="19">
        <f>SUM(F16:F27)</f>
        <v>70650.755618045</v>
      </c>
      <c r="G28" s="19">
        <f>SUM(G16:G27)</f>
        <v>31954.887218045</v>
      </c>
      <c r="H28" s="19">
        <f>SUM(H16:H27)</f>
        <v>31954.887218045</v>
      </c>
      <c r="I28" s="19">
        <f>SUM(I16:I27)</f>
        <v>31954.887218045</v>
      </c>
      <c r="J28" s="19">
        <f>SUM(J16:J27)</f>
        <v>70650.755618045</v>
      </c>
      <c r="K28" s="19">
        <f>SUM(K16:K27)</f>
        <v>70650.755618045</v>
      </c>
      <c r="L28" s="19">
        <f>SUM(L16:L27)</f>
        <v>70650.755618045</v>
      </c>
      <c r="M28" s="19">
        <f>SUM(M16:M27)</f>
        <v>31954.887218045</v>
      </c>
      <c r="N28" s="19">
        <f>SUM(N16:N27)</f>
        <v>31954.887218045</v>
      </c>
      <c r="O28" s="19">
        <f>SUM(O16:O27)</f>
        <v>31954.887218045</v>
      </c>
      <c r="P28" s="19">
        <f>SUM(P16:P27)</f>
        <v>70650.755618045</v>
      </c>
      <c r="Q28" s="19">
        <f>SUM(Q16:Q27)</f>
        <v>70650.755618045</v>
      </c>
      <c r="R28" s="19">
        <f>SUM(R16:R27)</f>
        <v>108150.75561805</v>
      </c>
      <c r="S28" s="19">
        <f>SUM(S16:S27)</f>
        <v>31954.887218045</v>
      </c>
      <c r="T28" s="19">
        <f>SUM(T16:T27)</f>
        <v>31954.887218045</v>
      </c>
      <c r="U28" s="19">
        <f>SUM(U16:U27)</f>
        <v>31954.887218045</v>
      </c>
      <c r="V28" s="19">
        <f>SUM(V16:V27)</f>
        <v>70650.755618045</v>
      </c>
      <c r="W28" s="19">
        <f>SUM(W16:W27)</f>
        <v>70650.755618045</v>
      </c>
      <c r="X28" s="19">
        <f>SUM(X16:X27)</f>
        <v>70650.755618045</v>
      </c>
      <c r="Y28" s="19">
        <f>SUM(Y16:Y27)</f>
        <v>31954.887218045</v>
      </c>
      <c r="Z28" s="19">
        <f>SUMIF($B$11:$Y$11,"Yes",B28:Y28)</f>
        <v>31954.887218045</v>
      </c>
      <c r="AA28" s="19">
        <f>SUM(B28:M28)</f>
        <v>615633.85701654</v>
      </c>
      <c r="AB28" s="19">
        <f>SUM(B28:Y28)</f>
        <v>1268767.7140331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42644</v>
      </c>
      <c r="C33" s="17">
        <f>C15</f>
        <v>42675</v>
      </c>
      <c r="D33" s="17">
        <f>D15</f>
        <v>42705</v>
      </c>
      <c r="E33" s="17">
        <f>E15</f>
        <v>42736</v>
      </c>
      <c r="F33" s="17">
        <f>F15</f>
        <v>42767</v>
      </c>
      <c r="G33" s="17">
        <f>G15</f>
        <v>42795</v>
      </c>
      <c r="H33" s="17">
        <f>H15</f>
        <v>42826</v>
      </c>
      <c r="I33" s="17">
        <f>I15</f>
        <v>42856</v>
      </c>
      <c r="J33" s="17">
        <f>J15</f>
        <v>42887</v>
      </c>
      <c r="K33" s="17">
        <f>K15</f>
        <v>42917</v>
      </c>
      <c r="L33" s="17">
        <f>L15</f>
        <v>42948</v>
      </c>
      <c r="M33" s="17">
        <f>M15</f>
        <v>42979</v>
      </c>
      <c r="N33" s="17">
        <f>N15</f>
        <v>43009</v>
      </c>
      <c r="O33" s="17">
        <f>O15</f>
        <v>43040</v>
      </c>
      <c r="P33" s="17">
        <f>P15</f>
        <v>43070</v>
      </c>
      <c r="Q33" s="17">
        <f>Q15</f>
        <v>43101</v>
      </c>
      <c r="R33" s="17">
        <f>R15</f>
        <v>43132</v>
      </c>
      <c r="S33" s="17">
        <f>S15</f>
        <v>43160</v>
      </c>
      <c r="T33" s="17">
        <f>T15</f>
        <v>43191</v>
      </c>
      <c r="U33" s="17">
        <f>U15</f>
        <v>43221</v>
      </c>
      <c r="V33" s="17">
        <f>V15</f>
        <v>43252</v>
      </c>
      <c r="W33" s="17">
        <f>W15</f>
        <v>43282</v>
      </c>
      <c r="X33" s="17">
        <f>X15</f>
        <v>43313</v>
      </c>
      <c r="Y33" s="17">
        <f>Y15</f>
        <v>43344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0</v>
      </c>
      <c r="D34" s="36">
        <f>P34</f>
        <v>0</v>
      </c>
      <c r="E34" s="36">
        <f>Q34</f>
        <v>0</v>
      </c>
      <c r="F34" s="36">
        <f>R34</f>
        <v>0</v>
      </c>
      <c r="G34" s="36">
        <f>S34</f>
        <v>4000</v>
      </c>
      <c r="H34" s="36">
        <f>T34</f>
        <v>0</v>
      </c>
      <c r="I34" s="36">
        <f>U34</f>
        <v>0</v>
      </c>
      <c r="J34" s="36">
        <f>V34</f>
        <v>0</v>
      </c>
      <c r="K34" s="36">
        <f>W34</f>
        <v>0</v>
      </c>
      <c r="L34" s="36">
        <f>X34</f>
        <v>0</v>
      </c>
      <c r="M34" s="36">
        <f>Y34</f>
        <v>4000</v>
      </c>
      <c r="N34" s="36">
        <f>SUM(N35:N39)</f>
        <v>0</v>
      </c>
      <c r="O34" s="36">
        <f>SUM(O35:O39)</f>
        <v>0</v>
      </c>
      <c r="P34" s="36">
        <f>SUM(P35:P39)</f>
        <v>0</v>
      </c>
      <c r="Q34" s="36">
        <f>SUM(Q35:Q39)</f>
        <v>0</v>
      </c>
      <c r="R34" s="36">
        <f>SUM(R35:R39)</f>
        <v>0</v>
      </c>
      <c r="S34" s="36">
        <f>SUM(S35:S39)</f>
        <v>4000</v>
      </c>
      <c r="T34" s="36">
        <f>SUM(T35:T39)</f>
        <v>0</v>
      </c>
      <c r="U34" s="36">
        <f>SUM(U35:U39)</f>
        <v>0</v>
      </c>
      <c r="V34" s="36">
        <f>SUM(V35:V39)</f>
        <v>0</v>
      </c>
      <c r="W34" s="36">
        <f>SUM(W35:W39)</f>
        <v>0</v>
      </c>
      <c r="X34" s="36">
        <f>SUM(X35:X39)</f>
        <v>0</v>
      </c>
      <c r="Y34" s="36">
        <f>SUM(Y35:Y39)</f>
        <v>4000</v>
      </c>
      <c r="Z34" s="36">
        <f>SUMIF($B$11:$Y$11,"Yes",B34:Y34)</f>
        <v>0</v>
      </c>
      <c r="AA34" s="36">
        <f>SUM(B34:M34)</f>
        <v>8000</v>
      </c>
      <c r="AB34" s="36">
        <f>SUM(B34:Y34)</f>
        <v>16000</v>
      </c>
      <c r="AC34" s="74"/>
    </row>
    <row r="35" spans="1:30" hidden="true" outlineLevel="1">
      <c r="A35" s="183" t="str">
        <f>Calculations!$A$4</f>
        <v>Cabbages</v>
      </c>
      <c r="B35" s="36">
        <f>N35</f>
        <v>0</v>
      </c>
      <c r="C35" s="36">
        <f>O35</f>
        <v>0</v>
      </c>
      <c r="D35" s="36">
        <f>P35</f>
        <v>0</v>
      </c>
      <c r="E35" s="36">
        <f>Q35</f>
        <v>0</v>
      </c>
      <c r="F35" s="36">
        <f>R35</f>
        <v>0</v>
      </c>
      <c r="G35" s="36">
        <f>S35</f>
        <v>4000</v>
      </c>
      <c r="H35" s="36">
        <f>T35</f>
        <v>0</v>
      </c>
      <c r="I35" s="36">
        <f>U35</f>
        <v>0</v>
      </c>
      <c r="J35" s="36">
        <f>V35</f>
        <v>0</v>
      </c>
      <c r="K35" s="36">
        <f>W35</f>
        <v>0</v>
      </c>
      <c r="L35" s="36">
        <f>X35</f>
        <v>0</v>
      </c>
      <c r="M35" s="36">
        <f>Y35</f>
        <v>4000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4000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4000</v>
      </c>
      <c r="Z35" s="36">
        <f>SUMIF($B$11:$Y$11,"Yes",B35:Y35)</f>
        <v>0</v>
      </c>
      <c r="AA35" s="36">
        <f>SUM(B35:M35)</f>
        <v>8000</v>
      </c>
      <c r="AB35" s="36">
        <f>SUM(B35:Y35)</f>
        <v>16000</v>
      </c>
      <c r="AC35" s="74"/>
    </row>
    <row r="36" spans="1:30" hidden="true" outlineLevel="1">
      <c r="A36" s="183">
        <f>Calculations!$A$5</f>
        <v/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0</v>
      </c>
      <c r="AB36" s="36">
        <f>SUM(B36:Y36)</f>
        <v>0</v>
      </c>
      <c r="AC36" s="74"/>
    </row>
    <row r="37" spans="1:30" hidden="true" outlineLevel="1">
      <c r="A37" s="183">
        <f>Calculations!$A$6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0</v>
      </c>
      <c r="AB37" s="36">
        <f>SUM(B37:Y37)</f>
        <v>0</v>
      </c>
      <c r="AC37" s="74"/>
    </row>
    <row r="38" spans="1:30" hidden="true" outlineLevel="1">
      <c r="A38" s="183">
        <f>Calculations!$A$7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0</v>
      </c>
      <c r="AB38" s="36">
        <f>SUM(B38:Y38)</f>
        <v>0</v>
      </c>
      <c r="AC38" s="74"/>
    </row>
    <row r="39" spans="1:30" hidden="true" outlineLevel="1">
      <c r="A39" s="183">
        <f>Calculations!$A$8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1212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1212</v>
      </c>
      <c r="N40" s="36">
        <f>SUM(N41:N45)</f>
        <v>0</v>
      </c>
      <c r="O40" s="36">
        <f>SUM(O41:O45)</f>
        <v>0</v>
      </c>
      <c r="P40" s="36">
        <f>SUM(P41:P45)</f>
        <v>0</v>
      </c>
      <c r="Q40" s="36">
        <f>SUM(Q41:Q45)</f>
        <v>0</v>
      </c>
      <c r="R40" s="36">
        <f>SUM(R41:R45)</f>
        <v>0</v>
      </c>
      <c r="S40" s="36">
        <f>SUM(S41:S45)</f>
        <v>1212</v>
      </c>
      <c r="T40" s="36">
        <f>SUM(T41:T45)</f>
        <v>0</v>
      </c>
      <c r="U40" s="36">
        <f>SUM(U41:U45)</f>
        <v>0</v>
      </c>
      <c r="V40" s="36">
        <f>SUM(V41:V45)</f>
        <v>0</v>
      </c>
      <c r="W40" s="36">
        <f>SUM(W41:W45)</f>
        <v>0</v>
      </c>
      <c r="X40" s="36">
        <f>SUM(X41:X45)</f>
        <v>0</v>
      </c>
      <c r="Y40" s="36">
        <f>SUM(Y41:Y45)</f>
        <v>1212</v>
      </c>
      <c r="Z40" s="36">
        <f>SUMIF($B$11:$Y$11,"Yes",B40:Y40)</f>
        <v>0</v>
      </c>
      <c r="AA40" s="36">
        <f>SUM(B40:M40)</f>
        <v>2424</v>
      </c>
      <c r="AB40" s="36">
        <f>SUM(B40:Y40)</f>
        <v>4848</v>
      </c>
    </row>
    <row r="41" spans="1:30" hidden="true" outlineLevel="1">
      <c r="A41" s="183" t="str">
        <f>Calculations!$A$4</f>
        <v>Cabbages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1212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1212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1212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1212</v>
      </c>
      <c r="Z41" s="36">
        <f>SUMIF($B$11:$Y$11,"Yes",B41:Y41)</f>
        <v>0</v>
      </c>
      <c r="AA41" s="36">
        <f>SUM(B41:M41)</f>
        <v>2424</v>
      </c>
      <c r="AB41" s="36">
        <f>SUM(B41:Y41)</f>
        <v>4848</v>
      </c>
    </row>
    <row r="42" spans="1:30" hidden="true" outlineLevel="1">
      <c r="A42" s="183">
        <f>Calculations!$A$5</f>
        <v/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3">
        <f>Calculations!$A$6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3">
        <f>Calculations!$A$7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>
        <f>Calculations!$A$8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0</v>
      </c>
      <c r="R46" s="46">
        <f>SUM(R47:R51)</f>
        <v>0</v>
      </c>
      <c r="S46" s="46">
        <f>SUM(S47:S51)</f>
        <v>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0</v>
      </c>
      <c r="X46" s="46">
        <f>SUM(X47:X51)</f>
        <v>0</v>
      </c>
      <c r="Y46" s="46">
        <f>SUM(Y47:Y51)</f>
        <v>0</v>
      </c>
      <c r="Z46" s="46">
        <f>SUMIF($B$11:$Y$11,"Yes",B46:Y46)</f>
        <v>0</v>
      </c>
      <c r="AA46" s="46">
        <f>SUM(B46:M46)</f>
        <v>0</v>
      </c>
      <c r="AB46" s="46">
        <f>SUM(B46:Y46)</f>
        <v>0</v>
      </c>
    </row>
    <row r="47" spans="1:30" hidden="true" outlineLevel="1">
      <c r="A47" s="183" t="str">
        <f>Calculations!$A$4</f>
        <v>Cabbages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0</v>
      </c>
      <c r="AB47" s="46">
        <f>SUM(B47:Y47)</f>
        <v>0</v>
      </c>
    </row>
    <row r="48" spans="1:30" hidden="true" outlineLevel="1">
      <c r="A48" s="183">
        <f>Calculations!$A$5</f>
        <v/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3">
        <f>Calculations!$A$6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>
        <f>Calculations!$A$7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>
        <f>Calculations!$A$8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3" t="str">
        <f>Calculations!$A$4</f>
        <v>Cabbages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>
        <f>Calculations!$A$5</f>
        <v/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>
        <f>Calculations!$A$6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3">
        <f>Calculations!$A$7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>
        <f>Calculations!$A$8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4000</v>
      </c>
      <c r="C58" s="36">
        <f>O58</f>
        <v>4000</v>
      </c>
      <c r="D58" s="36">
        <f>P58</f>
        <v>4000</v>
      </c>
      <c r="E58" s="36">
        <f>Q58</f>
        <v>0</v>
      </c>
      <c r="F58" s="36">
        <f>R58</f>
        <v>0</v>
      </c>
      <c r="G58" s="36">
        <f>S58</f>
        <v>4000</v>
      </c>
      <c r="H58" s="36">
        <f>T58</f>
        <v>4000</v>
      </c>
      <c r="I58" s="36">
        <f>U58</f>
        <v>4000</v>
      </c>
      <c r="J58" s="36">
        <f>V58</f>
        <v>4000</v>
      </c>
      <c r="K58" s="36">
        <f>W58</f>
        <v>0</v>
      </c>
      <c r="L58" s="36">
        <f>X58</f>
        <v>0</v>
      </c>
      <c r="M58" s="36">
        <f>Y58</f>
        <v>4000</v>
      </c>
      <c r="N58" s="46">
        <f>SUM(N59:N63)</f>
        <v>4000</v>
      </c>
      <c r="O58" s="46">
        <f>SUM(O59:O63)</f>
        <v>4000</v>
      </c>
      <c r="P58" s="46">
        <f>SUM(P59:P63)</f>
        <v>4000</v>
      </c>
      <c r="Q58" s="46">
        <f>SUM(Q59:Q63)</f>
        <v>0</v>
      </c>
      <c r="R58" s="46">
        <f>SUM(R59:R63)</f>
        <v>0</v>
      </c>
      <c r="S58" s="46">
        <f>SUM(S59:S63)</f>
        <v>4000</v>
      </c>
      <c r="T58" s="46">
        <f>SUM(T59:T63)</f>
        <v>4000</v>
      </c>
      <c r="U58" s="46">
        <f>SUM(U59:U63)</f>
        <v>4000</v>
      </c>
      <c r="V58" s="46">
        <f>SUM(V59:V63)</f>
        <v>4000</v>
      </c>
      <c r="W58" s="46">
        <f>SUM(W59:W63)</f>
        <v>0</v>
      </c>
      <c r="X58" s="46">
        <f>SUM(X59:X63)</f>
        <v>0</v>
      </c>
      <c r="Y58" s="46">
        <f>SUM(Y59:Y63)</f>
        <v>4000</v>
      </c>
      <c r="Z58" s="46">
        <f>SUMIF($B$11:$Y$11,"Yes",B58:Y58)</f>
        <v>4000</v>
      </c>
      <c r="AA58" s="46">
        <f>SUM(B58:M58)</f>
        <v>32000</v>
      </c>
      <c r="AB58" s="46">
        <f>SUM(B58:Y58)</f>
        <v>64000</v>
      </c>
    </row>
    <row r="59" spans="1:30" hidden="true" outlineLevel="1">
      <c r="A59" s="183" t="str">
        <f>Calculations!$A$4</f>
        <v>Cabbages</v>
      </c>
      <c r="B59" s="36">
        <f>N59</f>
        <v>4000</v>
      </c>
      <c r="C59" s="36">
        <f>O59</f>
        <v>4000</v>
      </c>
      <c r="D59" s="36">
        <f>P59</f>
        <v>4000</v>
      </c>
      <c r="E59" s="36">
        <f>Q59</f>
        <v>0</v>
      </c>
      <c r="F59" s="36">
        <f>R59</f>
        <v>0</v>
      </c>
      <c r="G59" s="36">
        <f>S59</f>
        <v>4000</v>
      </c>
      <c r="H59" s="36">
        <f>T59</f>
        <v>4000</v>
      </c>
      <c r="I59" s="36">
        <f>U59</f>
        <v>4000</v>
      </c>
      <c r="J59" s="36">
        <f>V59</f>
        <v>4000</v>
      </c>
      <c r="K59" s="36">
        <f>W59</f>
        <v>0</v>
      </c>
      <c r="L59" s="36">
        <f>X59</f>
        <v>0</v>
      </c>
      <c r="M59" s="36">
        <f>Y59</f>
        <v>4000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4000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4000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4000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4000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4000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4000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4000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4000</v>
      </c>
      <c r="Z59" s="46">
        <f>SUMIF($B$11:$Y$11,"Yes",B59:Y59)</f>
        <v>4000</v>
      </c>
      <c r="AA59" s="46">
        <f>SUM(B59:M59)</f>
        <v>32000</v>
      </c>
      <c r="AB59" s="46">
        <f>SUM(B59:Y59)</f>
        <v>64000</v>
      </c>
    </row>
    <row r="60" spans="1:30" hidden="true" outlineLevel="1">
      <c r="A60" s="183">
        <f>Calculations!$A$5</f>
        <v/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>
        <f>Calculations!$A$6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3">
        <f>Calculations!$A$7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>
        <f>Calculations!$A$8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6075</v>
      </c>
      <c r="C64" s="36">
        <f>O64</f>
        <v>6075</v>
      </c>
      <c r="D64" s="36">
        <f>P64</f>
        <v>6075</v>
      </c>
      <c r="E64" s="36">
        <f>Q64</f>
        <v>0</v>
      </c>
      <c r="F64" s="36">
        <f>R64</f>
        <v>0</v>
      </c>
      <c r="G64" s="36">
        <f>S64</f>
        <v>6075</v>
      </c>
      <c r="H64" s="36">
        <f>T64</f>
        <v>6075</v>
      </c>
      <c r="I64" s="36">
        <f>U64</f>
        <v>6075</v>
      </c>
      <c r="J64" s="36">
        <f>V64</f>
        <v>6075</v>
      </c>
      <c r="K64" s="36">
        <f>W64</f>
        <v>0</v>
      </c>
      <c r="L64" s="36">
        <f>X64</f>
        <v>0</v>
      </c>
      <c r="M64" s="36">
        <f>Y64</f>
        <v>6075</v>
      </c>
      <c r="N64" s="46">
        <f>SUM(N65:N69)</f>
        <v>6075</v>
      </c>
      <c r="O64" s="46">
        <f>SUM(O65:O69)</f>
        <v>6075</v>
      </c>
      <c r="P64" s="46">
        <f>SUM(P65:P69)</f>
        <v>6075</v>
      </c>
      <c r="Q64" s="46">
        <f>SUM(Q65:Q69)</f>
        <v>0</v>
      </c>
      <c r="R64" s="46">
        <f>SUM(R65:R69)</f>
        <v>0</v>
      </c>
      <c r="S64" s="46">
        <f>SUM(S65:S69)</f>
        <v>6075</v>
      </c>
      <c r="T64" s="46">
        <f>SUM(T65:T69)</f>
        <v>6075</v>
      </c>
      <c r="U64" s="46">
        <f>SUM(U65:U69)</f>
        <v>6075</v>
      </c>
      <c r="V64" s="46">
        <f>SUM(V65:V69)</f>
        <v>6075</v>
      </c>
      <c r="W64" s="46">
        <f>SUM(W65:W69)</f>
        <v>0</v>
      </c>
      <c r="X64" s="46">
        <f>SUM(X65:X69)</f>
        <v>0</v>
      </c>
      <c r="Y64" s="46">
        <f>SUM(Y65:Y69)</f>
        <v>6075</v>
      </c>
      <c r="Z64" s="46">
        <f>SUMIF($B$11:$Y$11,"Yes",B64:Y64)</f>
        <v>6075</v>
      </c>
      <c r="AA64" s="46">
        <f>SUM(B64:M64)</f>
        <v>48600</v>
      </c>
      <c r="AB64" s="46">
        <f>SUM(B64:Y64)</f>
        <v>97200</v>
      </c>
    </row>
    <row r="65" spans="1:30" hidden="true" outlineLevel="1">
      <c r="A65" s="183" t="str">
        <f>Calculations!$A$4</f>
        <v>Cabbages</v>
      </c>
      <c r="B65" s="36">
        <f>N65</f>
        <v>6075</v>
      </c>
      <c r="C65" s="36">
        <f>O65</f>
        <v>6075</v>
      </c>
      <c r="D65" s="36">
        <f>P65</f>
        <v>6075</v>
      </c>
      <c r="E65" s="36">
        <f>Q65</f>
        <v>0</v>
      </c>
      <c r="F65" s="36">
        <f>R65</f>
        <v>0</v>
      </c>
      <c r="G65" s="36">
        <f>S65</f>
        <v>6075</v>
      </c>
      <c r="H65" s="36">
        <f>T65</f>
        <v>6075</v>
      </c>
      <c r="I65" s="36">
        <f>U65</f>
        <v>6075</v>
      </c>
      <c r="J65" s="36">
        <f>V65</f>
        <v>6075</v>
      </c>
      <c r="K65" s="36">
        <f>W65</f>
        <v>0</v>
      </c>
      <c r="L65" s="36">
        <f>X65</f>
        <v>0</v>
      </c>
      <c r="M65" s="36">
        <f>Y65</f>
        <v>6075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6075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6075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6075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6075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6075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6075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6075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6075</v>
      </c>
      <c r="Z65" s="46">
        <f>SUMIF($B$11:$Y$11,"Yes",B65:Y65)</f>
        <v>6075</v>
      </c>
      <c r="AA65" s="46">
        <f>SUM(B65:M65)</f>
        <v>48600</v>
      </c>
      <c r="AB65" s="46">
        <f>SUM(B65:Y65)</f>
        <v>97200</v>
      </c>
    </row>
    <row r="66" spans="1:30" hidden="true" outlineLevel="1">
      <c r="A66" s="183">
        <f>Calculations!$A$5</f>
        <v/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>
        <f>SUMIF($B$11:$Y$11,"Yes",B66:Y66)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3">
        <f>Calculations!$A$6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>
        <f>SUMIF($B$11:$Y$11,"Yes",B67:Y67)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3">
        <f>Calculations!$A$7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>
        <f>Calculations!$A$8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1200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1200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1200</v>
      </c>
      <c r="AB70" s="46">
        <f>SUM(B70:Y70)</f>
        <v>2400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0</v>
      </c>
      <c r="C72" s="46">
        <f>SUM(Calculations!$Q$14:$Q$16)/12</f>
        <v>0</v>
      </c>
      <c r="D72" s="46">
        <f>SUM(Calculations!$Q$14:$Q$16)/12</f>
        <v>0</v>
      </c>
      <c r="E72" s="46">
        <f>SUM(Calculations!$Q$14:$Q$16)/12</f>
        <v>0</v>
      </c>
      <c r="F72" s="46">
        <f>SUM(Calculations!$Q$14:$Q$16)/12</f>
        <v>0</v>
      </c>
      <c r="G72" s="46">
        <f>SUM(Calculations!$Q$14:$Q$16)/12</f>
        <v>0</v>
      </c>
      <c r="H72" s="46">
        <f>SUM(Calculations!$Q$14:$Q$16)/12</f>
        <v>0</v>
      </c>
      <c r="I72" s="46">
        <f>SUM(Calculations!$Q$14:$Q$16)/12</f>
        <v>0</v>
      </c>
      <c r="J72" s="46">
        <f>SUM(Calculations!$Q$14:$Q$16)/12</f>
        <v>0</v>
      </c>
      <c r="K72" s="46">
        <f>SUM(Calculations!$Q$14:$Q$16)/12</f>
        <v>0</v>
      </c>
      <c r="L72" s="46">
        <f>SUM(Calculations!$Q$14:$Q$16)/12</f>
        <v>0</v>
      </c>
      <c r="M72" s="46">
        <f>SUM(Calculations!$Q$14:$Q$16)/12</f>
        <v>0</v>
      </c>
      <c r="N72" s="46">
        <f>SUM(Calculations!$Q$14:$Q$16)/12</f>
        <v>0</v>
      </c>
      <c r="O72" s="46">
        <f>SUM(Calculations!$Q$14:$Q$16)/12</f>
        <v>0</v>
      </c>
      <c r="P72" s="46">
        <f>SUM(Calculations!$Q$14:$Q$16)/12</f>
        <v>0</v>
      </c>
      <c r="Q72" s="46">
        <f>SUM(Calculations!$Q$14:$Q$16)/12</f>
        <v>0</v>
      </c>
      <c r="R72" s="46">
        <f>SUM(Calculations!$Q$14:$Q$16)/12</f>
        <v>0</v>
      </c>
      <c r="S72" s="46">
        <f>SUM(Calculations!$Q$14:$Q$16)/12</f>
        <v>0</v>
      </c>
      <c r="T72" s="46">
        <f>SUM(Calculations!$Q$14:$Q$16)/12</f>
        <v>0</v>
      </c>
      <c r="U72" s="46">
        <f>SUM(Calculations!$Q$14:$Q$16)/12</f>
        <v>0</v>
      </c>
      <c r="V72" s="46">
        <f>SUM(Calculations!$Q$14:$Q$16)/12</f>
        <v>0</v>
      </c>
      <c r="W72" s="46">
        <f>SUM(Calculations!$Q$14:$Q$16)/12</f>
        <v>0</v>
      </c>
      <c r="X72" s="46">
        <f>SUM(Calculations!$Q$14:$Q$16)/12</f>
        <v>0</v>
      </c>
      <c r="Y72" s="46">
        <f>SUM(Calculations!$Q$14:$Q$16)/12</f>
        <v>0</v>
      </c>
      <c r="Z72" s="46">
        <f>SUMIF($B$11:$Y$11,"Yes",B72:Y72)</f>
        <v>0</v>
      </c>
      <c r="AA72" s="46">
        <f>SUM(B72:M72)</f>
        <v>0</v>
      </c>
      <c r="AB72" s="46">
        <f>SUM(B72:Y72)</f>
        <v>0</v>
      </c>
    </row>
    <row r="73" spans="1:30">
      <c r="A73" s="16" t="s">
        <v>44</v>
      </c>
      <c r="B73" s="46">
        <f>SUM(Calculations!$R$14:$R$16)/12</f>
        <v>177.77777777778</v>
      </c>
      <c r="C73" s="46">
        <f>SUM(Calculations!$R$14:$R$16)/12</f>
        <v>177.77777777778</v>
      </c>
      <c r="D73" s="46">
        <f>SUM(Calculations!$R$14:$R$16)/12</f>
        <v>177.77777777778</v>
      </c>
      <c r="E73" s="46">
        <f>SUM(Calculations!$R$14:$R$16)/12</f>
        <v>177.77777777778</v>
      </c>
      <c r="F73" s="46">
        <f>SUM(Calculations!$R$14:$R$16)/12</f>
        <v>177.77777777778</v>
      </c>
      <c r="G73" s="46">
        <f>SUM(Calculations!$R$14:$R$16)/12</f>
        <v>177.77777777778</v>
      </c>
      <c r="H73" s="46">
        <f>SUM(Calculations!$R$14:$R$16)/12</f>
        <v>177.77777777778</v>
      </c>
      <c r="I73" s="46">
        <f>SUM(Calculations!$R$14:$R$16)/12</f>
        <v>177.77777777778</v>
      </c>
      <c r="J73" s="46">
        <f>SUM(Calculations!$R$14:$R$16)/12</f>
        <v>177.77777777778</v>
      </c>
      <c r="K73" s="46">
        <f>SUM(Calculations!$R$14:$R$16)/12</f>
        <v>177.77777777778</v>
      </c>
      <c r="L73" s="46">
        <f>SUM(Calculations!$R$14:$R$16)/12</f>
        <v>177.77777777778</v>
      </c>
      <c r="M73" s="46">
        <f>SUM(Calculations!$R$14:$R$16)/12</f>
        <v>177.77777777778</v>
      </c>
      <c r="N73" s="46">
        <f>SUM(Calculations!$R$14:$R$16)/12</f>
        <v>177.77777777778</v>
      </c>
      <c r="O73" s="46">
        <f>SUM(Calculations!$R$14:$R$16)/12</f>
        <v>177.77777777778</v>
      </c>
      <c r="P73" s="46">
        <f>SUM(Calculations!$R$14:$R$16)/12</f>
        <v>177.77777777778</v>
      </c>
      <c r="Q73" s="46">
        <f>SUM(Calculations!$R$14:$R$16)/12</f>
        <v>177.77777777778</v>
      </c>
      <c r="R73" s="46">
        <f>SUM(Calculations!$R$14:$R$16)/12</f>
        <v>177.77777777778</v>
      </c>
      <c r="S73" s="46">
        <f>SUM(Calculations!$R$14:$R$16)/12</f>
        <v>177.77777777778</v>
      </c>
      <c r="T73" s="46">
        <f>SUM(Calculations!$R$14:$R$16)/12</f>
        <v>177.77777777778</v>
      </c>
      <c r="U73" s="46">
        <f>SUM(Calculations!$R$14:$R$16)/12</f>
        <v>177.77777777778</v>
      </c>
      <c r="V73" s="46">
        <f>SUM(Calculations!$R$14:$R$16)/12</f>
        <v>177.77777777778</v>
      </c>
      <c r="W73" s="46">
        <f>SUM(Calculations!$R$14:$R$16)/12</f>
        <v>177.77777777778</v>
      </c>
      <c r="X73" s="46">
        <f>SUM(Calculations!$R$14:$R$16)/12</f>
        <v>177.77777777778</v>
      </c>
      <c r="Y73" s="46">
        <f>SUM(Calculations!$R$14:$R$16)/12</f>
        <v>177.77777777778</v>
      </c>
      <c r="Z73" s="46">
        <f>SUMIF($B$11:$Y$11,"Yes",B73:Y73)</f>
        <v>177.77777777778</v>
      </c>
      <c r="AA73" s="46">
        <f>SUM(B73:M73)</f>
        <v>2133.3333333333</v>
      </c>
      <c r="AB73" s="46">
        <f>SUM(B73:Y73)</f>
        <v>4266.6666666667</v>
      </c>
    </row>
    <row r="74" spans="1:30">
      <c r="A74" s="16" t="s">
        <v>45</v>
      </c>
      <c r="B74" s="46">
        <f>SUM(Calculations!$S$14:$S$16)/12</f>
        <v>1429.3546365915</v>
      </c>
      <c r="C74" s="46">
        <f>SUM(Calculations!$S$14:$S$16)/12</f>
        <v>1429.3546365915</v>
      </c>
      <c r="D74" s="46">
        <f>SUM(Calculations!$S$14:$S$16)/12</f>
        <v>1429.3546365915</v>
      </c>
      <c r="E74" s="46">
        <f>SUM(Calculations!$S$14:$S$16)/12</f>
        <v>1429.3546365915</v>
      </c>
      <c r="F74" s="46">
        <f>SUM(Calculations!$S$14:$S$16)/12</f>
        <v>1429.3546365915</v>
      </c>
      <c r="G74" s="46">
        <f>SUM(Calculations!$S$14:$S$16)/12</f>
        <v>1429.3546365915</v>
      </c>
      <c r="H74" s="46">
        <f>SUM(Calculations!$S$14:$S$16)/12</f>
        <v>1429.3546365915</v>
      </c>
      <c r="I74" s="46">
        <f>SUM(Calculations!$S$14:$S$16)/12</f>
        <v>1429.3546365915</v>
      </c>
      <c r="J74" s="46">
        <f>SUM(Calculations!$S$14:$S$16)/12</f>
        <v>1429.3546365915</v>
      </c>
      <c r="K74" s="46">
        <f>SUM(Calculations!$S$14:$S$16)/12</f>
        <v>1429.3546365915</v>
      </c>
      <c r="L74" s="46">
        <f>SUM(Calculations!$S$14:$S$16)/12</f>
        <v>1429.3546365915</v>
      </c>
      <c r="M74" s="46">
        <f>SUM(Calculations!$S$14:$S$16)/12</f>
        <v>1429.3546365915</v>
      </c>
      <c r="N74" s="46">
        <f>SUM(Calculations!$S$14:$S$16)/12</f>
        <v>1429.3546365915</v>
      </c>
      <c r="O74" s="46">
        <f>SUM(Calculations!$S$14:$S$16)/12</f>
        <v>1429.3546365915</v>
      </c>
      <c r="P74" s="46">
        <f>SUM(Calculations!$S$14:$S$16)/12</f>
        <v>1429.3546365915</v>
      </c>
      <c r="Q74" s="46">
        <f>SUM(Calculations!$S$14:$S$16)/12</f>
        <v>1429.3546365915</v>
      </c>
      <c r="R74" s="46">
        <f>SUM(Calculations!$S$14:$S$16)/12</f>
        <v>1429.3546365915</v>
      </c>
      <c r="S74" s="46">
        <f>SUM(Calculations!$S$14:$S$16)/12</f>
        <v>1429.3546365915</v>
      </c>
      <c r="T74" s="46">
        <f>SUM(Calculations!$S$14:$S$16)/12</f>
        <v>1429.3546365915</v>
      </c>
      <c r="U74" s="46">
        <f>SUM(Calculations!$S$14:$S$16)/12</f>
        <v>1429.3546365915</v>
      </c>
      <c r="V74" s="46">
        <f>SUM(Calculations!$S$14:$S$16)/12</f>
        <v>1429.3546365915</v>
      </c>
      <c r="W74" s="46">
        <f>SUM(Calculations!$S$14:$S$16)/12</f>
        <v>1429.3546365915</v>
      </c>
      <c r="X74" s="46">
        <f>SUM(Calculations!$S$14:$S$16)/12</f>
        <v>1429.3546365915</v>
      </c>
      <c r="Y74" s="46">
        <f>SUM(Calculations!$S$14:$S$16)/12</f>
        <v>1429.3546365915</v>
      </c>
      <c r="Z74" s="46">
        <f>SUMIF($B$11:$Y$11,"Yes",B74:Y74)</f>
        <v>1429.3546365915</v>
      </c>
      <c r="AA74" s="46">
        <f>SUM(B74:M74)</f>
        <v>17152.255639098</v>
      </c>
      <c r="AB74" s="46">
        <f>SUM(B74:Y74)</f>
        <v>34304.511278195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>7500</v>
      </c>
      <c r="C77" s="46">
        <f>Inputs!$B$31</f>
        <v>7500</v>
      </c>
      <c r="D77" s="46">
        <f>Inputs!$B$31</f>
        <v>7500</v>
      </c>
      <c r="E77" s="46">
        <f>Inputs!$B$31</f>
        <v>7500</v>
      </c>
      <c r="F77" s="46">
        <f>Inputs!$B$31</f>
        <v>7500</v>
      </c>
      <c r="G77" s="46">
        <f>Inputs!$B$31</f>
        <v>7500</v>
      </c>
      <c r="H77" s="46">
        <f>Inputs!$B$31</f>
        <v>7500</v>
      </c>
      <c r="I77" s="46">
        <f>Inputs!$B$31</f>
        <v>7500</v>
      </c>
      <c r="J77" s="46">
        <f>Inputs!$B$31</f>
        <v>7500</v>
      </c>
      <c r="K77" s="46">
        <f>Inputs!$B$31</f>
        <v>7500</v>
      </c>
      <c r="L77" s="46">
        <f>Inputs!$B$31</f>
        <v>7500</v>
      </c>
      <c r="M77" s="46">
        <f>Inputs!$B$31</f>
        <v>7500</v>
      </c>
      <c r="N77" s="46">
        <f>Inputs!$B$31</f>
        <v>7500</v>
      </c>
      <c r="O77" s="46">
        <f>Inputs!$B$31</f>
        <v>7500</v>
      </c>
      <c r="P77" s="46">
        <f>Inputs!$B$31</f>
        <v>7500</v>
      </c>
      <c r="Q77" s="46">
        <f>Inputs!$B$31</f>
        <v>7500</v>
      </c>
      <c r="R77" s="46">
        <f>Inputs!$B$31</f>
        <v>7500</v>
      </c>
      <c r="S77" s="46">
        <f>Inputs!$B$31</f>
        <v>7500</v>
      </c>
      <c r="T77" s="46">
        <f>Inputs!$B$31</f>
        <v>7500</v>
      </c>
      <c r="U77" s="46">
        <f>Inputs!$B$31</f>
        <v>7500</v>
      </c>
      <c r="V77" s="46">
        <f>Inputs!$B$31</f>
        <v>7500</v>
      </c>
      <c r="W77" s="46">
        <f>Inputs!$B$31</f>
        <v>7500</v>
      </c>
      <c r="X77" s="46">
        <f>Inputs!$B$31</f>
        <v>7500</v>
      </c>
      <c r="Y77" s="46">
        <f>Inputs!$B$31</f>
        <v>7500</v>
      </c>
      <c r="Z77" s="46">
        <f>SUMIF($B$11:$Y$11,"Yes",B77:Y77)</f>
        <v>7500</v>
      </c>
      <c r="AA77" s="46">
        <f>SUM(B77:M77)</f>
        <v>90000</v>
      </c>
      <c r="AB77" s="46">
        <f>SUM(B77:Y77)</f>
        <v>180000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13804.142268137</v>
      </c>
      <c r="C79" s="46">
        <f>(SUM($AA$16:$AA$27)-SUM($AA$34,$AA$40,$AA$46,$AA$52,$AA$58,$AA$64,$AA$70:$AA$77))*Parameters!$B$37/12</f>
        <v>13804.142268137</v>
      </c>
      <c r="D79" s="46">
        <f>(SUM($AA$16:$AA$27)-SUM($AA$34,$AA$40,$AA$46,$AA$52,$AA$58,$AA$64,$AA$70:$AA$77))*Parameters!$B$37/12</f>
        <v>13804.142268137</v>
      </c>
      <c r="E79" s="46">
        <f>(SUM($AA$16:$AA$27)-SUM($AA$34,$AA$40,$AA$46,$AA$52,$AA$58,$AA$64,$AA$70:$AA$77))*Parameters!$B$37/12</f>
        <v>13804.142268137</v>
      </c>
      <c r="F79" s="46">
        <f>(SUM($AA$16:$AA$27)-SUM($AA$34,$AA$40,$AA$46,$AA$52,$AA$58,$AA$64,$AA$70:$AA$77))*Parameters!$B$37/12</f>
        <v>13804.142268137</v>
      </c>
      <c r="G79" s="46">
        <f>(SUM($AA$16:$AA$27)-SUM($AA$34,$AA$40,$AA$46,$AA$52,$AA$58,$AA$64,$AA$70:$AA$77))*Parameters!$B$37/12</f>
        <v>13804.142268137</v>
      </c>
      <c r="H79" s="46">
        <f>(SUM($AA$16:$AA$27)-SUM($AA$34,$AA$40,$AA$46,$AA$52,$AA$58,$AA$64,$AA$70:$AA$77))*Parameters!$B$37/12</f>
        <v>13804.142268137</v>
      </c>
      <c r="I79" s="46">
        <f>(SUM($AA$16:$AA$27)-SUM($AA$34,$AA$40,$AA$46,$AA$52,$AA$58,$AA$64,$AA$70:$AA$77))*Parameters!$B$37/12</f>
        <v>13804.142268137</v>
      </c>
      <c r="J79" s="46">
        <f>(SUM($AA$16:$AA$27)-SUM($AA$34,$AA$40,$AA$46,$AA$52,$AA$58,$AA$64,$AA$70:$AA$77))*Parameters!$B$37/12</f>
        <v>13804.142268137</v>
      </c>
      <c r="K79" s="46">
        <f>(SUM($AA$16:$AA$27)-SUM($AA$34,$AA$40,$AA$46,$AA$52,$AA$58,$AA$64,$AA$70:$AA$77))*Parameters!$B$37/12</f>
        <v>13804.142268137</v>
      </c>
      <c r="L79" s="46">
        <f>(SUM($AA$16:$AA$27)-SUM($AA$34,$AA$40,$AA$46,$AA$52,$AA$58,$AA$64,$AA$70:$AA$77))*Parameters!$B$37/12</f>
        <v>13804.142268137</v>
      </c>
      <c r="M79" s="46">
        <f>(SUM($AA$16:$AA$27)-SUM($AA$34,$AA$40,$AA$46,$AA$52,$AA$58,$AA$64,$AA$70:$AA$77))*Parameters!$B$37/12</f>
        <v>13804.142268137</v>
      </c>
      <c r="N79" s="46">
        <f>(SUM($AA$16:$AA$27)-SUM($AA$34,$AA$40,$AA$46,$AA$52,$AA$58,$AA$64,$AA$70:$AA$77))*Parameters!$B$37/12</f>
        <v>13804.142268137</v>
      </c>
      <c r="O79" s="46">
        <f>(SUM($AA$16:$AA$27)-SUM($AA$34,$AA$40,$AA$46,$AA$52,$AA$58,$AA$64,$AA$70:$AA$77))*Parameters!$B$37/12</f>
        <v>13804.142268137</v>
      </c>
      <c r="P79" s="46">
        <f>(SUM($AA$16:$AA$27)-SUM($AA$34,$AA$40,$AA$46,$AA$52,$AA$58,$AA$64,$AA$70:$AA$77))*Parameters!$B$37/12</f>
        <v>13804.142268137</v>
      </c>
      <c r="Q79" s="46">
        <f>(SUM($AA$16:$AA$27)-SUM($AA$34,$AA$40,$AA$46,$AA$52,$AA$58,$AA$64,$AA$70:$AA$77))*Parameters!$B$37/12</f>
        <v>13804.142268137</v>
      </c>
      <c r="R79" s="46">
        <f>(SUM($AA$16:$AA$27)-SUM($AA$34,$AA$40,$AA$46,$AA$52,$AA$58,$AA$64,$AA$70:$AA$77))*Parameters!$B$37/12</f>
        <v>13804.142268137</v>
      </c>
      <c r="S79" s="46">
        <f>(SUM($AA$16:$AA$27)-SUM($AA$34,$AA$40,$AA$46,$AA$52,$AA$58,$AA$64,$AA$70:$AA$77))*Parameters!$B$37/12</f>
        <v>13804.142268137</v>
      </c>
      <c r="T79" s="46">
        <f>(SUM($AA$16:$AA$27)-SUM($AA$34,$AA$40,$AA$46,$AA$52,$AA$58,$AA$64,$AA$70:$AA$77))*Parameters!$B$37/12</f>
        <v>13804.142268137</v>
      </c>
      <c r="U79" s="46">
        <f>(SUM($AA$16:$AA$27)-SUM($AA$34,$AA$40,$AA$46,$AA$52,$AA$58,$AA$64,$AA$70:$AA$77))*Parameters!$B$37/12</f>
        <v>13804.142268137</v>
      </c>
      <c r="V79" s="46">
        <f>(SUM($AA$16:$AA$27)-SUM($AA$34,$AA$40,$AA$46,$AA$52,$AA$58,$AA$64,$AA$70:$AA$77))*Parameters!$B$37/12</f>
        <v>13804.142268137</v>
      </c>
      <c r="W79" s="46">
        <f>(SUM($AA$16:$AA$27)-SUM($AA$34,$AA$40,$AA$46,$AA$52,$AA$58,$AA$64,$AA$70:$AA$77))*Parameters!$B$37/12</f>
        <v>13804.142268137</v>
      </c>
      <c r="X79" s="46">
        <f>(SUM($AA$16:$AA$27)-SUM($AA$34,$AA$40,$AA$46,$AA$52,$AA$58,$AA$64,$AA$70:$AA$77))*Parameters!$B$37/12</f>
        <v>13804.142268137</v>
      </c>
      <c r="Y79" s="46">
        <f>(SUM($AA$16:$AA$27)-SUM($AA$34,$AA$40,$AA$46,$AA$52,$AA$58,$AA$64,$AA$70:$AA$77))*Parameters!$B$37/12</f>
        <v>13804.142268137</v>
      </c>
      <c r="Z79" s="46">
        <f>SUMIF($B$11:$Y$11,"Yes",B79:Y79)</f>
        <v>13804.142268137</v>
      </c>
      <c r="AA79" s="46">
        <f>SUM(B79:M79)</f>
        <v>165649.70721764</v>
      </c>
      <c r="AB79" s="46">
        <f>SUM(B79:Y79)</f>
        <v>331299.41443529</v>
      </c>
    </row>
    <row r="80" spans="1:30">
      <c r="A80" s="16" t="s">
        <v>49</v>
      </c>
      <c r="B80" s="46">
        <f>SUM(B81:B85)</f>
        <v>0</v>
      </c>
      <c r="C80" s="46">
        <f>SUM(C81:C85)</f>
        <v>0</v>
      </c>
      <c r="D80" s="46">
        <f>SUM(D81:D85)</f>
        <v>0</v>
      </c>
      <c r="E80" s="46">
        <f>SUM(E81:E85)</f>
        <v>0</v>
      </c>
      <c r="F80" s="46">
        <f>SUM(F81:F85)</f>
        <v>0</v>
      </c>
      <c r="G80" s="46">
        <f>SUM(G81:G85)</f>
        <v>0</v>
      </c>
      <c r="H80" s="46">
        <f>SUM(H81:H85)</f>
        <v>0</v>
      </c>
      <c r="I80" s="46">
        <f>SUM(I81:I85)</f>
        <v>0</v>
      </c>
      <c r="J80" s="46">
        <f>SUM(J81:J85)</f>
        <v>0</v>
      </c>
      <c r="K80" s="46">
        <f>SUM(K81:K85)</f>
        <v>0</v>
      </c>
      <c r="L80" s="46">
        <f>SUM(L81:L85)</f>
        <v>0</v>
      </c>
      <c r="M80" s="46">
        <f>SUM(M81:M85)</f>
        <v>0</v>
      </c>
      <c r="N80" s="46">
        <f>SUM(N81:N85)</f>
        <v>0</v>
      </c>
      <c r="O80" s="46">
        <f>SUM(O81:O85)</f>
        <v>0</v>
      </c>
      <c r="P80" s="46">
        <f>SUM(P81:P85)</f>
        <v>0</v>
      </c>
      <c r="Q80" s="46">
        <f>SUM(Q81:Q85)</f>
        <v>0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0</v>
      </c>
      <c r="AA80" s="46">
        <f>SUM(B80:M80)</f>
        <v>0</v>
      </c>
      <c r="AB80" s="46">
        <f>SUM(B80:Y80)</f>
        <v>0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0</v>
      </c>
      <c r="C83" s="46">
        <f>IF(Calculations!$E25&gt;COUNT(Output!$B$33:C$33),Calculations!$B25,IF(Calculations!$E25=COUNT(Output!$B$33:C$33),Inputs!$B58-Calculations!$C25*(Calculations!$E25-1)+Calculations!$D25,0))</f>
        <v>0</v>
      </c>
      <c r="D83" s="46">
        <f>IF(Calculations!$E25&gt;COUNT(Output!$B$33:D$33),Calculations!$B25,IF(Calculations!$E25=COUNT(Output!$B$33:D$33),Inputs!$B58-Calculations!$C25*(Calculations!$E25-1)+Calculations!$D25,0))</f>
        <v>0</v>
      </c>
      <c r="E83" s="46">
        <f>IF(Calculations!$E25&gt;COUNT(Output!$B$33:E$33),Calculations!$B25,IF(Calculations!$E25=COUNT(Output!$B$33:E$33),Inputs!$B58-Calculations!$C25*(Calculations!$E25-1)+Calculations!$D25,0))</f>
        <v>0</v>
      </c>
      <c r="F83" s="46">
        <f>IF(Calculations!$E25&gt;COUNT(Output!$B$33:F$33),Calculations!$B25,IF(Calculations!$E25=COUNT(Output!$B$33:F$33),Inputs!$B58-Calculations!$C25*(Calculations!$E25-1)+Calculations!$D25,0))</f>
        <v>0</v>
      </c>
      <c r="G83" s="46">
        <f>IF(Calculations!$E25&gt;COUNT(Output!$B$33:G$33),Calculations!$B25,IF(Calculations!$E25=COUNT(Output!$B$33:G$33),Inputs!$B58-Calculations!$C25*(Calculations!$E25-1)+Calculations!$D25,0))</f>
        <v>0</v>
      </c>
      <c r="H83" s="46">
        <f>IF(Calculations!$E25&gt;COUNT(Output!$B$33:H$33),Calculations!$B25,IF(Calculations!$E25=COUNT(Output!$B$33:H$33),Inputs!$B58-Calculations!$C25*(Calculations!$E25-1)+Calculations!$D25,0))</f>
        <v>0</v>
      </c>
      <c r="I83" s="46">
        <f>IF(Calculations!$E25&gt;COUNT(Output!$B$33:I$33),Calculations!$B25,IF(Calculations!$E25=COUNT(Output!$B$33:I$33),Inputs!$B58-Calculations!$C25*(Calculations!$E25-1)+Calculations!$D25,0))</f>
        <v>0</v>
      </c>
      <c r="J83" s="46">
        <f>IF(Calculations!$E25&gt;COUNT(Output!$B$33:J$33),Calculations!$B25,IF(Calculations!$E25=COUNT(Output!$B$33:J$33),Inputs!$B58-Calculations!$C25*(Calculations!$E25-1)+Calculations!$D25,0))</f>
        <v>0</v>
      </c>
      <c r="K83" s="46">
        <f>IF(Calculations!$E25&gt;COUNT(Output!$B$33:K$33),Calculations!$B25,IF(Calculations!$E25=COUNT(Output!$B$33:K$33),Inputs!$B58-Calculations!$C25*(Calculations!$E25-1)+Calculations!$D25,0))</f>
        <v>0</v>
      </c>
      <c r="L83" s="46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0</v>
      </c>
      <c r="C84" s="46">
        <f>IF(Calculations!$E26&gt;COUNT(Output!$B$33:C$33),Calculations!$B26,IF(Calculations!$E26=COUNT(Output!$B$33:C$33),Inputs!$B59-Calculations!$C26*(Calculations!$E26-1)+Calculations!$D26,0))</f>
        <v>0</v>
      </c>
      <c r="D84" s="46">
        <f>IF(Calculations!$E26&gt;COUNT(Output!$B$33:D$33),Calculations!$B26,IF(Calculations!$E26=COUNT(Output!$B$33:D$33),Inputs!$B59-Calculations!$C26*(Calculations!$E26-1)+Calculations!$D26,0))</f>
        <v>0</v>
      </c>
      <c r="E84" s="46">
        <f>IF(Calculations!$E26&gt;COUNT(Output!$B$33:E$33),Calculations!$B26,IF(Calculations!$E26=COUNT(Output!$B$33:E$33),Inputs!$B59-Calculations!$C26*(Calculations!$E26-1)+Calculations!$D26,0))</f>
        <v>0</v>
      </c>
      <c r="F84" s="46">
        <f>IF(Calculations!$E26&gt;COUNT(Output!$B$33:F$33),Calculations!$B26,IF(Calculations!$E26=COUNT(Output!$B$33:F$33),Inputs!$B59-Calculations!$C26*(Calculations!$E26-1)+Calculations!$D26,0))</f>
        <v>0</v>
      </c>
      <c r="G84" s="46">
        <f>IF(Calculations!$E26&gt;COUNT(Output!$B$33:G$33),Calculations!$B26,IF(Calculations!$E26=COUNT(Output!$B$33:G$33),Inputs!$B59-Calculations!$C26*(Calculations!$E26-1)+Calculations!$D26,0))</f>
        <v>0</v>
      </c>
      <c r="H84" s="46">
        <f>IF(Calculations!$E26&gt;COUNT(Output!$B$33:H$33),Calculations!$B26,IF(Calculations!$E26=COUNT(Output!$B$33:H$33),Inputs!$B59-Calculations!$C26*(Calculations!$E26-1)+Calculations!$D26,0))</f>
        <v>0</v>
      </c>
      <c r="I84" s="46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0</v>
      </c>
      <c r="AA84" s="46">
        <f>SUM(B84:M84)</f>
        <v>0</v>
      </c>
      <c r="AB84" s="46">
        <f>SUM(B84:Y84)</f>
        <v>0</v>
      </c>
    </row>
    <row r="85" spans="1:30" customHeight="1" ht="15.75" hidden="true" outlineLevel="1">
      <c r="A85" s="190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32986.274682506</v>
      </c>
      <c r="C86" s="19">
        <f>SUM(C70:C80,C64,C58,C52,C46,C40,C34)</f>
        <v>32986.274682506</v>
      </c>
      <c r="D86" s="19">
        <f>SUM(D70:D80,D64,D58,D52,D46,D40,D34)</f>
        <v>32986.274682506</v>
      </c>
      <c r="E86" s="19">
        <f>SUM(E70:E80,E64,E58,E52,E46,E40,E34)</f>
        <v>22911.274682506</v>
      </c>
      <c r="F86" s="19">
        <f>SUM(F70:F80,F64,F58,F52,F46,F40,F34)</f>
        <v>22911.274682506</v>
      </c>
      <c r="G86" s="19">
        <f>SUM(G70:G80,G64,G58,G52,G46,G40,G34)</f>
        <v>38198.274682506</v>
      </c>
      <c r="H86" s="19">
        <f>SUM(H70:H80,H64,H58,H52,H46,H40,H34)</f>
        <v>34186.274682506</v>
      </c>
      <c r="I86" s="19">
        <f>SUM(I70:I80,I64,I58,I52,I46,I40,I34)</f>
        <v>32986.274682506</v>
      </c>
      <c r="J86" s="19">
        <f>SUM(J70:J80,J64,J58,J52,J46,J40,J34)</f>
        <v>32986.274682506</v>
      </c>
      <c r="K86" s="19">
        <f>SUM(K70:K80,K64,K58,K52,K46,K40,K34)</f>
        <v>22911.274682506</v>
      </c>
      <c r="L86" s="19">
        <f>SUM(L70:L80,L64,L58,L52,L46,L40,L34)</f>
        <v>22911.274682506</v>
      </c>
      <c r="M86" s="19">
        <f>SUM(M70:M80,M64,M58,M52,M46,M40,M34)</f>
        <v>38198.274682506</v>
      </c>
      <c r="N86" s="19">
        <f>SUM(N70:N80,N64,N58,N52,N46,N40,N34)</f>
        <v>32986.274682506</v>
      </c>
      <c r="O86" s="19">
        <f>SUM(O70:O80,O64,O58,O52,O46,O40,O34)</f>
        <v>32986.274682506</v>
      </c>
      <c r="P86" s="19">
        <f>SUM(P70:P80,P64,P58,P52,P46,P40,P34)</f>
        <v>32986.274682506</v>
      </c>
      <c r="Q86" s="19">
        <f>SUM(Q70:Q80,Q64,Q58,Q52,Q46,Q40,Q34)</f>
        <v>22911.274682506</v>
      </c>
      <c r="R86" s="19">
        <f>SUM(R70:R80,R64,R58,R52,R46,R40,R34)</f>
        <v>22911.274682506</v>
      </c>
      <c r="S86" s="19">
        <f>SUM(S70:S80,S64,S58,S52,S46,S40,S34)</f>
        <v>38198.274682506</v>
      </c>
      <c r="T86" s="19">
        <f>SUM(T70:T80,T64,T58,T52,T46,T40,T34)</f>
        <v>34186.274682506</v>
      </c>
      <c r="U86" s="19">
        <f>SUM(U70:U80,U64,U58,U52,U46,U40,U34)</f>
        <v>32986.274682506</v>
      </c>
      <c r="V86" s="19">
        <f>SUM(V70:V80,V64,V58,V52,V46,V40,V34)</f>
        <v>32986.274682506</v>
      </c>
      <c r="W86" s="19">
        <f>SUM(W70:W80,W64,W58,W52,W46,W40,W34)</f>
        <v>22911.274682506</v>
      </c>
      <c r="X86" s="19">
        <f>SUM(X70:X80,X64,X58,X52,X46,X40,X34)</f>
        <v>22911.274682506</v>
      </c>
      <c r="Y86" s="19">
        <f>SUM(Y70:Y80,Y64,Y58,Y52,Y46,Y40,Y34)</f>
        <v>38198.274682506</v>
      </c>
      <c r="Z86" s="19">
        <f>SUMIF($B$11:$Y$11,"Yes",B86:Y86)</f>
        <v>32986.274682506</v>
      </c>
      <c r="AA86" s="19">
        <f>SUM(B86:M86)</f>
        <v>367159.29619008</v>
      </c>
      <c r="AB86" s="19">
        <f>SUM(B86:Y86)</f>
        <v>734318.59238015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>27000</v>
      </c>
    </row>
    <row r="93" spans="1:30">
      <c r="A93" t="s">
        <v>58</v>
      </c>
      <c r="B93" s="36">
        <f>Inputs!B47</f>
        <v>12500</v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0</v>
      </c>
    </row>
    <row r="96" spans="1:30">
      <c r="A96" t="s">
        <v>61</v>
      </c>
      <c r="B96" s="36">
        <f>IF(Inputs!B44="Yes",Inputs!B45,0)</f>
        <v>25000</v>
      </c>
    </row>
    <row r="97" spans="1:30">
      <c r="A97" t="s">
        <v>62</v>
      </c>
      <c r="B97" s="36">
        <f>Inputs!B46</f>
        <v>6000</v>
      </c>
    </row>
    <row r="98" spans="1:30" customHeight="1" ht="15.75">
      <c r="A98" s="18" t="s">
        <v>63</v>
      </c>
      <c r="B98" s="37">
        <f>Inputs!B48</f>
        <v>80000</v>
      </c>
    </row>
    <row r="99" spans="1:30" customHeight="1" ht="15.75">
      <c r="A99" s="1" t="s">
        <v>64</v>
      </c>
      <c r="B99" s="19">
        <f>SUM(B92:B98)</f>
        <v>150500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>5000</v>
      </c>
    </row>
    <row r="103" spans="1:30">
      <c r="A103" t="s">
        <v>67</v>
      </c>
      <c r="B103" s="36">
        <f>SUM(Inputs!B56:B60)</f>
        <v>22000</v>
      </c>
    </row>
    <row r="104" spans="1:30" customHeight="1" ht="15.75">
      <c r="A104" s="18" t="s">
        <v>68</v>
      </c>
      <c r="B104" s="37">
        <f>Calculations!G35</f>
        <v>10000</v>
      </c>
    </row>
    <row r="105" spans="1:30" customHeight="1" ht="15.75">
      <c r="A105" s="1" t="s">
        <v>69</v>
      </c>
      <c r="B105" s="19">
        <f>SUM(B102:B104)</f>
        <v>37000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 t="s">
        <v>86</v>
      </c>
      <c r="B7" s="20"/>
      <c r="C7" s="143">
        <v>2</v>
      </c>
      <c r="D7" s="20"/>
      <c r="E7" s="146" t="s">
        <v>87</v>
      </c>
      <c r="F7" s="147" t="s">
        <v>88</v>
      </c>
      <c r="G7" s="146">
        <v>0</v>
      </c>
      <c r="H7" s="146" t="s">
        <v>89</v>
      </c>
      <c r="I7" s="148" t="s">
        <v>90</v>
      </c>
      <c r="J7" s="149" t="s">
        <v>91</v>
      </c>
      <c r="K7" s="138"/>
      <c r="L7" s="20"/>
      <c r="M7" s="164">
        <v>10</v>
      </c>
      <c r="N7" s="154">
        <v>2</v>
      </c>
      <c r="P7" s="41"/>
    </row>
    <row r="8" spans="1:48">
      <c r="A8" s="144"/>
      <c r="B8" s="16"/>
      <c r="C8" s="144"/>
      <c r="D8" s="16"/>
      <c r="E8" s="148"/>
      <c r="F8" s="150"/>
      <c r="G8" s="148"/>
      <c r="H8" s="148"/>
      <c r="I8" s="148"/>
      <c r="J8" s="149"/>
      <c r="K8" s="139"/>
      <c r="L8" s="16"/>
      <c r="M8" s="166"/>
      <c r="N8" s="155"/>
    </row>
    <row r="9" spans="1:48">
      <c r="A9" s="144"/>
      <c r="B9" s="16"/>
      <c r="C9" s="144"/>
      <c r="D9" s="16"/>
      <c r="E9" s="148"/>
      <c r="F9" s="150"/>
      <c r="G9" s="148"/>
      <c r="H9" s="148"/>
      <c r="I9" s="148"/>
      <c r="J9" s="149"/>
      <c r="K9" s="139"/>
      <c r="L9" s="16"/>
      <c r="M9" s="166"/>
      <c r="N9" s="155"/>
    </row>
    <row r="10" spans="1:48">
      <c r="A10" s="144"/>
      <c r="B10" s="16"/>
      <c r="C10" s="144"/>
      <c r="D10" s="16"/>
      <c r="E10" s="148"/>
      <c r="F10" s="150"/>
      <c r="G10" s="148"/>
      <c r="H10" s="148"/>
      <c r="I10" s="148"/>
      <c r="J10" s="149"/>
      <c r="K10" s="139"/>
      <c r="L10" s="16"/>
      <c r="M10" s="166"/>
      <c r="N10" s="155"/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93</v>
      </c>
      <c r="B18" s="10" t="s">
        <v>94</v>
      </c>
      <c r="C18" s="10" t="s">
        <v>95</v>
      </c>
      <c r="D18" s="10" t="s">
        <v>96</v>
      </c>
      <c r="E18" s="10" t="s">
        <v>97</v>
      </c>
      <c r="F18" s="10" t="s">
        <v>98</v>
      </c>
      <c r="G18" s="10" t="s">
        <v>99</v>
      </c>
      <c r="H18" s="10" t="s">
        <v>100</v>
      </c>
      <c r="I18" s="10" t="s">
        <v>101</v>
      </c>
      <c r="J18" s="10" t="s">
        <v>102</v>
      </c>
      <c r="K18" s="10" t="s">
        <v>103</v>
      </c>
      <c r="L18" s="10" t="s">
        <v>104</v>
      </c>
    </row>
    <row r="19" spans="1:48">
      <c r="A19" s="143" t="s">
        <v>105</v>
      </c>
      <c r="B19" s="20"/>
      <c r="C19" s="143">
        <v>250</v>
      </c>
      <c r="D19" s="146">
        <v>250</v>
      </c>
      <c r="E19" s="20"/>
      <c r="F19" s="146" t="s">
        <v>106</v>
      </c>
      <c r="G19" s="20"/>
      <c r="H19" s="20"/>
      <c r="I19" s="146" t="s">
        <v>107</v>
      </c>
      <c r="J19" s="146">
        <v>20</v>
      </c>
      <c r="K19" s="146">
        <v>20</v>
      </c>
      <c r="L19" s="25">
        <v>2</v>
      </c>
    </row>
    <row r="20" spans="1:48">
      <c r="A20" s="144"/>
      <c r="B20" s="16"/>
      <c r="C20" s="144"/>
      <c r="D20" s="148"/>
      <c r="E20" s="16"/>
      <c r="F20" s="148"/>
      <c r="G20" s="16"/>
      <c r="H20" s="16"/>
      <c r="I20" s="148"/>
      <c r="J20" s="148"/>
      <c r="K20" s="148"/>
      <c r="L20" s="30"/>
    </row>
    <row r="21" spans="1:48">
      <c r="A21" s="145"/>
      <c r="B21" s="23"/>
      <c r="C21" s="145"/>
      <c r="D21" s="151"/>
      <c r="E21" s="23"/>
      <c r="F21" s="151"/>
      <c r="G21" s="23"/>
      <c r="H21" s="23"/>
      <c r="I21" s="151"/>
      <c r="J21" s="151"/>
      <c r="K21" s="151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8">
        <v>10</v>
      </c>
    </row>
    <row r="27" spans="1:48">
      <c r="A27" s="14" t="s">
        <v>110</v>
      </c>
    </row>
    <row r="29" spans="1:48">
      <c r="A29" s="45" t="s">
        <v>111</v>
      </c>
      <c r="B29" s="157" t="s">
        <v>112</v>
      </c>
    </row>
    <row r="30" spans="1:48">
      <c r="A30" s="44" t="s">
        <v>113</v>
      </c>
      <c r="B30" s="158">
        <v>10000</v>
      </c>
    </row>
    <row r="31" spans="1:48">
      <c r="A31" s="5" t="s">
        <v>114</v>
      </c>
      <c r="B31" s="159">
        <v>7500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3" t="s">
        <v>120</v>
      </c>
      <c r="B35" s="160">
        <v>25000</v>
      </c>
      <c r="C35" s="146" t="s">
        <v>121</v>
      </c>
      <c r="D35" s="49">
        <f>IFERROR(VLOOKUP(C35,Parameters!$C$76:$D$87,2,0),"")</f>
        <v>12</v>
      </c>
    </row>
    <row r="36" spans="1:48">
      <c r="A36" s="145"/>
      <c r="B36" s="159"/>
      <c r="C36" s="151"/>
      <c r="D36" s="49" t="str">
        <f>IFERROR(VLOOKUP(C36,Parameters!$C$76:$D$87,2,0),"")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1" t="s">
        <v>89</v>
      </c>
    </row>
    <row r="41" spans="1:48">
      <c r="A41" s="55" t="s">
        <v>124</v>
      </c>
      <c r="B41" s="141">
        <v>1200</v>
      </c>
    </row>
    <row r="42" spans="1:48">
      <c r="A42" s="55" t="s">
        <v>125</v>
      </c>
      <c r="B42" s="140" t="s">
        <v>126</v>
      </c>
    </row>
    <row r="43" spans="1:48">
      <c r="A43" s="55" t="s">
        <v>127</v>
      </c>
      <c r="B43" s="161" t="s">
        <v>128</v>
      </c>
    </row>
    <row r="44" spans="1:48">
      <c r="A44" s="56" t="s">
        <v>129</v>
      </c>
      <c r="B44" s="161" t="s">
        <v>106</v>
      </c>
    </row>
    <row r="45" spans="1:48">
      <c r="A45" s="56" t="s">
        <v>130</v>
      </c>
      <c r="B45" s="162">
        <v>25000</v>
      </c>
    </row>
    <row r="46" spans="1:48" customHeight="1" ht="30">
      <c r="A46" s="57" t="s">
        <v>131</v>
      </c>
      <c r="B46" s="162">
        <v>6000</v>
      </c>
    </row>
    <row r="47" spans="1:48" customHeight="1" ht="30">
      <c r="A47" s="57" t="s">
        <v>132</v>
      </c>
      <c r="B47" s="162">
        <v>12500</v>
      </c>
    </row>
    <row r="48" spans="1:48" customHeight="1" ht="30">
      <c r="A48" s="57" t="s">
        <v>133</v>
      </c>
      <c r="B48" s="162">
        <v>80000</v>
      </c>
    </row>
    <row r="49" spans="1:48" customHeight="1" ht="30">
      <c r="A49" s="57" t="s">
        <v>134</v>
      </c>
      <c r="B49" s="162">
        <v>27000</v>
      </c>
    </row>
    <row r="50" spans="1:48">
      <c r="A50" s="43"/>
      <c r="B50" s="36"/>
    </row>
    <row r="51" spans="1:48">
      <c r="A51" s="58" t="s">
        <v>135</v>
      </c>
      <c r="B51" s="162">
        <v>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60">
        <v>47500</v>
      </c>
      <c r="B56" s="160">
        <v>22000</v>
      </c>
      <c r="C56" s="163" t="s">
        <v>143</v>
      </c>
      <c r="D56" s="164" t="s">
        <v>144</v>
      </c>
      <c r="E56" s="164" t="s">
        <v>89</v>
      </c>
      <c r="F56" s="164" t="s">
        <v>145</v>
      </c>
    </row>
    <row r="57" spans="1:48">
      <c r="A57" s="158"/>
      <c r="B57" s="158"/>
      <c r="C57" s="165"/>
      <c r="D57" s="166"/>
      <c r="E57" s="166"/>
      <c r="F57" s="166"/>
    </row>
    <row r="58" spans="1:48">
      <c r="A58" s="158"/>
      <c r="B58" s="158"/>
      <c r="C58" s="165"/>
      <c r="D58" s="166"/>
      <c r="E58" s="166"/>
      <c r="F58" s="166"/>
    </row>
    <row r="59" spans="1:48">
      <c r="A59" s="158"/>
      <c r="B59" s="158"/>
      <c r="C59" s="165"/>
      <c r="D59" s="166"/>
      <c r="E59" s="166"/>
      <c r="F59" s="166"/>
    </row>
    <row r="60" spans="1:48">
      <c r="A60" s="159"/>
      <c r="B60" s="159"/>
      <c r="C60" s="167"/>
      <c r="D60" s="168"/>
      <c r="E60" s="168"/>
      <c r="F60" s="168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147</v>
      </c>
      <c r="C65" s="10" t="s">
        <v>148</v>
      </c>
    </row>
    <row r="66" spans="1:48">
      <c r="A66" s="143" t="s">
        <v>149</v>
      </c>
      <c r="B66" s="160">
        <v>7500</v>
      </c>
      <c r="C66" s="164">
        <v>2500</v>
      </c>
      <c r="D66" s="49">
        <f>INDEX(Parameters!$D$76:$D$87,MATCH(Inputs!A66,Parameters!$C$76:$C$87,0))</f>
        <v>1</v>
      </c>
    </row>
    <row r="67" spans="1:48">
      <c r="A67" s="144" t="s">
        <v>150</v>
      </c>
      <c r="B67" s="158">
        <v>6000</v>
      </c>
      <c r="C67" s="166">
        <v>40000</v>
      </c>
      <c r="D67" s="49">
        <f>INDEX(Parameters!$D$76:$D$87,MATCH(Inputs!A67,Parameters!$C$76:$C$87,0))</f>
        <v>2</v>
      </c>
    </row>
    <row r="68" spans="1:48">
      <c r="A68" s="144" t="s">
        <v>151</v>
      </c>
      <c r="B68" s="158">
        <v>12345</v>
      </c>
      <c r="C68" s="166">
        <v>3500</v>
      </c>
      <c r="D68" s="49">
        <f>INDEX(Parameters!$D$76:$D$87,MATCH(Inputs!A68,Parameters!$C$76:$C$87,0))</f>
        <v>3</v>
      </c>
    </row>
    <row r="69" spans="1:48">
      <c r="A69" s="144" t="s">
        <v>126</v>
      </c>
      <c r="B69" s="158">
        <v>10000</v>
      </c>
      <c r="C69" s="166">
        <v>2700</v>
      </c>
      <c r="D69" s="49">
        <f>INDEX(Parameters!$D$76:$D$87,MATCH(Inputs!A69,Parameters!$C$76:$C$87,0))</f>
        <v>4</v>
      </c>
    </row>
    <row r="70" spans="1:48">
      <c r="A70" s="144" t="s">
        <v>152</v>
      </c>
      <c r="B70" s="158">
        <v>100000</v>
      </c>
      <c r="C70" s="166">
        <v>87000</v>
      </c>
      <c r="D70" s="49">
        <f>INDEX(Parameters!$D$76:$D$87,MATCH(Inputs!A70,Parameters!$C$76:$C$87,0))</f>
        <v>5</v>
      </c>
    </row>
    <row r="71" spans="1:48">
      <c r="A71" s="145" t="s">
        <v>153</v>
      </c>
      <c r="B71" s="159">
        <v>8500</v>
      </c>
      <c r="C71" s="168">
        <v>10000</v>
      </c>
      <c r="D71" s="49">
        <f>INDEX(Parameters!$D$76:$D$87,MATCH(Inputs!A71,Parameters!$C$76:$C$87,0))</f>
        <v>6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2">
        <v>1</v>
      </c>
    </row>
    <row r="76" spans="1:48">
      <c r="A76" t="s">
        <v>156</v>
      </c>
      <c r="B76" s="169" t="s">
        <v>157</v>
      </c>
    </row>
    <row r="78" spans="1:48" customHeight="1" ht="20.25">
      <c r="B78" s="128" t="s">
        <v>158</v>
      </c>
    </row>
    <row r="79" spans="1:48">
      <c r="A79" t="s">
        <v>159</v>
      </c>
      <c r="B79" s="169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9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2">
        <v>10000</v>
      </c>
    </row>
    <row r="82" spans="1:48">
      <c r="A82" t="s">
        <v>163</v>
      </c>
      <c r="B82" s="162">
        <v>18</v>
      </c>
    </row>
    <row r="83" spans="1:48">
      <c r="A83" t="s">
        <v>164</v>
      </c>
      <c r="B83" s="170" t="s">
        <v>165</v>
      </c>
    </row>
    <row r="84" spans="1:48">
      <c r="A84" t="s">
        <v>166</v>
      </c>
      <c r="B84" s="170">
        <v>2</v>
      </c>
    </row>
    <row r="85" spans="1:48">
      <c r="A85" t="s">
        <v>167</v>
      </c>
      <c r="B85" s="170">
        <v>36</v>
      </c>
    </row>
    <row r="86" spans="1:48">
      <c r="A86" t="s">
        <v>168</v>
      </c>
      <c r="B86" s="162"/>
    </row>
    <row r="87" spans="1:48">
      <c r="A87" t="s">
        <v>169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F8" sqref="F8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9" t="s">
        <v>84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40</v>
      </c>
      <c r="AA3" s="32" t="s">
        <v>193</v>
      </c>
      <c r="AB3" s="32" t="s">
        <v>194</v>
      </c>
      <c r="AC3" s="59">
        <f>Output!B3</f>
        <v>42644</v>
      </c>
      <c r="AD3" s="59">
        <f>Output!C3</f>
        <v>42675</v>
      </c>
      <c r="AE3" s="59">
        <f>Output!D3</f>
        <v>42705</v>
      </c>
      <c r="AF3" s="59">
        <f>Output!E3</f>
        <v>42736</v>
      </c>
      <c r="AG3" s="59">
        <f>Output!F3</f>
        <v>42767</v>
      </c>
      <c r="AH3" s="59">
        <f>Output!G3</f>
        <v>42795</v>
      </c>
      <c r="AI3" s="59">
        <f>Output!H3</f>
        <v>42826</v>
      </c>
      <c r="AJ3" s="59">
        <f>Output!I3</f>
        <v>42856</v>
      </c>
      <c r="AK3" s="59">
        <f>Output!J3</f>
        <v>42887</v>
      </c>
      <c r="AL3" s="59">
        <f>Output!K3</f>
        <v>42917</v>
      </c>
      <c r="AM3" s="59">
        <f>Output!L3</f>
        <v>42948</v>
      </c>
      <c r="AN3" s="59">
        <f>Output!M3</f>
        <v>42979</v>
      </c>
      <c r="AO3" s="59">
        <f>Output!N3</f>
        <v>43009</v>
      </c>
      <c r="AP3" s="59">
        <f>Output!O3</f>
        <v>43040</v>
      </c>
      <c r="AQ3" s="59">
        <f>Output!P3</f>
        <v>43070</v>
      </c>
      <c r="AR3" s="59">
        <f>Output!Q3</f>
        <v>43101</v>
      </c>
      <c r="AS3" s="59">
        <f>Output!R3</f>
        <v>43132</v>
      </c>
      <c r="AT3" s="59">
        <f>Output!S3</f>
        <v>43160</v>
      </c>
    </row>
    <row r="4" spans="1:46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$76:$D$87,2,0)+1,1)&gt;DATE(YEAR(Inputs!$B$76),MONTH(Inputs!$B$76),DAY(Inputs!$B$76))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43070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43252</v>
      </c>
      <c r="H4" s="20">
        <f>Inputs!C7</f>
        <v>2</v>
      </c>
      <c r="I4" s="138" t="str">
        <f>IFERROR(VLOOKUP(Inputs!E7,Parameters!$J$74:$K$78,2,0),"")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4606.651</v>
      </c>
      <c r="M4" s="25">
        <f>L4*H4</f>
        <v>9213.302</v>
      </c>
      <c r="N4" s="22">
        <f>Calculations!U4</f>
        <v>0.1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14</v>
      </c>
      <c r="P4" s="22">
        <f>IFERROR(INDEX(Parameters!$A$3:$V$17,MATCH(Calculations!$A4,Parameters!$A$3:$A$17,0),MATCH($P$3,Parameters!$A$3:$V$3,0)),0)</f>
        <v>0</v>
      </c>
      <c r="Q4" s="33">
        <f>M4*O4*(1-N4)*MAX(S4,1)</f>
        <v>232175.2104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IFERROR(J4*H4*Parameters!$B$35+IF(OR(Inputs!F7=Parameters!$E$75,Inputs!F7=Parameters!$E$77),Calculations!H4*Parameters!$B$36,0),0)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IF(Inputs!I7=Parameters!$F$75,H4*INDEX(Parameters!$A$3:$AI$18,MATCH(Calculations!A4,Parameters!$A$3:$A$18,0),MATCH(Parameters!$Q$3,Parameters!$A$3:$AI$3,0)),0)</f>
        <v>16000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27000</v>
      </c>
      <c r="AC4" s="60" t="str">
        <f>IF($D4="",1/12,IFERROR(INDEX(Parameters!$X$2:$AI$17,MATCH(Calculations!$A4,Parameters!$A$2:$A$17,0),MATCH(MONTH(Calculations!AC$3),Parameters!$X$2:$AI$2,0)),1/12))</f>
        <v/>
      </c>
      <c r="AD4" s="60" t="str">
        <f>IF($D4="",1/12,IFERROR(INDEX(Parameters!$X$2:$AI$17,MATCH(Calculations!$A4,Parameters!$A$2:$A$17,0),MATCH(MONTH(Calculations!AD$3),Parameters!$X$2:$AI$2,0)),1/12))</f>
        <v/>
      </c>
      <c r="AE4" s="60" t="str">
        <f>IF($D4="",1/12,IFERROR(INDEX(Parameters!$X$2:$AI$17,MATCH(Calculations!$A4,Parameters!$A$2:$A$17,0),MATCH(MONTH(Calculations!AE$3),Parameters!$X$2:$AI$2,0)),1/12))</f>
        <v/>
      </c>
      <c r="AF4" s="60" t="str">
        <f>IF($D4="",1/12,IFERROR(INDEX(Parameters!$X$2:$AI$17,MATCH(Calculations!$A4,Parameters!$A$2:$A$17,0),MATCH(MONTH(Calculations!AF$3),Parameters!$X$2:$AI$2,0)),1/12))</f>
        <v/>
      </c>
      <c r="AG4" s="60" t="str">
        <f>IF($D4="",1/12,IFERROR(INDEX(Parameters!$X$2:$AI$17,MATCH(Calculations!$A4,Parameters!$A$2:$A$17,0),MATCH(MONTH(Calculations!AG$3),Parameters!$X$2:$AI$2,0)),1/12))</f>
        <v/>
      </c>
      <c r="AH4" s="60" t="str">
        <f>IF($D4="",1/12,IFERROR(INDEX(Parameters!$X$2:$AI$17,MATCH(Calculations!$A4,Parameters!$A$2:$A$17,0),MATCH(MONTH(Calculations!AH$3),Parameters!$X$2:$AI$2,0)),1/12))</f>
        <v/>
      </c>
      <c r="AI4" s="60" t="str">
        <f>IF($D4="",1/12,IFERROR(INDEX(Parameters!$X$2:$AI$17,MATCH(Calculations!$A4,Parameters!$A$2:$A$17,0),MATCH(MONTH(Calculations!AI$3),Parameters!$X$2:$AI$2,0)),1/12))</f>
        <v/>
      </c>
      <c r="AJ4" s="60" t="str">
        <f>IF($D4="",1/12,IFERROR(INDEX(Parameters!$X$2:$AI$17,MATCH(Calculations!$A4,Parameters!$A$2:$A$17,0),MATCH(MONTH(Calculations!AJ$3),Parameters!$X$2:$AI$2,0)),1/12))</f>
        <v/>
      </c>
      <c r="AK4" s="60" t="str">
        <f>IF($D4="",1/12,IFERROR(INDEX(Parameters!$X$2:$AI$17,MATCH(Calculations!$A4,Parameters!$A$2:$A$17,0),MATCH(MONTH(Calculations!AK$3),Parameters!$X$2:$AI$2,0)),1/12))</f>
        <v/>
      </c>
      <c r="AL4" s="60" t="str">
        <f>IF($D4="",1/12,IFERROR(INDEX(Parameters!$X$2:$AI$17,MATCH(Calculations!$A4,Parameters!$A$2:$A$17,0),MATCH(MONTH(Calculations!AL$3),Parameters!$X$2:$AI$2,0)),1/12))</f>
        <v/>
      </c>
      <c r="AM4" s="60" t="str">
        <f>IF($D4="",1/12,IFERROR(INDEX(Parameters!$X$2:$AI$17,MATCH(Calculations!$A4,Parameters!$A$2:$A$17,0),MATCH(MONTH(Calculations!AM$3),Parameters!$X$2:$AI$2,0)),1/12))</f>
        <v/>
      </c>
      <c r="AN4" s="60" t="str">
        <f>IF($D4="",1/12,IFERROR(INDEX(Parameters!$X$2:$AI$17,MATCH(Calculations!$A4,Parameters!$A$2:$A$17,0),MATCH(MONTH(Calculations!AN$3),Parameters!$X$2:$AI$2,0)),1/12))</f>
        <v/>
      </c>
      <c r="AO4" s="60" t="str">
        <f>IF($D4="",1/12,IFERROR(INDEX(Parameters!$X$2:$AI$17,MATCH(Calculations!$A4,Parameters!$A$2:$A$17,0),MATCH(MONTH(Calculations!AO$3),Parameters!$X$2:$AI$2,0)),1/12))</f>
        <v/>
      </c>
      <c r="AP4" s="60" t="str">
        <f>IF($D4="",1/12,IFERROR(INDEX(Parameters!$X$2:$AI$17,MATCH(Calculations!$A4,Parameters!$A$2:$A$17,0),MATCH(MONTH(Calculations!AP$3),Parameters!$X$2:$AI$2,0)),1/12))</f>
        <v/>
      </c>
      <c r="AQ4" s="60" t="str">
        <f>IF($D4="",1/12,IFERROR(INDEX(Parameters!$X$2:$AI$17,MATCH(Calculations!$A4,Parameters!$A$2:$A$17,0),MATCH(MONTH(Calculations!AQ$3),Parameters!$X$2:$AI$2,0)),1/12))</f>
        <v/>
      </c>
      <c r="AR4" s="60" t="str">
        <f>IF($D4="",1/12,IFERROR(INDEX(Parameters!$X$2:$AI$17,MATCH(Calculations!$A4,Parameters!$A$2:$A$17,0),MATCH(MONTH(Calculations!AR$3),Parameters!$X$2:$AI$2,0)),1/12))</f>
        <v/>
      </c>
      <c r="AS4" s="60" t="str">
        <f>IF($D4="",1/12,IFERROR(INDEX(Parameters!$X$2:$AI$17,MATCH(Calculations!$A4,Parameters!$A$2:$A$17,0),MATCH(MONTH(Calculations!AS$3),Parameters!$X$2:$AI$2,0)),1/12))</f>
        <v/>
      </c>
      <c r="AT4" s="60" t="str">
        <f>IF($D4="",1/12,IFERROR(INDEX(Parameters!$X$2:$AI$17,MATCH(Calculations!$A4,Parameters!$A$2:$A$17,0),MATCH(MONTH(Calculations!AT$3),Parameters!$X$2:$AI$2,0)),1/12))</f>
        <v/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$76:$D$87,2,0)+1,1)&gt;DATE(YEAR(Inputs!$B$76),MONTH(Inputs!$B$76),DAY(Inputs!$B$76))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9" t="str">
        <f>IFERROR(VLOOKUP(Inputs!E8,Parameters!$J$74:$K$78,2,0),"")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IFERROR(J5*H5*Parameters!$B$35+IF(OR(Inputs!F8=Parameters!$E$75,Inputs!F8=Parameters!$E$77),Calculations!H5*Parameters!$B$36,0),0)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$76:$D$87,2,0)+1,1)&gt;DATE(YEAR(Inputs!$B$76),MONTH(Inputs!$B$76),DAY(Inputs!$B$76))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9" t="str">
        <f>IFERROR(VLOOKUP(Inputs!E9,Parameters!$J$74:$K$78,2,0),"")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IFERROR(J6*H6*Parameters!$B$35+IF(OR(Inputs!F9=Parameters!$E$75,Inputs!F9=Parameters!$E$77),Calculations!H6*Parameters!$B$36,0),0)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$76:$D$87,2,0)+1,1)&gt;DATE(YEAR(Inputs!$B$76),MONTH(Inputs!$B$76),DAY(Inputs!$B$76))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9" t="str">
        <f>IFERROR(VLOOKUP(Inputs!E10,Parameters!$J$74:$K$78,2,0),"")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$76:$D$87,2,0)+1,1)&gt;DATE(YEAR(Inputs!$B$76),MONTH(Inputs!$B$76),DAY(Inputs!$B$76))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20" t="str">
        <f>IFERROR(VLOOKUP(Inputs!E11,Parameters!$J$74:$K$78,2,0),"")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93</v>
      </c>
      <c r="B13" s="15" t="s">
        <v>32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9" t="s">
        <v>205</v>
      </c>
      <c r="N13" s="179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250</v>
      </c>
      <c r="E14" s="16">
        <f>Inputs!D19</f>
        <v>250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0.45112781954887</v>
      </c>
      <c r="K14" s="27">
        <f>IFERROR(INDEX(Parameters!$A$22:$P$29,MATCH(Calculations!$A14,Parameters!$A$22:$A$29,0),MATCH(Parameters!$H$22,Parameters!$A$22:$P$22,0)),"")</f>
        <v>8</v>
      </c>
      <c r="L14" s="171"/>
      <c r="M14" s="60">
        <f>Inputs!J19/100</f>
        <v>0.2</v>
      </c>
      <c r="N14" s="180">
        <f>Inputs!K19/100</f>
        <v>0.2</v>
      </c>
      <c r="O14" s="63">
        <f>IFERROR(INDEX(Parameters!$A$41:$C$48,MATCH(Calculations!A14,Parameters!$A$41:$A$48,0),MATCH(Inputs!F19,Parameters!$A$41:$C$41,0)),0)</f>
        <v>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263458.64661654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2133.3333333333</v>
      </c>
      <c r="S14" s="63">
        <f>IFERROR(D14*INDEX(Parameters!$A$22:$P$29,MATCH(Calculations!$A14,Parameters!$A$22:$A$29,0),MATCH(Parameters!$N$22,Parameters!$A$22:$P$22,0)),"")</f>
        <v>17152.255639098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2"/>
      <c r="M15" s="22">
        <f>Inputs!J20/100</f>
        <v>0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</v>
      </c>
      <c r="O16" s="64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250</v>
      </c>
      <c r="E17" s="23"/>
      <c r="F17" s="6">
        <f>IFERROR(INDEX(Parameters!$A$22:$P$29,MATCH(Calculations!$A17,Parameters!$A$22:$A$29,0),MATCH(Parameters!$P$22,Parameters!$A$22:$P$22,0)),"")</f>
        <v>18</v>
      </c>
      <c r="G17" s="121">
        <f>IF(A17="","",INDEX(G14:G16,MATCH(Parameters!B23,B14:B16,0)))</f>
        <v>1</v>
      </c>
      <c r="H17" s="124">
        <f>IFERROR(IF(B17="meat",INDEX(Parameters!$A$22:$P$29,MATCH(Calculations!A17,Parameters!$A$22:$A$29,0),MATCH(Parameters!$I$22,Parameters!$A$22:$P$22,0))*G17,""),"")</f>
        <v>1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7"/>
      <c r="K17" s="61"/>
      <c r="L17" s="173">
        <f>IF(A17="","",DATE(YEAR(Inputs!$B$76),MONTH(Inputs!$B$76)+Parameters!O23-INDEX(Inputs!$L$19:$L$21,MATCH(Parameters!$A$23,Inputs!$A$19:$A$21,0)),1))</f>
        <v>43132</v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37500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137</v>
      </c>
      <c r="B22" s="75" t="s">
        <v>212</v>
      </c>
      <c r="C22" s="75" t="s">
        <v>213</v>
      </c>
      <c r="D22" s="75" t="s">
        <v>214</v>
      </c>
      <c r="E22" s="75" t="s">
        <v>215</v>
      </c>
    </row>
    <row r="23" spans="1:46">
      <c r="A23" s="76">
        <f>Inputs!A56</f>
        <v>47500</v>
      </c>
      <c r="B23" s="76">
        <f>SUM(C23:D23)</f>
        <v>870.83333333333</v>
      </c>
      <c r="C23" s="76" t="str">
        <f>IF(Inputs!B56&gt;0,(Inputs!A56-Inputs!B56)/(Inputs!$B$76-Inputs!C56)*30,0)</f>
        <v>0</v>
      </c>
      <c r="D23" s="76">
        <f>IF(Inputs!B56&gt;0,Inputs!A56*0.22/12,0)</f>
        <v>870.83333333333</v>
      </c>
      <c r="E23" s="76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IF(Inputs!B57&gt;0,(Inputs!A57-Inputs!B57)/(Inputs!$B$76-Inputs!C57)*30,0)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IF(Inputs!B58&gt;0,(Inputs!A58-Inputs!B58)/(Inputs!$B$76-Inputs!C58)*30,0)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IF(Inputs!B59&gt;0,(Inputs!A59-Inputs!B59)/(Inputs!$B$76-Inputs!C59)*30,0)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IF(Inputs!B60&gt;0,(Inputs!A60-Inputs!B60)/(Inputs!$B$76-Inputs!C60)*30,0)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217</v>
      </c>
      <c r="B32" s="130" t="s">
        <v>218</v>
      </c>
      <c r="C32" s="130" t="s">
        <v>219</v>
      </c>
      <c r="D32" s="130" t="s">
        <v>220</v>
      </c>
      <c r="F32" s="133" t="s">
        <v>221</v>
      </c>
      <c r="G32" s="133" t="s">
        <v>222</v>
      </c>
      <c r="I32" s="175" t="s">
        <v>223</v>
      </c>
      <c r="J32" s="176" t="str">
        <f>VLOOKUP(VALUE(Inputs!B75),Parameters!A54:B68,2,0)</f>
        <v>0</v>
      </c>
    </row>
    <row r="33" spans="1:46">
      <c r="A33">
        <v>1</v>
      </c>
      <c r="B33" s="129">
        <f>G34</f>
        <v>42653</v>
      </c>
      <c r="C33" s="27">
        <f>IF(B33&lt;&gt;"",IF(COUNT($A$33:A33)&lt;=$G$39,0,$G$41)+IF(COUNT($A$33:A33)&lt;=$G$40,0,$G$42),"")</f>
        <v>624.59665144597</v>
      </c>
      <c r="D33" s="182">
        <f>IFERROR(DATE(YEAR(B33),MONTH(B33),1),"")</f>
        <v>42644</v>
      </c>
      <c r="F33" t="s">
        <v>159</v>
      </c>
      <c r="G33" s="129">
        <f>IF(Inputs!B79="","",DATE(YEAR(Inputs!B79),MONTH(Inputs!B79),DAY(Inputs!B79)))</f>
        <v>42646</v>
      </c>
      <c r="J33" s="43"/>
    </row>
    <row r="34" spans="1:46">
      <c r="A34">
        <f>A33+1</f>
        <v>2</v>
      </c>
      <c r="B34" s="129">
        <f>IFERROR(IF(COUNT($A$33:A34)&lt;=$G$38,IF($G$37="Monthly",DATE(YEAR(B33),MONTH(B33)+1,MIN(DAY(B33),28)),B33+14),""),"")</f>
        <v>42667</v>
      </c>
      <c r="C34" s="27">
        <f>IF(B34&lt;&gt;"",IF(COUNT($A$33:A34)&lt;=$G$39,0,$G$41)+IF(COUNT($A$33:A34)&lt;=$G$40,0,$G$42),"")</f>
        <v>624.59665144597</v>
      </c>
      <c r="D34" s="182">
        <f>IFERROR(DATE(YEAR(B34),MONTH(B34),1),"")</f>
        <v>42644</v>
      </c>
      <c r="F34" t="s">
        <v>160</v>
      </c>
      <c r="G34" s="129">
        <f>IF(Inputs!B80="","",DATE(YEAR(Inputs!B80),MONTH(Inputs!B80),DAY(Inputs!B80)))</f>
        <v>42653</v>
      </c>
    </row>
    <row r="35" spans="1:46">
      <c r="A35">
        <f>A34+1</f>
        <v>3</v>
      </c>
      <c r="B35" s="129">
        <f>IFERROR(IF(COUNT($A$33:A35)&lt;=$G$38,IF($G$37="Monthly",DATE(YEAR(B34),MONTH(B34)+1,MIN(DAY(B34),28)),B34+14),""),"")</f>
        <v>42681</v>
      </c>
      <c r="C35" s="27">
        <f>IF(B35&lt;&gt;"",IF(COUNT($A$33:A35)&lt;=$G$39,0,$G$41)+IF(COUNT($A$33:A35)&lt;=$G$40,0,$G$42),"")</f>
        <v>624.59665144597</v>
      </c>
      <c r="D35" s="182">
        <f>IFERROR(DATE(YEAR(B35),MONTH(B35),1),"")</f>
        <v>42675</v>
      </c>
      <c r="F35" t="s">
        <v>162</v>
      </c>
      <c r="G35" s="27">
        <f>Inputs!B81</f>
        <v>10000</v>
      </c>
    </row>
    <row r="36" spans="1:46">
      <c r="A36">
        <f>A35+1</f>
        <v>4</v>
      </c>
      <c r="B36" s="129">
        <f>IFERROR(IF(COUNT($A$33:A36)&lt;=$G$38,IF($G$37="Monthly",DATE(YEAR(B35),MONTH(B35)+1,MIN(DAY(B35),28)),B35+14),""),"")</f>
        <v>42695</v>
      </c>
      <c r="C36" s="27">
        <f>IF(B36&lt;&gt;"",IF(COUNT($A$33:A36)&lt;=$G$39,0,$G$41)+IF(COUNT($A$33:A36)&lt;=$G$40,0,$G$42),"")</f>
        <v>624.59665144597</v>
      </c>
      <c r="D36" s="182">
        <f>IFERROR(DATE(YEAR(B36),MONTH(B36),1),"")</f>
        <v>42675</v>
      </c>
      <c r="F36" t="s">
        <v>163</v>
      </c>
      <c r="G36" s="131">
        <f>Inputs!B82/100</f>
        <v>0.18</v>
      </c>
    </row>
    <row r="37" spans="1:46">
      <c r="A37">
        <f>A36+1</f>
        <v>5</v>
      </c>
      <c r="B37" s="129">
        <f>IFERROR(IF(COUNT($A$33:A37)&lt;=$G$38,IF($G$37="Monthly",DATE(YEAR(B36),MONTH(B36)+1,MIN(DAY(B36),28)),B36+14),""),"")</f>
        <v>42709</v>
      </c>
      <c r="C37" s="27">
        <f>IF(B37&lt;&gt;"",IF(COUNT($A$33:A37)&lt;=$G$39,0,$G$41)+IF(COUNT($A$33:A37)&lt;=$G$40,0,$G$42),"")</f>
        <v>624.59665144597</v>
      </c>
      <c r="D37" s="182">
        <f>IFERROR(DATE(YEAR(B37),MONTH(B37),1),"")</f>
        <v>42705</v>
      </c>
      <c r="F37" t="s">
        <v>224</v>
      </c>
      <c r="G37" s="132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9">
        <f>IFERROR(IF(COUNT($A$33:A38)&lt;=$G$38,IF($G$37="Monthly",DATE(YEAR(B37),MONTH(B37)+1,MIN(DAY(B37),28)),B37+14),""),"")</f>
        <v>42723</v>
      </c>
      <c r="C38" s="27">
        <f>IF(B38&lt;&gt;"",IF(COUNT($A$33:A38)&lt;=$G$39,0,$G$41)+IF(COUNT($A$33:A38)&lt;=$G$40,0,$G$42),"")</f>
        <v>624.59665144597</v>
      </c>
      <c r="D38" s="182">
        <f>IFERROR(DATE(YEAR(B38),MONTH(B38),1),"")</f>
        <v>42705</v>
      </c>
      <c r="F38" t="s">
        <v>225</v>
      </c>
      <c r="G38" s="27">
        <f>IFERROR(Inputs!B85/Inputs!B84,"")</f>
        <v>18</v>
      </c>
    </row>
    <row r="39" spans="1:46">
      <c r="A39">
        <f>A38+1</f>
        <v>7</v>
      </c>
      <c r="B39" s="129">
        <f>IFERROR(IF(COUNT($A$33:A39)&lt;=$G$38,IF($G$37="Monthly",DATE(YEAR(B38),MONTH(B38)+1,MIN(DAY(B38),28)),B38+14),""),"")</f>
        <v>42737</v>
      </c>
      <c r="C39" s="27">
        <f>IF(B39&lt;&gt;"",IF(COUNT($A$33:A39)&lt;=$G$39,0,$G$41)+IF(COUNT($A$33:A39)&lt;=$G$40,0,$G$42),"")</f>
        <v>624.59665144597</v>
      </c>
      <c r="D39" s="182">
        <f>IFERROR(DATE(YEAR(B39),MONTH(B39),1),"")</f>
        <v>42736</v>
      </c>
      <c r="F39" t="s">
        <v>168</v>
      </c>
      <c r="G39" s="27">
        <f>Inputs!B86</f>
        <v/>
      </c>
    </row>
    <row r="40" spans="1:46">
      <c r="A40">
        <f>A39+1</f>
        <v>8</v>
      </c>
      <c r="B40" s="129">
        <f>IFERROR(IF(COUNT($A$33:A40)&lt;=$G$38,IF($G$37="Monthly",DATE(YEAR(B39),MONTH(B39)+1,MIN(DAY(B39),28)),B39+14),""),"")</f>
        <v>42751</v>
      </c>
      <c r="C40" s="27">
        <f>IF(B40&lt;&gt;"",IF(COUNT($A$33:A40)&lt;=$G$39,0,$G$41)+IF(COUNT($A$33:A40)&lt;=$G$40,0,$G$42),"")</f>
        <v>624.59665144597</v>
      </c>
      <c r="D40" s="182">
        <f>IFERROR(DATE(YEAR(B40),MONTH(B40),1),"")</f>
        <v>42736</v>
      </c>
      <c r="F40" t="s">
        <v>169</v>
      </c>
      <c r="G40" s="27">
        <f>Inputs!B87</f>
        <v/>
      </c>
    </row>
    <row r="41" spans="1:46">
      <c r="A41">
        <f>A40+1</f>
        <v>9</v>
      </c>
      <c r="B41" s="129">
        <f>IFERROR(IF(COUNT($A$33:A41)&lt;=$G$38,IF($G$37="Monthly",DATE(YEAR(B40),MONTH(B40)+1,MIN(DAY(B40),28)),B40+14),""),"")</f>
        <v>42765</v>
      </c>
      <c r="C41" s="27">
        <f>IF(B41&lt;&gt;"",IF(COUNT($A$33:A41)&lt;=$G$39,0,$G$41)+IF(COUNT($A$33:A41)&lt;=$G$40,0,$G$42),"")</f>
        <v>624.59665144597</v>
      </c>
      <c r="D41" s="182">
        <f>IFERROR(DATE(YEAR(B41),MONTH(B41),1),"")</f>
        <v>42736</v>
      </c>
      <c r="F41" t="s">
        <v>226</v>
      </c>
      <c r="G41" s="74">
        <f>IFERROR(G35/(G38-G39),"")</f>
        <v>555.55555555556</v>
      </c>
      <c r="H41" s="74"/>
    </row>
    <row r="42" spans="1:46">
      <c r="A42">
        <f>A41+1</f>
        <v>10</v>
      </c>
      <c r="B42" s="129">
        <f>IFERROR(IF(COUNT($A$33:A42)&lt;=$G$38,IF($G$37="Monthly",DATE(YEAR(B41),MONTH(B41)+1,MIN(DAY(B41),28)),B41+14),""),"")</f>
        <v>42779</v>
      </c>
      <c r="C42" s="27">
        <f>IF(B42&lt;&gt;"",IF(COUNT($A$33:A42)&lt;=$G$39,0,$G$41)+IF(COUNT($A$33:A42)&lt;=$G$40,0,$G$42),"")</f>
        <v>624.59665144597</v>
      </c>
      <c r="D42" s="182">
        <f>IFERROR(DATE(YEAR(B42),MONTH(B42),1),"")</f>
        <v>42767</v>
      </c>
      <c r="F42" t="s">
        <v>227</v>
      </c>
      <c r="G42" s="74">
        <f>IFERROR(G35*G36*IF(G37="Monthly",G38/12,IF(G37="Fortnightly",G38/(365/14),G38/(365/28)))/(G38-G40),"")</f>
        <v>69.041095890411</v>
      </c>
    </row>
    <row r="43" spans="1:46">
      <c r="A43">
        <f>A42+1</f>
        <v>11</v>
      </c>
      <c r="B43" s="129">
        <f>IFERROR(IF(COUNT($A$33:A43)&lt;=$G$38,IF($G$37="Monthly",DATE(YEAR(B42),MONTH(B42)+1,MIN(DAY(B42),28)),B42+14),""),"")</f>
        <v>42793</v>
      </c>
      <c r="C43" s="27">
        <f>IF(B43&lt;&gt;"",IF(COUNT($A$33:A43)&lt;=$G$39,0,$G$41)+IF(COUNT($A$33:A43)&lt;=$G$40,0,$G$42),"")</f>
        <v>624.59665144597</v>
      </c>
      <c r="D43" s="182">
        <f>IFERROR(DATE(YEAR(B43),MONTH(B43),1),"")</f>
        <v>42767</v>
      </c>
    </row>
    <row r="44" spans="1:46">
      <c r="A44">
        <f>A43+1</f>
        <v>12</v>
      </c>
      <c r="B44" s="129">
        <f>IFERROR(IF(COUNT($A$33:A44)&lt;=$G$38,IF($G$37="Monthly",DATE(YEAR(B43),MONTH(B43)+1,MIN(DAY(B43),28)),B43+14),""),"")</f>
        <v>42807</v>
      </c>
      <c r="C44" s="27">
        <f>IF(B44&lt;&gt;"",IF(COUNT($A$33:A44)&lt;=$G$39,0,$G$41)+IF(COUNT($A$33:A44)&lt;=$G$40,0,$G$42),"")</f>
        <v>624.59665144597</v>
      </c>
      <c r="D44" s="182">
        <f>IFERROR(DATE(YEAR(B44),MONTH(B44),1),"")</f>
        <v>42795</v>
      </c>
    </row>
    <row r="45" spans="1:46">
      <c r="A45">
        <f>A44+1</f>
        <v>13</v>
      </c>
      <c r="B45" s="129">
        <f>IFERROR(IF(COUNT($A$33:A45)&lt;=$G$38,IF($G$37="Monthly",DATE(YEAR(B44),MONTH(B44)+1,MIN(DAY(B44),28)),B44+14),""),"")</f>
        <v>42821</v>
      </c>
      <c r="C45" s="27">
        <f>IF(B45&lt;&gt;"",IF(COUNT($A$33:A45)&lt;=$G$39,0,$G$41)+IF(COUNT($A$33:A45)&lt;=$G$40,0,$G$42),"")</f>
        <v>624.59665144597</v>
      </c>
      <c r="D45" s="182">
        <f>IFERROR(DATE(YEAR(B45),MONTH(B45),1),"")</f>
        <v>42795</v>
      </c>
    </row>
    <row r="46" spans="1:46">
      <c r="A46">
        <f>A45+1</f>
        <v>14</v>
      </c>
      <c r="B46" s="129">
        <f>IFERROR(IF(COUNT($A$33:A46)&lt;=$G$38,IF($G$37="Monthly",DATE(YEAR(B45),MONTH(B45)+1,MIN(DAY(B45),28)),B45+14),""),"")</f>
        <v>42835</v>
      </c>
      <c r="C46" s="27">
        <f>IF(B46&lt;&gt;"",IF(COUNT($A$33:A46)&lt;=$G$39,0,$G$41)+IF(COUNT($A$33:A46)&lt;=$G$40,0,$G$42),"")</f>
        <v>624.59665144597</v>
      </c>
      <c r="D46" s="182">
        <f>IFERROR(DATE(YEAR(B46),MONTH(B46),1),"")</f>
        <v>42826</v>
      </c>
    </row>
    <row r="47" spans="1:46">
      <c r="A47">
        <f>A46+1</f>
        <v>15</v>
      </c>
      <c r="B47" s="129">
        <f>IFERROR(IF(COUNT($A$33:A47)&lt;=$G$38,IF($G$37="Monthly",DATE(YEAR(B46),MONTH(B46)+1,MIN(DAY(B46),28)),B46+14),""),"")</f>
        <v>42849</v>
      </c>
      <c r="C47" s="27">
        <f>IF(B47&lt;&gt;"",IF(COUNT($A$33:A47)&lt;=$G$39,0,$G$41)+IF(COUNT($A$33:A47)&lt;=$G$40,0,$G$42),"")</f>
        <v>624.59665144597</v>
      </c>
      <c r="D47" s="182">
        <f>IFERROR(DATE(YEAR(B47),MONTH(B47),1),"")</f>
        <v>42826</v>
      </c>
    </row>
    <row r="48" spans="1:46">
      <c r="A48">
        <f>A47+1</f>
        <v>16</v>
      </c>
      <c r="B48" s="129">
        <f>IFERROR(IF(COUNT($A$33:A48)&lt;=$G$38,IF($G$37="Monthly",DATE(YEAR(B47),MONTH(B47)+1,MIN(DAY(B47),28)),B47+14),""),"")</f>
        <v>42863</v>
      </c>
      <c r="C48" s="27">
        <f>IF(B48&lt;&gt;"",IF(COUNT($A$33:A48)&lt;=$G$39,0,$G$41)+IF(COUNT($A$33:A48)&lt;=$G$40,0,$G$42),"")</f>
        <v>624.59665144597</v>
      </c>
      <c r="D48" s="182">
        <f>IFERROR(DATE(YEAR(B48),MONTH(B48),1),"")</f>
        <v>42856</v>
      </c>
    </row>
    <row r="49" spans="1:46">
      <c r="A49">
        <f>A48+1</f>
        <v>17</v>
      </c>
      <c r="B49" s="129">
        <f>IFERROR(IF(COUNT($A$33:A49)&lt;=$G$38,IF($G$37="Monthly",DATE(YEAR(B48),MONTH(B48)+1,MIN(DAY(B48),28)),B48+14),""),"")</f>
        <v>42877</v>
      </c>
      <c r="C49" s="27">
        <f>IF(B49&lt;&gt;"",IF(COUNT($A$33:A49)&lt;=$G$39,0,$G$41)+IF(COUNT($A$33:A49)&lt;=$G$40,0,$G$42),"")</f>
        <v>624.59665144597</v>
      </c>
      <c r="D49" s="182">
        <f>IFERROR(DATE(YEAR(B49),MONTH(B49),1),"")</f>
        <v>42856</v>
      </c>
    </row>
    <row r="50" spans="1:46">
      <c r="A50">
        <f>A49+1</f>
        <v>18</v>
      </c>
      <c r="B50" s="129">
        <f>IFERROR(IF(COUNT($A$33:A50)&lt;=$G$38,IF($G$37="Monthly",DATE(YEAR(B49),MONTH(B49)+1,MIN(DAY(B49),28)),B49+14),""),"")</f>
        <v>42891</v>
      </c>
      <c r="C50" s="27">
        <f>IF(B50&lt;&gt;"",IF(COUNT($A$33:A50)&lt;=$G$39,0,$G$41)+IF(COUNT($A$33:A50)&lt;=$G$40,0,$G$42),"")</f>
        <v>624.59665144597</v>
      </c>
      <c r="D50" s="182">
        <f>IFERROR(DATE(YEAR(B50),MONTH(B50),1),"")</f>
        <v>42887</v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4" customFormat="1">
      <c r="A4" s="94" t="s">
        <v>260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261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262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263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264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86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264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265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264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266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267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268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262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262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269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264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270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262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262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271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264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272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264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273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267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274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262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262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275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264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276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264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277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93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105</v>
      </c>
      <c r="B23" s="21" t="s">
        <v>292</v>
      </c>
      <c r="C23" s="72" t="s">
        <v>293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294</v>
      </c>
      <c r="B24" s="21" t="s">
        <v>295</v>
      </c>
      <c r="C24" s="117" t="s">
        <v>262</v>
      </c>
      <c r="D24" s="116" t="s">
        <v>262</v>
      </c>
      <c r="E24" s="107">
        <v>0.05</v>
      </c>
      <c r="F24" s="107">
        <v>0.1</v>
      </c>
      <c r="G24" s="107">
        <v>0.2</v>
      </c>
      <c r="H24" s="117" t="s">
        <v>262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296</v>
      </c>
      <c r="B25" s="16" t="s">
        <v>297</v>
      </c>
      <c r="C25" s="30" t="s">
        <v>298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262</v>
      </c>
      <c r="J25" s="72" t="s">
        <v>262</v>
      </c>
      <c r="K25" s="72" t="s">
        <v>262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299</v>
      </c>
      <c r="B26" s="16" t="s">
        <v>295</v>
      </c>
      <c r="C26" s="117" t="s">
        <v>262</v>
      </c>
      <c r="D26" s="116" t="s">
        <v>262</v>
      </c>
      <c r="E26" s="107">
        <v>0.2</v>
      </c>
      <c r="F26" s="107">
        <v>0.7</v>
      </c>
      <c r="G26" s="107">
        <v>2</v>
      </c>
      <c r="H26" s="117" t="s">
        <v>262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300</v>
      </c>
      <c r="B27" s="71" t="s">
        <v>295</v>
      </c>
      <c r="C27" s="117" t="s">
        <v>262</v>
      </c>
      <c r="D27" s="116" t="s">
        <v>262</v>
      </c>
      <c r="E27" s="107">
        <v>0.15</v>
      </c>
      <c r="F27" s="107">
        <v>0.25</v>
      </c>
      <c r="G27" s="107">
        <v>1</v>
      </c>
      <c r="H27" s="117" t="s">
        <v>262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301</v>
      </c>
      <c r="B28" s="71" t="s">
        <v>295</v>
      </c>
      <c r="C28" s="117" t="s">
        <v>262</v>
      </c>
      <c r="D28" s="116" t="s">
        <v>262</v>
      </c>
      <c r="E28" s="107">
        <v>0.15</v>
      </c>
      <c r="F28" s="107">
        <v>0.25</v>
      </c>
      <c r="G28" s="107">
        <v>1</v>
      </c>
      <c r="H28" s="117" t="s">
        <v>262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302</v>
      </c>
      <c r="B29" s="119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303</v>
      </c>
      <c r="B30" s="70" t="s">
        <v>295</v>
      </c>
    </row>
    <row r="31" spans="1:36">
      <c r="H31" s="87"/>
      <c r="I31" s="87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7"/>
    </row>
    <row r="36" spans="1:36">
      <c r="A36" t="s">
        <v>308</v>
      </c>
      <c r="B36" s="72">
        <v>2000</v>
      </c>
      <c r="C36" s="87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311</v>
      </c>
      <c r="C40" s="192"/>
    </row>
    <row r="41" spans="1:36">
      <c r="B41" s="73" t="s">
        <v>89</v>
      </c>
      <c r="C41" s="73" t="s">
        <v>106</v>
      </c>
    </row>
    <row r="42" spans="1:36">
      <c r="A42" t="s">
        <v>105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269</v>
      </c>
      <c r="E52" s="12" t="s">
        <v>269</v>
      </c>
      <c r="F52" s="12" t="s">
        <v>269</v>
      </c>
      <c r="G52" s="12" t="s">
        <v>313</v>
      </c>
      <c r="H52" s="12" t="s">
        <v>128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90">
        <v>806.09046126288</v>
      </c>
      <c r="E54" s="90">
        <v>2</v>
      </c>
      <c r="F54" s="90">
        <v>4</v>
      </c>
      <c r="G54" s="7" t="s">
        <v>106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90">
        <v>806.09046126288</v>
      </c>
      <c r="E55" s="90">
        <v>2</v>
      </c>
      <c r="F55" s="90">
        <v>4</v>
      </c>
      <c r="G55" s="7" t="s">
        <v>106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323</v>
      </c>
      <c r="C56" s="12" t="s">
        <v>321</v>
      </c>
      <c r="D56" s="90">
        <v>806.09046126288</v>
      </c>
      <c r="E56" s="90">
        <v>2</v>
      </c>
      <c r="F56" s="90">
        <v>4</v>
      </c>
      <c r="G56" s="7" t="s">
        <v>106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324</v>
      </c>
      <c r="C57" s="12" t="s">
        <v>321</v>
      </c>
      <c r="D57" s="90">
        <v>806.09046126288</v>
      </c>
      <c r="E57" s="90">
        <v>2</v>
      </c>
      <c r="F57" s="90">
        <v>4</v>
      </c>
      <c r="G57" s="7" t="s">
        <v>106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325</v>
      </c>
      <c r="C58" s="12" t="s">
        <v>326</v>
      </c>
      <c r="D58" s="90">
        <v>806.09046126288</v>
      </c>
      <c r="E58" s="90">
        <v>2</v>
      </c>
      <c r="F58" s="90">
        <v>4</v>
      </c>
      <c r="G58" s="7" t="s">
        <v>89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327</v>
      </c>
      <c r="C59" s="12" t="s">
        <v>326</v>
      </c>
      <c r="D59" s="90">
        <v>806.09046126288</v>
      </c>
      <c r="E59" s="90">
        <v>1</v>
      </c>
      <c r="F59" s="90">
        <v>5</v>
      </c>
      <c r="G59" s="7" t="s">
        <v>89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328</v>
      </c>
      <c r="C60" s="12" t="s">
        <v>326</v>
      </c>
      <c r="D60" s="90">
        <v>806.09046126288</v>
      </c>
      <c r="E60" s="90">
        <v>2</v>
      </c>
      <c r="F60" s="90">
        <v>4</v>
      </c>
      <c r="G60" s="7" t="s">
        <v>106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329</v>
      </c>
      <c r="C61" s="12" t="s">
        <v>326</v>
      </c>
      <c r="D61" s="90">
        <v>268.69682042096</v>
      </c>
      <c r="E61" s="90">
        <v>2</v>
      </c>
      <c r="F61" s="90">
        <v>4</v>
      </c>
      <c r="G61" s="7" t="s">
        <v>106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330</v>
      </c>
      <c r="C62" s="12" t="s">
        <v>326</v>
      </c>
      <c r="D62" s="90">
        <v>806.09046126288</v>
      </c>
      <c r="E62" s="90">
        <v>2</v>
      </c>
      <c r="F62" s="90">
        <v>4</v>
      </c>
      <c r="G62" s="7" t="s">
        <v>89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331</v>
      </c>
      <c r="C63" s="12" t="s">
        <v>326</v>
      </c>
      <c r="D63" s="90">
        <v>806.09046126288</v>
      </c>
      <c r="E63" s="90">
        <v>2</v>
      </c>
      <c r="F63" s="90">
        <v>4</v>
      </c>
      <c r="G63" s="7" t="s">
        <v>89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332</v>
      </c>
      <c r="C64" s="12" t="s">
        <v>326</v>
      </c>
      <c r="D64" s="90">
        <v>1612.1809225258</v>
      </c>
      <c r="E64" s="90">
        <v>1</v>
      </c>
      <c r="F64" s="90">
        <v>6</v>
      </c>
      <c r="G64" s="7" t="s">
        <v>89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333</v>
      </c>
      <c r="C65" s="12" t="s">
        <v>326</v>
      </c>
      <c r="D65" s="90">
        <v>1612.1809225258</v>
      </c>
      <c r="E65" s="90">
        <v>1</v>
      </c>
      <c r="F65" s="90">
        <v>6</v>
      </c>
      <c r="G65" s="7" t="s">
        <v>106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334</v>
      </c>
      <c r="C66" s="12" t="s">
        <v>326</v>
      </c>
      <c r="D66" s="90">
        <v>806.09046126288</v>
      </c>
      <c r="E66" s="90">
        <v>2</v>
      </c>
      <c r="F66" s="90">
        <v>4</v>
      </c>
      <c r="G66" s="7" t="s">
        <v>106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335</v>
      </c>
      <c r="C67" s="12" t="s">
        <v>326</v>
      </c>
      <c r="D67" s="90">
        <v>806.09046126288</v>
      </c>
      <c r="E67" s="90">
        <v>2</v>
      </c>
      <c r="F67" s="90">
        <v>4</v>
      </c>
      <c r="G67" s="7" t="s">
        <v>106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336</v>
      </c>
      <c r="C68" s="12" t="s">
        <v>321</v>
      </c>
      <c r="D68" s="90">
        <v>806.09046126288</v>
      </c>
      <c r="E68" s="90">
        <v>2</v>
      </c>
      <c r="F68" s="90">
        <v>4</v>
      </c>
      <c r="G68" s="7" t="s">
        <v>106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337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338</v>
      </c>
      <c r="B73" s="11" t="s">
        <v>339</v>
      </c>
      <c r="C73" s="11" t="s">
        <v>340</v>
      </c>
      <c r="D73" s="11" t="s">
        <v>341</v>
      </c>
      <c r="E73" s="11" t="s">
        <v>77</v>
      </c>
      <c r="F73" s="11" t="s">
        <v>342</v>
      </c>
      <c r="G73" s="11" t="s">
        <v>343</v>
      </c>
      <c r="H73" s="11" t="s">
        <v>344</v>
      </c>
      <c r="I73" s="11" t="s">
        <v>224</v>
      </c>
      <c r="J73" s="11" t="s">
        <v>345</v>
      </c>
      <c r="K73" s="11" t="s">
        <v>177</v>
      </c>
      <c r="AJ73" s="12"/>
    </row>
    <row r="74" spans="1:36">
      <c r="A74" t="s">
        <v>106</v>
      </c>
      <c r="B74" s="177">
        <v>0</v>
      </c>
      <c r="C74" s="12" t="s">
        <v>346</v>
      </c>
      <c r="E74" s="12" t="s">
        <v>89</v>
      </c>
      <c r="F74" s="12" t="s">
        <v>89</v>
      </c>
      <c r="G74" s="12" t="s">
        <v>107</v>
      </c>
      <c r="H74" s="12" t="s">
        <v>128</v>
      </c>
      <c r="I74" s="12" t="s">
        <v>347</v>
      </c>
      <c r="J74" s="137" t="s">
        <v>348</v>
      </c>
      <c r="K74" s="12" t="s">
        <v>89</v>
      </c>
      <c r="AJ74" s="12"/>
    </row>
    <row r="75" spans="1:36">
      <c r="A75" t="s">
        <v>89</v>
      </c>
      <c r="B75" s="177">
        <v>5</v>
      </c>
      <c r="C75" s="135" t="s">
        <v>349</v>
      </c>
      <c r="D75" s="134"/>
      <c r="E75" s="12" t="s">
        <v>88</v>
      </c>
      <c r="F75" s="12" t="s">
        <v>90</v>
      </c>
      <c r="G75" s="12" t="s">
        <v>350</v>
      </c>
      <c r="H75" s="12" t="s">
        <v>314</v>
      </c>
      <c r="I75" s="12" t="s">
        <v>165</v>
      </c>
      <c r="J75" s="70" t="s">
        <v>87</v>
      </c>
      <c r="K75" s="12" t="s">
        <v>89</v>
      </c>
      <c r="AJ75" s="12"/>
    </row>
    <row r="76" spans="1:36">
      <c r="B76" s="177">
        <v>10</v>
      </c>
      <c r="C76" s="12" t="s">
        <v>149</v>
      </c>
      <c r="D76" s="12">
        <v>1</v>
      </c>
      <c r="E76" s="12" t="s">
        <v>351</v>
      </c>
      <c r="F76" s="12" t="s">
        <v>352</v>
      </c>
      <c r="G76" s="12" t="s">
        <v>353</v>
      </c>
      <c r="I76" s="12" t="s">
        <v>340</v>
      </c>
      <c r="J76" s="70" t="s">
        <v>354</v>
      </c>
      <c r="K76" s="12" t="s">
        <v>89</v>
      </c>
      <c r="AJ76" s="12"/>
    </row>
    <row r="77" spans="1:36">
      <c r="B77" s="177">
        <v>20</v>
      </c>
      <c r="C77" s="12" t="s">
        <v>150</v>
      </c>
      <c r="D77" s="12">
        <f>D76+1</f>
        <v>2</v>
      </c>
      <c r="E77" s="12" t="s">
        <v>355</v>
      </c>
      <c r="F77" s="12" t="s">
        <v>356</v>
      </c>
      <c r="J77" s="70" t="s">
        <v>357</v>
      </c>
      <c r="K77" s="12" t="s">
        <v>106</v>
      </c>
      <c r="AJ77" s="12"/>
    </row>
    <row r="78" spans="1:36">
      <c r="B78" s="177">
        <v>30</v>
      </c>
      <c r="C78" s="12" t="s">
        <v>151</v>
      </c>
      <c r="D78" s="12">
        <f>D77+1</f>
        <v>3</v>
      </c>
      <c r="J78" s="70" t="s">
        <v>358</v>
      </c>
      <c r="K78" s="12" t="s">
        <v>106</v>
      </c>
    </row>
    <row r="79" spans="1:36">
      <c r="B79" s="177">
        <v>40</v>
      </c>
      <c r="C79" s="12" t="s">
        <v>126</v>
      </c>
      <c r="D79" s="12">
        <f>D78+1</f>
        <v>4</v>
      </c>
      <c r="J79" s="70"/>
    </row>
    <row r="80" spans="1:36">
      <c r="B80" s="177">
        <v>50</v>
      </c>
      <c r="C80" s="12" t="s">
        <v>152</v>
      </c>
      <c r="D80" s="12">
        <f>D79+1</f>
        <v>5</v>
      </c>
    </row>
    <row r="81" spans="1:36">
      <c r="B81" s="177">
        <v>60</v>
      </c>
      <c r="C81" s="12" t="s">
        <v>153</v>
      </c>
      <c r="D81" s="12">
        <f>D80+1</f>
        <v>6</v>
      </c>
    </row>
    <row r="82" spans="1:36">
      <c r="B82" s="177">
        <v>70</v>
      </c>
      <c r="C82" s="12" t="s">
        <v>359</v>
      </c>
      <c r="D82" s="12">
        <f>D81+1</f>
        <v>7</v>
      </c>
    </row>
    <row r="83" spans="1:36">
      <c r="B83" s="177">
        <v>80</v>
      </c>
      <c r="C83" s="12" t="s">
        <v>360</v>
      </c>
      <c r="D83" s="12">
        <f>D82+1</f>
        <v>8</v>
      </c>
    </row>
    <row r="84" spans="1:36">
      <c r="B84" s="177">
        <v>90</v>
      </c>
      <c r="C84" s="12" t="s">
        <v>91</v>
      </c>
      <c r="D84" s="12">
        <f>D83+1</f>
        <v>9</v>
      </c>
    </row>
    <row r="85" spans="1:36">
      <c r="B85" s="177">
        <v>100</v>
      </c>
      <c r="C85" s="12" t="s">
        <v>361</v>
      </c>
      <c r="D85" s="12">
        <f>D84+1</f>
        <v>10</v>
      </c>
    </row>
    <row r="86" spans="1:36">
      <c r="C86" s="12" t="s">
        <v>362</v>
      </c>
      <c r="D86" s="12">
        <f>D85+1</f>
        <v>11</v>
      </c>
    </row>
    <row r="87" spans="1:36">
      <c r="C87" s="12" t="s">
        <v>121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2016-09-28T14:20:16+00:00</dcterms:modified>
  <dc:title/>
  <dc:description/>
  <dc:subject/>
  <cp:keywords/>
  <cp:category/>
</cp:coreProperties>
</file>