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<sst xmlns="http://schemas.openxmlformats.org/spreadsheetml/2006/main" uniqueCount="357">
  <si>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</si>
  <si>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</si>
  <si>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</si>
  <si>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</si>
  <si>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</si>
  <si>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</si>
  <si>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</si>
  <si>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</si>
  <si>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</si>
  <si>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</si>
  <si>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</si>
  <si>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</si>
  <si>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</si>
  <si>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</si>
  <si>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</si>
  <si>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</si>
  <si>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</si>
  <si>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</si>
  <si>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</si>
  <si>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</si>
  <si>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</si>
  <si>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</si>
  <si>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</si>
  <si>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</si>
  <si>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</si>
  <si>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</si>
  <si>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</si>
  <si>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</si>
  <si>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</si>
  <si>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</si>
  <si>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</si>
  <si>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</si>
  <si>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</si>
  <si>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</si>
  <si>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</si>
  <si>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</si>
  <si>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</si>
  <si>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</si>
  <si>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</si>
  <si>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</si>
  <si>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</si>
  <si>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</si>
  <si>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</si>
  <si>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</si>
  <si>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</si>
  <si>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</si>
  <si>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</si>
  <si>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</si>
  <si>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</si>
  <si>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</si>
  <si>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</si>
  <si>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</si>
  <si>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</si>
  <si>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</si>
  <si>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</si>
  <si>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</si>
  <si>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</si>
  <si>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</si>
  <si>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</si>
  <si>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</si>
  <si>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</si>
  <si>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</si>
  <si>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</si>
  <si>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</si>
  <si>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</si>
  <si>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</si>
  <si>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</si>
  <si>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</si>
  <si>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</si>
  <si>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</si>
  <si>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</si>
  <si>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</si>
  <si>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</si>
  <si>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</si>
  <si>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</si>
  <si>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</si>
  <si>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</si>
  <si>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</si>
  <si>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</si>
  <si>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</si>
  <si>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</si>
  <si>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</si>
  <si>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</si>
  <si>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</si>
  <si>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</si>
  <si>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</si>
  <si>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</si>
  <si>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</si>
  <si>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</si>
  <si>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</si>
  <si>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</si>
  <si>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</si>
  <si>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</si>
  <si>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</si>
  <si>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</si>
  <si>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</si>
  <si>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</si>
  <si>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</si>
  <si>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</si>
  <si>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</si>
  <si>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</si>
  <si>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</si>
  <si>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</si>
  <si>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</si>
  <si>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</si>
  <si>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</si>
  <si>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</si>
  <si>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</si>
  <si>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</si>
  <si>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</si>
  <si>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</si>
  <si>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</si>
  <si>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</si>
  <si>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</si>
  <si>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</si>
  <si>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</si>
  <si>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</si>
  <si>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</si>
  <si>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</si>
  <si>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</si>
  <si>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</si>
  <si>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</si>
  <si>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</si>
  <si>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</si>
  <si>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</si>
  <si>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</si>
  <si>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</si>
  <si>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</si>
  <si>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</si>
  <si>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</si>
  <si>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</si>
  <si>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</si>
  <si>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</si>
  <si>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</si>
  <si>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</si>
  <si>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//</t>
  </si>
  <si>
    <t>Loan terms</t>
  </si>
  <si>
    <t>Expected disbursement date</t>
  </si>
  <si>
    <t>Expected first repayment date</t>
  </si>
  <si>
    <t>Principal applied</t>
  </si>
  <si>
    <t>Interest rate</t>
  </si>
  <si>
    <t>Term period frequency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</si>
  <si>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</si>
  <si>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</si>
  <si>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</si>
  <si>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</si>
  <si>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</si>
  <si>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</si>
  <si>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</si>
  <si>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</si>
  <si>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</si>
  <si>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</si>
  <si>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</si>
  <si>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</si>
  <si>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</si>
  <si>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</si>
  <si>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</si>
  <si>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</si>
  <si>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</si>
  <si>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</si>
  <si>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</si>
  <si>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</si>
  <si>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</si>
  <si>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</si>
  <si>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</si>
  <si>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</si>
  <si>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</si>
  <si>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</si>
  <si>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</si>
  <si>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</si>
  <si>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</si>
  <si>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</si>
  <si>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</si>
  <si>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</si>
  <si>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</si>
  <si>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</si>
  <si>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</si>
  <si>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</si>
  <si>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</si>
  <si>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</si>
  <si>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</si>
  <si>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</si>
  <si>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</si>
  <si>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</si>
  <si>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</si>
  <si>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</si>
  <si>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</si>
  <si>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</si>
  <si>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</si>
  <si>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</si>
  <si>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</si>
  <si>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</si>
  <si>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</si>
  <si>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</si>
  <si>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</si>
  <si>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</si>
  <si>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</si>
  <si>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</si>
  <si>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</si>
  <si>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</si>
  <si>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</si>
  <si>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</si>
  <si>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</si>
  <si>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</si>
  <si>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</si>
  <si>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</si>
  <si>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</si>
  <si>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</si>
  <si>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</si>
  <si>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</si>
  <si>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</si>
  <si>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</si>
  <si>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</si>
  <si>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</si>
  <si>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</si>
  <si>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</si>
  <si>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</si>
  <si>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</si>
  <si>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</si>
  <si>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</si>
  <si>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</si>
  <si>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</si>
  <si>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</si>
  <si>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</si>
  <si>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</si>
  <si>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</si>
  <si>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</si>
  <si>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</si>
  <si>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</si>
  <si>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</si>
  <si>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</si>
  <si>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</si>
  <si>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</si>
  <si>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</si>
  <si>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</si>
  <si>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</si>
  <si>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</si>
  <si>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</si>
  <si>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</si>
  <si>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</si>
  <si>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</si>
  <si>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</si>
  <si>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</si>
  <si>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</si>
  <si>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</si>
  <si>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</si>
  <si>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</si>
  <si>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</si>
  <si>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</si>
  <si>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</si>
  <si>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</si>
  <si>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</si>
  <si>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</si>
  <si>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</si>
  <si>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</si>
  <si>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</si>
  <si>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</si>
  <si>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</si>
  <si>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</si>
  <si>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</si>
  <si>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</si>
  <si>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</si>
  <si>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</si>
  <si>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</si>
  <si>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</si>
  <si>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</si>
  <si>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</si>
  <si>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</si>
  <si>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</si>
  <si>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</si>
  <si>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</si>
  <si>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</si>
  <si>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</si>
  <si>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</si>
  <si>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</si>
  <si>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</si>
  <si>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</si>
  <si>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</si>
  <si>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</si>
  <si>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</si>
  <si>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</si>
  <si>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</si>
  <si>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</si>
  <si>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</si>
  <si>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</si>
  <si>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</si>
  <si>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</si>
  <si>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</si>
  <si>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</si>
  <si>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</si>
  <si>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</si>
  <si>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Yes</t>
  </si>
  <si>
    <t>Branch differences</t>
  </si>
  <si>
    <t>Irrigation crops</t>
  </si>
  <si>
    <t>Rural area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</si>
  <si>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</si>
  <si>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</si>
  <si>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</si>
  <si>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</si>
  <si>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</si>
  <si>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</si>
  <si>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</si>
  <si>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</si>
  <si>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</si>
  <si>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Kariobangi</t>
  </si>
  <si>
    <t>Kawangware</t>
  </si>
  <si>
    <t>Kiambu</t>
  </si>
  <si>
    <t>Other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</si>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</sst>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6">
    <numFmt numFmtId="164" formatCode="_(* #,##0_);_(* \(#,##0\);_(* &quot;-&quot;??_);_(@_)"/>
    <numFmt numFmtId="165" formatCode="_(* #,##0.00_);_(* \(#,##0.00\);_(* &quot;-&quot;??_);_(@_)"/>
    <numFmt numFmtId="166" formatCode="_(* #,##0.0_);_(* \(#,##0.0\);_(* &quot;-&quot;?_);_(@_)"/>
    <numFmt numFmtId="167" formatCode="_(* #,##0.0_);_(* \(#,##0.0\);_(* &quot;-&quot;??_);_(@_)"/>
    <numFmt numFmtId="168" formatCode="0.000000000000000%"/>
    <numFmt numFmtId="169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4" numFmtId="164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8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165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7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0" applyFont="0" applyNumberFormat="1" applyFill="0" applyBorder="0" applyAlignment="0">
      <alignment horizontal="general" vertical="bottom" textRotation="0" wrapText="false" shrinkToFit="false"/>
    </xf>
    <xf xfId="0" fontId="0" numFmtId="167" fillId="2" borderId="4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0" applyFont="0" applyNumberFormat="1" applyFill="0" applyBorder="0" applyAlignment="0">
      <alignment horizontal="general" vertical="bottom" textRotation="0" wrapText="false" shrinkToFit="false"/>
    </xf>
    <xf xfId="0" fontId="0" numFmtId="169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zoomScale="90" zoomScaleNormal="90" showGridLines="false" showRowColHeaders="1">
      <selection activeCell="C2" sqref="C2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2" spans="1:7">
      <c r="B2" s="1" t="s">
        <v>0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provide principal and/or interest grace periods until February 2018, </v>
      </c>
      <c r="D2" s="191"/>
      <c r="E2" s="191"/>
      <c r="F2" s="191"/>
      <c r="G2" s="191"/>
    </row>
    <row r="3" spans="1:7">
      <c r="C3" s="191"/>
      <c r="D3" s="191"/>
      <c r="E3" s="191"/>
      <c r="F3" s="191"/>
      <c r="G3" s="191"/>
    </row>
    <row r="4" spans="1:7">
      <c r="C4" s="142"/>
      <c r="D4" s="142"/>
      <c r="E4" s="142"/>
      <c r="F4" s="142"/>
      <c r="G4" s="142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0, 0, , 0, 0, 0</v>
      </c>
    </row>
    <row r="7" spans="1:7">
      <c r="B7" s="1" t="s">
        <v>3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1:7">
      <c r="B8" s="1" t="s">
        <v>4</v>
      </c>
      <c r="C8" t="str">
        <f>IF(Inputs!B29="","None",Inputs!B29)</f>
        <v>None</v>
      </c>
    </row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IFERROR(IF(Output!Z8/(Output!Z4+Output!Z7)&lt;=0,999,Output!Z8/(Output!Z4+Output!Z7)),"")</f>
        <v>999</v>
      </c>
    </row>
    <row r="12" spans="1:7">
      <c r="B12" s="1" t="s">
        <v>7</v>
      </c>
      <c r="C12" s="80" t="str">
        <f>IFERROR(INDEX(Parameters!C76:C87,MATCH(MONTH(INDEX(Output!B3:S3,MATCH(1,Output!B12:S12,0))),Parameters!D76:D87,0))&amp;" "&amp;YEAR(INDEX(Output!B3:S3,MATCH(1,Output!B12:S12,0))),"N/A")</f>
        <v>February 2018</v>
      </c>
    </row>
    <row r="13" spans="1:7">
      <c r="B13" s="1" t="s">
        <v>8</v>
      </c>
      <c r="C13" s="67" t="str">
        <f>IFERROR(Output!B105/Output!B99,"")</f>
        <v/>
      </c>
    </row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MAX(Output!B8:S8)</f>
        <v>0</v>
      </c>
    </row>
    <row r="17" spans="1:7">
      <c r="B17" s="1" t="s">
        <v>11</v>
      </c>
      <c r="C17" s="36">
        <f>SUM(Output!B4:M4)</f>
        <v>0</v>
      </c>
    </row>
    <row r="18" spans="1:7">
      <c r="B18" s="1" t="s">
        <v>12</v>
      </c>
      <c r="C18" s="36">
        <f>MIN(Output!B4:M4)</f>
        <v>0</v>
      </c>
    </row>
    <row r="19" spans="1:7">
      <c r="B19" s="1" t="s">
        <v>13</v>
      </c>
      <c r="C19" s="79" t="str">
        <f>INDEX(Parameters!$C$76:$C$87,MONTH(INDEX(Output!$B$3:$M$3,MATCH(C18,Output!$B$4:$M$4,0))))&amp;" "&amp;YEAR(INDEX(Output!$B$3:$M$3,MATCH(C18,Output!$B$4:$M$4,0)))</f>
        <v>August 2017</v>
      </c>
    </row>
    <row r="20" spans="1:7">
      <c r="B20" s="1" t="s">
        <v>14</v>
      </c>
      <c r="C20" s="36">
        <f>MAX(Output!B4:M4)</f>
        <v>0</v>
      </c>
    </row>
    <row r="21" spans="1:7">
      <c r="B21" s="1" t="s">
        <v>15</v>
      </c>
      <c r="C21" s="79" t="str">
        <f>INDEX(Parameters!$C$76:$C$87,MONTH(INDEX(Output!$B$3:$M$3,MATCH(C20,Output!$B$4:$M$4,0))))&amp;" "&amp;YEAR(INDEX(Output!$B$3:$M$3,MATCH(C20,Output!$B$4:$M$4,0)))</f>
        <v>August 2017</v>
      </c>
    </row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6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:G4">
    <cfRule type="expression" dxfId="0" priority="1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5"/>
  <sheetViews>
    <sheetView tabSelected="0" workbookViewId="0" zoomScale="90" zoomScaleNormal="90" showGridLines="false" showRowColHeaders="1">
      <pane xSplit="1" topLeftCell="B1" activePane="topRight" state="frozen"/>
      <selection pane="topRight" activeCell="T10" sqref="T10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>
      <c r="B2" s="41"/>
      <c r="AB2" s="36"/>
    </row>
    <row r="3" spans="1:30">
      <c r="A3" s="5"/>
      <c r="B3" s="17">
        <f>DATE(YEAR(Inputs!B76),MONTH(Inputs!B76),1)</f>
        <v>42614</v>
      </c>
      <c r="C3" s="17">
        <f>DATE(YEAR(B3),MONTH(B3)+1,DAY(B3))</f>
        <v>42644</v>
      </c>
      <c r="D3" s="17">
        <f>DATE(YEAR(C3),MONTH(C3)+1,DAY(C3))</f>
        <v>42675</v>
      </c>
      <c r="E3" s="17">
        <f>DATE(YEAR(D3),MONTH(D3)+1,DAY(D3))</f>
        <v>42705</v>
      </c>
      <c r="F3" s="17">
        <f>DATE(YEAR(E3),MONTH(E3)+1,DAY(E3))</f>
        <v>42736</v>
      </c>
      <c r="G3" s="17">
        <f>DATE(YEAR(F3),MONTH(F3)+1,DAY(F3))</f>
        <v>42767</v>
      </c>
      <c r="H3" s="17">
        <f>DATE(YEAR(G3),MONTH(G3)+1,DAY(G3))</f>
        <v>42795</v>
      </c>
      <c r="I3" s="17">
        <f>DATE(YEAR(H3),MONTH(H3)+1,DAY(H3))</f>
        <v>42826</v>
      </c>
      <c r="J3" s="17">
        <f>DATE(YEAR(I3),MONTH(I3)+1,DAY(I3))</f>
        <v>42856</v>
      </c>
      <c r="K3" s="17">
        <f>DATE(YEAR(J3),MONTH(J3)+1,DAY(J3))</f>
        <v>42887</v>
      </c>
      <c r="L3" s="17">
        <f>DATE(YEAR(K3),MONTH(K3)+1,DAY(K3))</f>
        <v>42917</v>
      </c>
      <c r="M3" s="17">
        <f>DATE(YEAR(L3),MONTH(L3)+1,DAY(L3))</f>
        <v>42948</v>
      </c>
      <c r="N3" s="17">
        <f>DATE(YEAR(M3),MONTH(M3)+1,DAY(M3))</f>
        <v>42979</v>
      </c>
      <c r="O3" s="17">
        <f>DATE(YEAR(N3),MONTH(N3)+1,DAY(N3))</f>
        <v>43009</v>
      </c>
      <c r="P3" s="17">
        <f>DATE(YEAR(O3),MONTH(O3)+1,DAY(O3))</f>
        <v>43040</v>
      </c>
      <c r="Q3" s="17">
        <f>DATE(YEAR(P3),MONTH(P3)+1,DAY(P3))</f>
        <v>43070</v>
      </c>
      <c r="R3" s="17">
        <f>DATE(YEAR(Q3),MONTH(Q3)+1,DAY(Q3))</f>
        <v>43101</v>
      </c>
      <c r="S3" s="17">
        <f>DATE(YEAR(R3),MONTH(R3)+1,DAY(R3))</f>
        <v>43132</v>
      </c>
      <c r="T3" s="17">
        <f>DATE(YEAR(S3),MONTH(S3)+1,DAY(S3))</f>
        <v>43160</v>
      </c>
      <c r="U3" s="17">
        <f>DATE(YEAR(T3),MONTH(T3)+1,DAY(T3))</f>
        <v>43191</v>
      </c>
      <c r="V3" s="17">
        <f>DATE(YEAR(U3),MONTH(U3)+1,DAY(U3))</f>
        <v>43221</v>
      </c>
      <c r="W3" s="17">
        <f>DATE(YEAR(V3),MONTH(V3)+1,DAY(V3))</f>
        <v>43252</v>
      </c>
      <c r="X3" s="17">
        <f>DATE(YEAR(W3),MONTH(W3)+1,DAY(W3))</f>
        <v>43282</v>
      </c>
      <c r="Y3" s="17">
        <f>DATE(YEAR(X3),MONTH(X3)+1,DAY(X3))</f>
        <v>43313</v>
      </c>
      <c r="Z3" s="47" t="s">
        <v>21</v>
      </c>
      <c r="AA3" s="47" t="s">
        <v>22</v>
      </c>
      <c r="AB3" s="47" t="s">
        <v>23</v>
      </c>
      <c r="AC3" s="174">
        <f>DATE(YEAR(Y3),MONTH(Y3)+1,DAY(Y3))</f>
        <v>43344</v>
      </c>
    </row>
    <row r="4" spans="1:30" customHeight="1" ht="15.75">
      <c r="A4" s="50" t="s">
        <v>24</v>
      </c>
      <c r="B4" s="51">
        <f>B28-B86</f>
        <v>0</v>
      </c>
      <c r="C4" s="51">
        <f>C28-C86</f>
        <v>0</v>
      </c>
      <c r="D4" s="51">
        <f>D28-D86</f>
        <v>0</v>
      </c>
      <c r="E4" s="51">
        <f>E28-E86</f>
        <v>0</v>
      </c>
      <c r="F4" s="51">
        <f>F28-F86</f>
        <v>0</v>
      </c>
      <c r="G4" s="51">
        <f>G28-G86</f>
        <v>0</v>
      </c>
      <c r="H4" s="51">
        <f>H28-H86</f>
        <v>0</v>
      </c>
      <c r="I4" s="51">
        <f>I28-I86</f>
        <v>0</v>
      </c>
      <c r="J4" s="51">
        <f>J28-J86</f>
        <v>0</v>
      </c>
      <c r="K4" s="51">
        <f>K28-K86</f>
        <v>0</v>
      </c>
      <c r="L4" s="51">
        <f>L28-L86</f>
        <v>0</v>
      </c>
      <c r="M4" s="51">
        <f>M28-M86</f>
        <v>0</v>
      </c>
      <c r="N4" s="51">
        <f>N28-N86</f>
        <v>0</v>
      </c>
      <c r="O4" s="51">
        <f>O28-O86</f>
        <v>0</v>
      </c>
      <c r="P4" s="51">
        <f>P28-P86</f>
        <v>0</v>
      </c>
      <c r="Q4" s="51">
        <f>Q28-Q86</f>
        <v>0</v>
      </c>
      <c r="R4" s="51">
        <f>R28-R86</f>
        <v>0</v>
      </c>
      <c r="S4" s="51">
        <f>S28-S86</f>
        <v>0</v>
      </c>
      <c r="T4" s="51">
        <f>T28-T86</f>
        <v>0</v>
      </c>
      <c r="U4" s="51">
        <f>U28-U86</f>
        <v>0</v>
      </c>
      <c r="V4" s="51">
        <f>V28-V86</f>
        <v>0</v>
      </c>
      <c r="W4" s="51">
        <f>W28-W86</f>
        <v>0</v>
      </c>
      <c r="X4" s="51">
        <f>X28-X86</f>
        <v>0</v>
      </c>
      <c r="Y4" s="51">
        <f>Y28-Y86</f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customHeight="1" ht="15.75">
      <c r="A5" s="43" t="s">
        <v>25</v>
      </c>
      <c r="B5" s="81">
        <f>IFERROR(INDEX(Inputs!$B$66:$B$71,MATCH(MONTH(Output!B3),Inputs!$D$66:$D$71,0))-INDEX(Inputs!$C$66:$C$71,MATCH(MONTH(Output!B3),Inputs!$D$66:$D$71,0)),"")</f>
        <v>0</v>
      </c>
      <c r="C5" s="81">
        <f>IFERROR(INDEX(Inputs!$B$66:$B$71,MATCH(MONTH(Output!C3),Inputs!$D$66:$D$71,0))-INDEX(Inputs!$C$66:$C$71,MATCH(MONTH(Output!C3),Inputs!$D$66:$D$71,0)),"")</f>
        <v>0</v>
      </c>
      <c r="D5" s="81">
        <f>IFERROR(INDEX(Inputs!$B$66:$B$71,MATCH(MONTH(Output!D3),Inputs!$D$66:$D$71,0))-INDEX(Inputs!$C$66:$C$71,MATCH(MONTH(Output!D3),Inputs!$D$66:$D$71,0)),"")</f>
        <v>0</v>
      </c>
      <c r="E5" s="81">
        <f>IFERROR(INDEX(Inputs!$B$66:$B$71,MATCH(MONTH(Output!E3),Inputs!$D$66:$D$71,0))-INDEX(Inputs!$C$66:$C$71,MATCH(MONTH(Output!E3),Inputs!$D$66:$D$71,0)),"")</f>
        <v>0</v>
      </c>
      <c r="F5" s="81">
        <f>IFERROR(INDEX(Inputs!$B$66:$B$71,MATCH(MONTH(Output!F3),Inputs!$D$66:$D$71,0))-INDEX(Inputs!$C$66:$C$71,MATCH(MONTH(Output!F3),Inputs!$D$66:$D$71,0)),"")</f>
        <v>0</v>
      </c>
      <c r="G5" s="81">
        <f>IFERROR(INDEX(Inputs!$B$66:$B$71,MATCH(MONTH(Output!G3),Inputs!$D$66:$D$71,0))-INDEX(Inputs!$C$66:$C$71,MATCH(MONTH(Output!G3),Inputs!$D$66:$D$71,0)),"")</f>
        <v>0</v>
      </c>
      <c r="H5" s="81">
        <f>IFERROR(INDEX(Inputs!$B$66:$B$71,MATCH(MONTH(Output!H3),Inputs!$D$66:$D$71,0))-INDEX(Inputs!$C$66:$C$71,MATCH(MONTH(Output!H3),Inputs!$D$66:$D$71,0)),"")</f>
        <v>0</v>
      </c>
      <c r="I5" s="81">
        <f>IFERROR(INDEX(Inputs!$B$66:$B$71,MATCH(MONTH(Output!I3),Inputs!$D$66:$D$71,0))-INDEX(Inputs!$C$66:$C$71,MATCH(MONTH(Output!I3),Inputs!$D$66:$D$71,0)),"")</f>
        <v>0</v>
      </c>
      <c r="J5" s="81">
        <f>IFERROR(INDEX(Inputs!$B$66:$B$71,MATCH(MONTH(Output!J3),Inputs!$D$66:$D$71,0))-INDEX(Inputs!$C$66:$C$71,MATCH(MONTH(Output!J3),Inputs!$D$66:$D$71,0)),"")</f>
        <v>0</v>
      </c>
      <c r="K5" s="81">
        <f>IFERROR(INDEX(Inputs!$B$66:$B$71,MATCH(MONTH(Output!K3),Inputs!$D$66:$D$71,0))-INDEX(Inputs!$C$66:$C$71,MATCH(MONTH(Output!K3),Inputs!$D$66:$D$71,0)),"")</f>
        <v>0</v>
      </c>
      <c r="L5" s="81">
        <f>IFERROR(INDEX(Inputs!$B$66:$B$71,MATCH(MONTH(Output!L3),Inputs!$D$66:$D$71,0))-INDEX(Inputs!$C$66:$C$71,MATCH(MONTH(Output!L3),Inputs!$D$66:$D$71,0)),"")</f>
        <v>0</v>
      </c>
      <c r="M5" s="81">
        <f>IFERROR(INDEX(Inputs!$B$66:$B$71,MATCH(MONTH(Output!M3),Inputs!$D$66:$D$71,0))-INDEX(Inputs!$C$66:$C$71,MATCH(MONTH(Output!M3),Inputs!$D$66:$D$71,0)),"")</f>
        <v>0</v>
      </c>
      <c r="N5" s="81">
        <f>IFERROR(INDEX(Inputs!$B$66:$B$71,MATCH(MONTH(Output!N3),Inputs!$D$66:$D$71,0))-INDEX(Inputs!$C$66:$C$71,MATCH(MONTH(Output!N3),Inputs!$D$66:$D$71,0)),"")</f>
        <v>0</v>
      </c>
      <c r="O5" s="81">
        <f>IFERROR(INDEX(Inputs!$B$66:$B$71,MATCH(MONTH(Output!O3),Inputs!$D$66:$D$71,0))-INDEX(Inputs!$C$66:$C$71,MATCH(MONTH(Output!O3),Inputs!$D$66:$D$71,0)),"")</f>
        <v>0</v>
      </c>
      <c r="P5" s="81">
        <f>IFERROR(INDEX(Inputs!$B$66:$B$71,MATCH(MONTH(Output!P3),Inputs!$D$66:$D$71,0))-INDEX(Inputs!$C$66:$C$71,MATCH(MONTH(Output!P3),Inputs!$D$66:$D$71,0)),"")</f>
        <v>0</v>
      </c>
      <c r="Q5" s="81">
        <f>IFERROR(INDEX(Inputs!$B$66:$B$71,MATCH(MONTH(Output!Q3),Inputs!$D$66:$D$71,0))-INDEX(Inputs!$C$66:$C$71,MATCH(MONTH(Output!Q3),Inputs!$D$66:$D$71,0)),"")</f>
        <v>0</v>
      </c>
      <c r="R5" s="81">
        <f>IFERROR(INDEX(Inputs!$B$66:$B$71,MATCH(MONTH(Output!R3),Inputs!$D$66:$D$71,0))-INDEX(Inputs!$C$66:$C$71,MATCH(MONTH(Output!R3),Inputs!$D$66:$D$71,0)),"")</f>
        <v>0</v>
      </c>
      <c r="S5" s="81">
        <f>IFERROR(INDEX(Inputs!$B$66:$B$71,MATCH(MONTH(Output!S3),Inputs!$D$66:$D$71,0))-INDEX(Inputs!$C$66:$C$71,MATCH(MONTH(Output!S3),Inputs!$D$66:$D$71,0)),"")</f>
        <v>0</v>
      </c>
      <c r="T5" s="81">
        <f>IFERROR(INDEX(Inputs!$B$66:$B$71,MATCH(MONTH(Output!T3),Inputs!$D$66:$D$71,0))-INDEX(Inputs!$C$66:$C$71,MATCH(MONTH(Output!T3),Inputs!$D$66:$D$71,0)),"")</f>
        <v>0</v>
      </c>
      <c r="U5" s="81">
        <f>IFERROR(INDEX(Inputs!$B$66:$B$71,MATCH(MONTH(Output!U3),Inputs!$D$66:$D$71,0))-INDEX(Inputs!$C$66:$C$71,MATCH(MONTH(Output!U3),Inputs!$D$66:$D$71,0)),"")</f>
        <v>0</v>
      </c>
      <c r="V5" s="81">
        <f>IFERROR(INDEX(Inputs!$B$66:$B$71,MATCH(MONTH(Output!V3),Inputs!$D$66:$D$71,0))-INDEX(Inputs!$C$66:$C$71,MATCH(MONTH(Output!V3),Inputs!$D$66:$D$71,0)),"")</f>
        <v>0</v>
      </c>
      <c r="W5" s="81">
        <f>IFERROR(INDEX(Inputs!$B$66:$B$71,MATCH(MONTH(Output!W3),Inputs!$D$66:$D$71,0))-INDEX(Inputs!$C$66:$C$71,MATCH(MONTH(Output!W3),Inputs!$D$66:$D$71,0)),"")</f>
        <v>0</v>
      </c>
      <c r="X5" s="81">
        <f>IFERROR(INDEX(Inputs!$B$66:$B$71,MATCH(MONTH(Output!X3),Inputs!$D$66:$D$71,0))-INDEX(Inputs!$C$66:$C$71,MATCH(MONTH(Output!X3),Inputs!$D$66:$D$71,0)),"")</f>
        <v>0</v>
      </c>
      <c r="Y5" s="81">
        <f>IFERROR(INDEX(Inputs!$B$66:$B$71,MATCH(MONTH(Output!Y3),Inputs!$D$66:$D$71,0))-INDEX(Inputs!$C$66:$C$71,MATCH(MONTH(Output!Y3),Inputs!$D$66:$D$71,0)),"")</f>
        <v>0</v>
      </c>
      <c r="Z5" s="81"/>
      <c r="AA5" s="81"/>
      <c r="AB5" s="81"/>
      <c r="AC5" s="43"/>
      <c r="AD5" s="43"/>
    </row>
    <row r="6" spans="1:30" customHeight="1" ht="9.7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>
      <c r="A7" s="85" t="s">
        <v>26</v>
      </c>
      <c r="B7" s="76" t="str">
        <f>IFERROR(IF(AND(MONTH(B3)=MONTH(Calculations!$G$33),YEAR(B3)=YEAR(Calculations!$G$33)),Calculations!$G$35,0),"")</f>
        <v/>
      </c>
      <c r="C7" s="76">
        <f>IFERROR(IF(AND(MONTH(C3)=MONTH(Calculations!$G$33),YEAR(C3)=YEAR(Calculations!$G$33)),Calculations!$G$35,0),"")</f>
        <v>0</v>
      </c>
      <c r="D7" s="76">
        <f>IFERROR(IF(AND(MONTH(D3)=MONTH(Calculations!$G$33),YEAR(D3)=YEAR(Calculations!$G$33)),Calculations!$G$35,0),"")</f>
        <v>0</v>
      </c>
      <c r="E7" s="76">
        <f>IFERROR(IF(AND(MONTH(E3)=MONTH(Calculations!$G$33),YEAR(E3)=YEAR(Calculations!$G$33)),Calculations!$G$35,0),"")</f>
        <v>0</v>
      </c>
      <c r="F7" s="76">
        <f>IFERROR(IF(AND(MONTH(F3)=MONTH(Calculations!$G$33),YEAR(F3)=YEAR(Calculations!$G$33)),Calculations!$G$35,0),"")</f>
        <v>0</v>
      </c>
      <c r="G7" s="76">
        <f>IFERROR(IF(AND(MONTH(G3)=MONTH(Calculations!$G$33),YEAR(G3)=YEAR(Calculations!$G$33)),Calculations!$G$35,0),"")</f>
        <v>0</v>
      </c>
      <c r="H7" s="76">
        <f>IFERROR(IF(AND(MONTH(H3)=MONTH(Calculations!$G$33),YEAR(H3)=YEAR(Calculations!$G$33)),Calculations!$G$35,0),"")</f>
        <v>0</v>
      </c>
      <c r="I7" s="76">
        <f>IFERROR(IF(AND(MONTH(I3)=MONTH(Calculations!$G$33),YEAR(I3)=YEAR(Calculations!$G$33)),Calculations!$G$35,0),"")</f>
        <v>0</v>
      </c>
      <c r="J7" s="76">
        <f>IFERROR(IF(AND(MONTH(J3)=MONTH(Calculations!$G$33),YEAR(J3)=YEAR(Calculations!$G$33)),Calculations!$G$35,0),"")</f>
        <v>0</v>
      </c>
      <c r="K7" s="76">
        <f>IFERROR(IF(AND(MONTH(K3)=MONTH(Calculations!$G$33),YEAR(K3)=YEAR(Calculations!$G$33)),Calculations!$G$35,0),"")</f>
        <v>0</v>
      </c>
      <c r="L7" s="76">
        <f>IFERROR(IF(AND(MONTH(L3)=MONTH(Calculations!$G$33),YEAR(L3)=YEAR(Calculations!$G$33)),Calculations!$G$35,0),"")</f>
        <v>0</v>
      </c>
      <c r="M7" s="76">
        <f>IFERROR(IF(AND(MONTH(M3)=MONTH(Calculations!$G$33),YEAR(M3)=YEAR(Calculations!$G$33)),Calculations!$G$35,0),"")</f>
        <v>0</v>
      </c>
      <c r="N7" s="76">
        <f>IFERROR(IF(AND(MONTH(N3)=MONTH(Calculations!$G$33),YEAR(N3)=YEAR(Calculations!$G$33)),Calculations!$G$35,0),"")</f>
        <v>0</v>
      </c>
      <c r="O7" s="76">
        <f>IFERROR(IF(AND(MONTH(O3)=MONTH(Calculations!$G$33),YEAR(O3)=YEAR(Calculations!$G$33)),Calculations!$G$35,0),"")</f>
        <v>0</v>
      </c>
      <c r="P7" s="76">
        <f>IFERROR(IF(AND(MONTH(P3)=MONTH(Calculations!$G$33),YEAR(P3)=YEAR(Calculations!$G$33)),Calculations!$G$35,0),"")</f>
        <v>0</v>
      </c>
      <c r="Q7" s="76">
        <f>IFERROR(IF(AND(MONTH(Q3)=MONTH(Calculations!$G$33),YEAR(Q3)=YEAR(Calculations!$G$33)),Calculations!$G$35,0),"")</f>
        <v>0</v>
      </c>
      <c r="R7" s="76">
        <f>IFERROR(IF(AND(MONTH(R3)=MONTH(Calculations!$G$33),YEAR(R3)=YEAR(Calculations!$G$33)),Calculations!$G$35,0),"")</f>
        <v>0</v>
      </c>
      <c r="S7" s="76">
        <f>IFERROR(IF(AND(MONTH(S3)=MONTH(Calculations!$G$33),YEAR(S3)=YEAR(Calculations!$G$33)),Calculations!$G$35,0),"")</f>
        <v>0</v>
      </c>
      <c r="T7" s="76">
        <f>IFERROR(IF(AND(MONTH(T3)=MONTH(Calculations!$G$33),YEAR(T3)=YEAR(Calculations!$G$33)),Calculations!$G$35,0),"")</f>
        <v>0</v>
      </c>
      <c r="U7" s="76">
        <f>IFERROR(IF(AND(MONTH(U3)=MONTH(Calculations!$G$33),YEAR(U3)=YEAR(Calculations!$G$33)),Calculations!$G$35,0),"")</f>
        <v>0</v>
      </c>
      <c r="V7" s="76">
        <f>IFERROR(IF(AND(MONTH(V3)=MONTH(Calculations!$G$33),YEAR(V3)=YEAR(Calculations!$G$33)),Calculations!$G$35,0),"")</f>
        <v>0</v>
      </c>
      <c r="W7" s="76">
        <f>IFERROR(IF(AND(MONTH(W3)=MONTH(Calculations!$G$33),YEAR(W3)=YEAR(Calculations!$G$33)),Calculations!$G$35,0),"")</f>
        <v>0</v>
      </c>
      <c r="X7" s="76">
        <f>IFERROR(IF(AND(MONTH(X3)=MONTH(Calculations!$G$33),YEAR(X3)=YEAR(Calculations!$G$33)),Calculations!$G$35,0),"")</f>
        <v>0</v>
      </c>
      <c r="Y7" s="76">
        <f>IFERROR(IF(AND(MONTH(Y3)=MONTH(Calculations!$G$33),YEAR(Y3)=YEAR(Calculations!$G$33)),Calculations!$G$35,0),"")</f>
        <v>0</v>
      </c>
      <c r="Z7" s="76">
        <f>SUMIF($B$11:$Y$11,"Yes",B7:Y7)</f>
        <v>0</v>
      </c>
      <c r="AA7" s="76">
        <f>SUM(B7:M7)</f>
        <v>0</v>
      </c>
      <c r="AB7" s="76">
        <f>SUM(B7:Y7)</f>
        <v>0</v>
      </c>
      <c r="AC7" s="43"/>
      <c r="AD7" s="43"/>
    </row>
    <row r="8" spans="1:30" customHeight="1" ht="15.75" s="43" customFormat="1">
      <c r="A8" s="18" t="s">
        <v>27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>SUMIF($B$11:$Y$11,"Yes",B8:Y8)</f>
        <v>0</v>
      </c>
      <c r="AA8" s="37">
        <f>SUM(B8:M8)</f>
        <v>0</v>
      </c>
      <c r="AB8" s="37">
        <f>SUM(B8:Y8)</f>
        <v>0</v>
      </c>
    </row>
    <row r="9" spans="1:30" customHeight="1" ht="15.75">
      <c r="A9" s="43" t="s">
        <v>28</v>
      </c>
      <c r="B9" s="81" t="str">
        <f>B4+B7-B8</f>
        <v>0</v>
      </c>
      <c r="C9" s="81">
        <f>C4+C7-C8</f>
        <v>0</v>
      </c>
      <c r="D9" s="81">
        <f>D4+D7-D8</f>
        <v>0</v>
      </c>
      <c r="E9" s="81">
        <f>E4+E7-E8</f>
        <v>0</v>
      </c>
      <c r="F9" s="81">
        <f>F4+F7-F8</f>
        <v>0</v>
      </c>
      <c r="G9" s="81">
        <f>G4+G7-G8</f>
        <v>0</v>
      </c>
      <c r="H9" s="81">
        <f>H4+H7-H8</f>
        <v>0</v>
      </c>
      <c r="I9" s="81">
        <f>I4+I7-I8</f>
        <v>0</v>
      </c>
      <c r="J9" s="81">
        <f>J4+J7-J8</f>
        <v>0</v>
      </c>
      <c r="K9" s="81">
        <f>K4+K7-K8</f>
        <v>0</v>
      </c>
      <c r="L9" s="81">
        <f>L4+L7-L8</f>
        <v>0</v>
      </c>
      <c r="M9" s="81">
        <f>M4+M7-M8</f>
        <v>0</v>
      </c>
      <c r="N9" s="81">
        <f>N4+N7-N8</f>
        <v>0</v>
      </c>
      <c r="O9" s="81">
        <f>O4+O7-O8</f>
        <v>0</v>
      </c>
      <c r="P9" s="81">
        <f>P4+P7-P8</f>
        <v>0</v>
      </c>
      <c r="Q9" s="81">
        <f>Q4+Q7-Q8</f>
        <v>0</v>
      </c>
      <c r="R9" s="81">
        <f>R4+R7-R8</f>
        <v>0</v>
      </c>
      <c r="S9" s="81">
        <f>S4+S7-S8</f>
        <v>0</v>
      </c>
      <c r="T9" s="81">
        <f>T4+T7-T8</f>
        <v>0</v>
      </c>
      <c r="U9" s="81">
        <f>U4+U7-U8</f>
        <v>0</v>
      </c>
      <c r="V9" s="81">
        <f>V4+V7-V8</f>
        <v>0</v>
      </c>
      <c r="W9" s="81">
        <f>W4+W7-W8</f>
        <v>0</v>
      </c>
      <c r="X9" s="81">
        <f>X4+X7-X8</f>
        <v>0</v>
      </c>
      <c r="Y9" s="81">
        <f>Y4+Y7-Y8</f>
        <v>0</v>
      </c>
      <c r="Z9" s="86">
        <f>SUMIF($B$11:$Y$11,"Yes",B9:Y9)</f>
        <v>0</v>
      </c>
      <c r="AA9" s="81">
        <f>SUM(B9:M9)</f>
        <v>0</v>
      </c>
      <c r="AB9" s="46">
        <f>SUM(B9:Y9)</f>
        <v>0</v>
      </c>
      <c r="AC9" s="43"/>
      <c r="AD9" s="43"/>
    </row>
    <row r="10" spans="1:30" s="43" customFormat="1">
      <c r="A10" s="82" t="s">
        <v>29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>
      <c r="A11" s="184" t="s">
        <v>30</v>
      </c>
      <c r="B11" s="185" t="str">
        <f>IF(SUM(B7:B8)&gt;0,"Yes","No")</f>
        <v>No</v>
      </c>
      <c r="C11" s="185" t="str">
        <f>IF(SUM(C7:C8)&gt;0,"Yes","No")</f>
        <v>No</v>
      </c>
      <c r="D11" s="185" t="str">
        <f>IF(SUM(D7:D8)&gt;0,"Yes","No")</f>
        <v>No</v>
      </c>
      <c r="E11" s="185" t="str">
        <f>IF(SUM(E7:E8)&gt;0,"Yes","No")</f>
        <v>No</v>
      </c>
      <c r="F11" s="185" t="str">
        <f>IF(SUM(F7:F8)&gt;0,"Yes","No")</f>
        <v>No</v>
      </c>
      <c r="G11" s="185" t="str">
        <f>IF(SUM(G7:G8)&gt;0,"Yes","No")</f>
        <v>No</v>
      </c>
      <c r="H11" s="185" t="str">
        <f>IF(SUM(H7:H8)&gt;0,"Yes","No")</f>
        <v>No</v>
      </c>
      <c r="I11" s="185" t="str">
        <f>IF(SUM(I7:I8)&gt;0,"Yes","No")</f>
        <v>No</v>
      </c>
      <c r="J11" s="185" t="str">
        <f>IF(SUM(J7:J8)&gt;0,"Yes","No")</f>
        <v>No</v>
      </c>
      <c r="K11" s="185" t="str">
        <f>IF(SUM(K7:K8)&gt;0,"Yes","No")</f>
        <v>No</v>
      </c>
      <c r="L11" s="185" t="str">
        <f>IF(SUM(L7:L8)&gt;0,"Yes","No")</f>
        <v>No</v>
      </c>
      <c r="M11" s="185" t="str">
        <f>IF(SUM(M7:M8)&gt;0,"Yes","No")</f>
        <v>No</v>
      </c>
      <c r="N11" s="185" t="str">
        <f>IF(SUM(N7:N8)&gt;0,"Yes","No")</f>
        <v>No</v>
      </c>
      <c r="O11" s="185" t="str">
        <f>IF(SUM(O7:O8)&gt;0,"Yes","No")</f>
        <v>No</v>
      </c>
      <c r="P11" s="185" t="str">
        <f>IF(SUM(P7:P8)&gt;0,"Yes","No")</f>
        <v>No</v>
      </c>
      <c r="Q11" s="185" t="str">
        <f>IF(SUM(Q7:Q8)&gt;0,"Yes","No")</f>
        <v>No</v>
      </c>
      <c r="R11" s="185" t="str">
        <f>IF(SUM(R7:R8)&gt;0,"Yes","No")</f>
        <v>No</v>
      </c>
      <c r="S11" s="185" t="str">
        <f>IF(SUM(S7:S8)&gt;0,"Yes","No")</f>
        <v>No</v>
      </c>
      <c r="T11" s="185" t="str">
        <f>IF(SUM(T7:T8)&gt;0,"Yes","No")</f>
        <v>No</v>
      </c>
      <c r="U11" s="185" t="str">
        <f>IF(SUM(U7:U8)&gt;0,"Yes","No")</f>
        <v>No</v>
      </c>
      <c r="V11" s="185" t="str">
        <f>IF(SUM(V7:V8)&gt;0,"Yes","No")</f>
        <v>No</v>
      </c>
      <c r="W11" s="185" t="str">
        <f>IF(SUM(W7:W8)&gt;0,"Yes","No")</f>
        <v>No</v>
      </c>
      <c r="X11" s="185" t="str">
        <f>IF(SUM(X7:X8)&gt;0,"Yes","No")</f>
        <v>No</v>
      </c>
      <c r="Y11" s="185" t="str">
        <f>IF(SUM(Y7:Y8)&gt;0,"Yes","No")</f>
        <v>No</v>
      </c>
      <c r="Z11" s="186"/>
      <c r="AA11" s="186"/>
      <c r="AB11" s="187"/>
    </row>
    <row r="12" spans="1:30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>
      <c r="A13" s="3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>
      <c r="H14" s="42"/>
      <c r="AC14" s="43"/>
      <c r="AD14" s="43"/>
    </row>
    <row r="15" spans="1:30">
      <c r="A15" s="5" t="s">
        <v>32</v>
      </c>
      <c r="B15" s="17">
        <f>B3</f>
        <v>42614</v>
      </c>
      <c r="C15" s="17">
        <f>C3</f>
        <v>42644</v>
      </c>
      <c r="D15" s="17">
        <f>D3</f>
        <v>42675</v>
      </c>
      <c r="E15" s="17">
        <f>E3</f>
        <v>42705</v>
      </c>
      <c r="F15" s="17">
        <f>F3</f>
        <v>42736</v>
      </c>
      <c r="G15" s="17">
        <f>G3</f>
        <v>42767</v>
      </c>
      <c r="H15" s="17">
        <f>H3</f>
        <v>42795</v>
      </c>
      <c r="I15" s="17">
        <f>I3</f>
        <v>42826</v>
      </c>
      <c r="J15" s="17">
        <f>J3</f>
        <v>42856</v>
      </c>
      <c r="K15" s="17">
        <f>K3</f>
        <v>42887</v>
      </c>
      <c r="L15" s="17">
        <f>L3</f>
        <v>42917</v>
      </c>
      <c r="M15" s="17">
        <f>M3</f>
        <v>42948</v>
      </c>
      <c r="N15" s="17">
        <f>N3</f>
        <v>42979</v>
      </c>
      <c r="O15" s="17">
        <f>O3</f>
        <v>43009</v>
      </c>
      <c r="P15" s="17">
        <f>P3</f>
        <v>43040</v>
      </c>
      <c r="Q15" s="17">
        <f>Q3</f>
        <v>43070</v>
      </c>
      <c r="R15" s="17">
        <f>R3</f>
        <v>43101</v>
      </c>
      <c r="S15" s="17">
        <f>S3</f>
        <v>43132</v>
      </c>
      <c r="T15" s="17">
        <f>T3</f>
        <v>43160</v>
      </c>
      <c r="U15" s="17">
        <f>U3</f>
        <v>43191</v>
      </c>
      <c r="V15" s="17">
        <f>V3</f>
        <v>43221</v>
      </c>
      <c r="W15" s="17">
        <f>W3</f>
        <v>43252</v>
      </c>
      <c r="X15" s="17">
        <f>X3</f>
        <v>43282</v>
      </c>
      <c r="Y15" s="17">
        <f>Y3</f>
        <v>43313</v>
      </c>
      <c r="Z15" s="47" t="str">
        <f>Z3</f>
        <v>Total during loan period</v>
      </c>
      <c r="AA15" s="47" t="s">
        <v>22</v>
      </c>
      <c r="AB15" s="47" t="str">
        <f>AB3</f>
        <v>Total 24 months</v>
      </c>
      <c r="AC15" s="52"/>
      <c r="AD15" s="52"/>
    </row>
    <row r="16" spans="1:30">
      <c r="A16">
        <f>IF(Calculations!A4&lt;&gt;Parameters!$A$18,IF(Calculations!A4=0,"",Calculations!A4),Inputs!B7)</f>
        <v>0</v>
      </c>
      <c r="B16" s="36" t="str">
        <f>N16</f>
        <v>0</v>
      </c>
      <c r="C16" s="36" t="str">
        <f>O16</f>
        <v>0</v>
      </c>
      <c r="D16" s="36" t="str">
        <f>P16</f>
        <v>0</v>
      </c>
      <c r="E16" s="36" t="str">
        <f>Q16</f>
        <v>0</v>
      </c>
      <c r="F16" s="36" t="str">
        <f>R16</f>
        <v>0</v>
      </c>
      <c r="G16" s="36" t="str">
        <f>S16</f>
        <v>0</v>
      </c>
      <c r="H16" s="36" t="str">
        <f>T16</f>
        <v>0</v>
      </c>
      <c r="I16" s="36" t="str">
        <f>U16</f>
        <v>0</v>
      </c>
      <c r="J16" s="36" t="str">
        <f>V16</f>
        <v>0</v>
      </c>
      <c r="K16" s="36" t="str">
        <f>W16</f>
        <v>0</v>
      </c>
      <c r="L16" s="36" t="str">
        <f>X16</f>
        <v>0</v>
      </c>
      <c r="M16" s="36" t="str">
        <f>Y16</f>
        <v>0</v>
      </c>
      <c r="N16" s="36" t="str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 t="str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 t="str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 t="str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 t="str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 t="str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 t="str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 t="str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 t="str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 t="str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 t="str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 t="str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>SUMIF($B$11:$Y$11,"Yes",B16:Y16)</f>
        <v>0</v>
      </c>
      <c r="AA16" s="36">
        <f>SUM(B16:M16)</f>
        <v>0</v>
      </c>
      <c r="AB16" s="36">
        <f>SUM(B16:Y16)</f>
        <v>0</v>
      </c>
      <c r="AC16" s="43"/>
      <c r="AD16" s="43"/>
    </row>
    <row r="17" spans="1:30">
      <c r="A17">
        <f>IF(Calculations!A5&lt;&gt;Parameters!$A$18,IF(Calculations!A5=0,"",Calculations!A5),Inputs!B8)</f>
        <v>0</v>
      </c>
      <c r="B17" s="36" t="str">
        <f>N17</f>
        <v>0</v>
      </c>
      <c r="C17" s="36" t="str">
        <f>O17</f>
        <v>0</v>
      </c>
      <c r="D17" s="36" t="str">
        <f>P17</f>
        <v>0</v>
      </c>
      <c r="E17" s="36" t="str">
        <f>Q17</f>
        <v>0</v>
      </c>
      <c r="F17" s="36" t="str">
        <f>R17</f>
        <v>0</v>
      </c>
      <c r="G17" s="36" t="str">
        <f>S17</f>
        <v>0</v>
      </c>
      <c r="H17" s="36" t="str">
        <f>T17</f>
        <v>0</v>
      </c>
      <c r="I17" s="36" t="str">
        <f>U17</f>
        <v>0</v>
      </c>
      <c r="J17" s="36" t="str">
        <f>V17</f>
        <v>0</v>
      </c>
      <c r="K17" s="36" t="str">
        <f>W17</f>
        <v>0</v>
      </c>
      <c r="L17" s="36" t="str">
        <f>X17</f>
        <v>0</v>
      </c>
      <c r="M17" s="36" t="str">
        <f>Y17</f>
        <v>0</v>
      </c>
      <c r="N17" s="36" t="str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 t="str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 t="str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 t="str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 t="str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 t="str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 t="str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 t="str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 t="str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 t="str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 t="str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 t="str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>SUMIF($B$11:$Y$11,"Yes",B17:Y17)</f>
        <v>0</v>
      </c>
      <c r="AA17" s="36">
        <f>SUM(B17:M17)</f>
        <v>0</v>
      </c>
      <c r="AB17" s="36">
        <f>SUM(B17:Y17)</f>
        <v>0</v>
      </c>
      <c r="AC17" s="43"/>
      <c r="AD17" s="43"/>
    </row>
    <row r="18" spans="1:30">
      <c r="A18">
        <f>IF(Calculations!A6&lt;&gt;Parameters!$A$18,IF(Calculations!A6=0,"",Calculations!A6),Inputs!B9)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 t="str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 t="str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 t="str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 t="str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 t="str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 t="str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 t="str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 t="str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 t="str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 t="str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 t="str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>SUMIF($B$11:$Y$11,"Yes",B18:Y18)</f>
        <v>0</v>
      </c>
      <c r="AA18" s="36">
        <f>SUM(B18:M18)</f>
        <v>0</v>
      </c>
      <c r="AB18" s="36">
        <f>SUM(B18:Y18)</f>
        <v>0</v>
      </c>
    </row>
    <row r="19" spans="1:30">
      <c r="A19">
        <f>IF(Calculations!A7&lt;&gt;Parameters!$A$18,IF(Calculations!A7=0,"",Calculations!A7),Inputs!B10)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 t="str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 t="str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 t="str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 t="str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 t="str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 t="str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 t="str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 t="str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 t="str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 t="str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 t="str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>SUMIF($B$11:$Y$11,"Yes",B19:Y19)</f>
        <v>0</v>
      </c>
      <c r="AA19" s="36">
        <f>SUM(B19:M19)</f>
        <v>0</v>
      </c>
      <c r="AB19" s="36">
        <f>SUM(B19:Y19)</f>
        <v>0</v>
      </c>
    </row>
    <row r="20" spans="1:30">
      <c r="A20">
        <f>IF(Calculations!A8&lt;&gt;Parameters!$A$18,IF(Calculations!A8=0,"",Calculations!A8),Inputs!B11)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 t="str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 t="str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 t="str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 t="str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 t="str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 t="str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 t="str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 t="str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 t="str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 t="str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 t="str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>SUMIF($B$11:$Y$11,"Yes",B20:Y20)</f>
        <v>0</v>
      </c>
      <c r="AA20" s="36">
        <f>SUM(B20:M20)</f>
        <v>0</v>
      </c>
      <c r="AB20" s="46">
        <f>SUM(B20:Y20)</f>
        <v>0</v>
      </c>
    </row>
    <row r="21" spans="1:30" customHeight="1" ht="4.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>
        <f>SUM(IF($B$7:$Y$7+$B$8:$Y$8&gt;0,B21:Y21,0))</f>
        <v>0</v>
      </c>
      <c r="AA21" s="36"/>
      <c r="AB21" s="46">
        <f>AB74-AB102</f>
        <v>0</v>
      </c>
    </row>
    <row r="22" spans="1:30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>SUMIF($B$11:$Y$11,"Yes",B22:Y22)</f>
        <v>0</v>
      </c>
      <c r="AA22" s="36">
        <f>SUM(B22:M22)</f>
        <v>0</v>
      </c>
      <c r="AB22" s="46">
        <f>SUM(B22:Y22)</f>
        <v>0</v>
      </c>
    </row>
    <row r="23" spans="1:30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>SUMIF($B$11:$Y$11,"Yes",B23:Y23)</f>
        <v>0</v>
      </c>
      <c r="AA23" s="36">
        <f>SUM(B23:M23)</f>
        <v>0</v>
      </c>
      <c r="AB23" s="46">
        <f>SUM(B23:Y23)</f>
        <v>0</v>
      </c>
    </row>
    <row r="24" spans="1:30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>SUMIF($B$11:$Y$11,"Yes",B24:Y24)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>SUMIF($B$11:$Y$11,"Yes",B25:Y25)</f>
        <v>0</v>
      </c>
      <c r="AA25" s="36">
        <f>SUM(B25:M25)</f>
        <v>0</v>
      </c>
      <c r="AB25" s="46">
        <f>SUM(B25:Y25)</f>
        <v>0</v>
      </c>
    </row>
    <row r="26" spans="1:30" customHeight="1" ht="3.7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>
        <f>SUM(IF($B$7:$S$7+$B$8:$S$8&gt;0,B26:S26,0))</f>
        <v>0</v>
      </c>
      <c r="AA26" s="36"/>
      <c r="AB26" s="46"/>
    </row>
    <row r="27" spans="1:30" customHeight="1" ht="15.75">
      <c r="A27" s="18" t="s">
        <v>33</v>
      </c>
      <c r="B27" s="37">
        <f>Inputs!$B$30</f>
        <v/>
      </c>
      <c r="C27" s="37">
        <f>Inputs!$B$30</f>
        <v/>
      </c>
      <c r="D27" s="37">
        <f>Inputs!$B$30</f>
        <v/>
      </c>
      <c r="E27" s="37">
        <f>Inputs!$B$30</f>
        <v/>
      </c>
      <c r="F27" s="37">
        <f>Inputs!$B$30</f>
        <v/>
      </c>
      <c r="G27" s="37">
        <f>Inputs!$B$30</f>
        <v/>
      </c>
      <c r="H27" s="37">
        <f>Inputs!$B$30</f>
        <v/>
      </c>
      <c r="I27" s="37">
        <f>Inputs!$B$30</f>
        <v/>
      </c>
      <c r="J27" s="37">
        <f>Inputs!$B$30</f>
        <v/>
      </c>
      <c r="K27" s="37">
        <f>Inputs!$B$30</f>
        <v/>
      </c>
      <c r="L27" s="37">
        <f>Inputs!$B$30</f>
        <v/>
      </c>
      <c r="M27" s="37">
        <f>Inputs!$B$30</f>
        <v/>
      </c>
      <c r="N27" s="37">
        <f>Inputs!$B$30</f>
        <v/>
      </c>
      <c r="O27" s="37">
        <f>Inputs!$B$30</f>
        <v/>
      </c>
      <c r="P27" s="37">
        <f>Inputs!$B$30</f>
        <v/>
      </c>
      <c r="Q27" s="37">
        <f>Inputs!$B$30</f>
        <v/>
      </c>
      <c r="R27" s="37">
        <f>Inputs!$B$30</f>
        <v/>
      </c>
      <c r="S27" s="37">
        <f>Inputs!$B$30</f>
        <v/>
      </c>
      <c r="T27" s="37">
        <f>Inputs!$B$30</f>
        <v/>
      </c>
      <c r="U27" s="37">
        <f>Inputs!$B$30</f>
        <v/>
      </c>
      <c r="V27" s="37">
        <f>Inputs!$B$30</f>
        <v/>
      </c>
      <c r="W27" s="37">
        <f>Inputs!$B$30</f>
        <v/>
      </c>
      <c r="X27" s="37">
        <f>Inputs!$B$30</f>
        <v/>
      </c>
      <c r="Y27" s="37">
        <f>Inputs!$B$30</f>
        <v/>
      </c>
      <c r="Z27" s="37">
        <f>SUMIF($B$11:$Y$11,"Yes",B27:Y27)</f>
        <v>0</v>
      </c>
      <c r="AA27" s="37">
        <f>SUM(B27:M27)</f>
        <v>0</v>
      </c>
      <c r="AB27" s="37">
        <f>SUM(B27:Y27)</f>
        <v>0</v>
      </c>
    </row>
    <row r="28" spans="1:30" customHeight="1" ht="15.75">
      <c r="A28" s="1" t="s">
        <v>34</v>
      </c>
      <c r="B28" s="19">
        <f>SUM(B16:B27)</f>
        <v>0</v>
      </c>
      <c r="C28" s="19">
        <f>SUM(C16:C27)</f>
        <v>0</v>
      </c>
      <c r="D28" s="19">
        <f>SUM(D16:D27)</f>
        <v>0</v>
      </c>
      <c r="E28" s="19">
        <f>SUM(E16:E27)</f>
        <v>0</v>
      </c>
      <c r="F28" s="19">
        <f>SUM(F16:F27)</f>
        <v>0</v>
      </c>
      <c r="G28" s="19">
        <f>SUM(G16:G27)</f>
        <v>0</v>
      </c>
      <c r="H28" s="19">
        <f>SUM(H16:H27)</f>
        <v>0</v>
      </c>
      <c r="I28" s="19">
        <f>SUM(I16:I27)</f>
        <v>0</v>
      </c>
      <c r="J28" s="19">
        <f>SUM(J16:J27)</f>
        <v>0</v>
      </c>
      <c r="K28" s="19">
        <f>SUM(K16:K27)</f>
        <v>0</v>
      </c>
      <c r="L28" s="19">
        <f>SUM(L16:L27)</f>
        <v>0</v>
      </c>
      <c r="M28" s="19">
        <f>SUM(M16:M27)</f>
        <v>0</v>
      </c>
      <c r="N28" s="19">
        <f>SUM(N16:N27)</f>
        <v>0</v>
      </c>
      <c r="O28" s="19">
        <f>SUM(O16:O27)</f>
        <v>0</v>
      </c>
      <c r="P28" s="19">
        <f>SUM(P16:P27)</f>
        <v>0</v>
      </c>
      <c r="Q28" s="19">
        <f>SUM(Q16:Q27)</f>
        <v>0</v>
      </c>
      <c r="R28" s="19">
        <f>SUM(R16:R27)</f>
        <v>0</v>
      </c>
      <c r="S28" s="19">
        <f>SUM(S16:S27)</f>
        <v>0</v>
      </c>
      <c r="T28" s="19">
        <f>SUM(T16:T27)</f>
        <v>0</v>
      </c>
      <c r="U28" s="19">
        <f>SUM(U16:U27)</f>
        <v>0</v>
      </c>
      <c r="V28" s="19">
        <f>SUM(V16:V27)</f>
        <v>0</v>
      </c>
      <c r="W28" s="19">
        <f>SUM(W16:W27)</f>
        <v>0</v>
      </c>
      <c r="X28" s="19">
        <f>SUM(X16:X27)</f>
        <v>0</v>
      </c>
      <c r="Y28" s="19">
        <f>SUM(Y16:Y27)</f>
        <v>0</v>
      </c>
      <c r="Z28" s="19">
        <f>SUMIF($B$11:$Y$11,"Yes",B28:Y28)</f>
        <v>0</v>
      </c>
      <c r="AA28" s="19">
        <f>SUM(B28:M28)</f>
        <v>0</v>
      </c>
      <c r="AB28" s="19">
        <f>SUM(B28:Y28)</f>
        <v>0</v>
      </c>
      <c r="AC28" s="1"/>
      <c r="AD28" s="1"/>
    </row>
    <row r="29" spans="1:30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>
      <c r="A31" s="3" t="s">
        <v>35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30">
      <c r="A33" s="5" t="s">
        <v>32</v>
      </c>
      <c r="B33" s="17">
        <f>B15</f>
        <v>42614</v>
      </c>
      <c r="C33" s="17">
        <f>C15</f>
        <v>42644</v>
      </c>
      <c r="D33" s="17">
        <f>D15</f>
        <v>42675</v>
      </c>
      <c r="E33" s="17">
        <f>E15</f>
        <v>42705</v>
      </c>
      <c r="F33" s="17">
        <f>F15</f>
        <v>42736</v>
      </c>
      <c r="G33" s="17">
        <f>G15</f>
        <v>42767</v>
      </c>
      <c r="H33" s="17">
        <f>H15</f>
        <v>42795</v>
      </c>
      <c r="I33" s="17">
        <f>I15</f>
        <v>42826</v>
      </c>
      <c r="J33" s="17">
        <f>J15</f>
        <v>42856</v>
      </c>
      <c r="K33" s="17">
        <f>K15</f>
        <v>42887</v>
      </c>
      <c r="L33" s="17">
        <f>L15</f>
        <v>42917</v>
      </c>
      <c r="M33" s="17">
        <f>M15</f>
        <v>42948</v>
      </c>
      <c r="N33" s="17">
        <f>N15</f>
        <v>42979</v>
      </c>
      <c r="O33" s="17">
        <f>O15</f>
        <v>43009</v>
      </c>
      <c r="P33" s="17">
        <f>P15</f>
        <v>43040</v>
      </c>
      <c r="Q33" s="17">
        <f>Q15</f>
        <v>43070</v>
      </c>
      <c r="R33" s="17">
        <f>R15</f>
        <v>43101</v>
      </c>
      <c r="S33" s="17">
        <f>S15</f>
        <v>43132</v>
      </c>
      <c r="T33" s="17">
        <f>T15</f>
        <v>43160</v>
      </c>
      <c r="U33" s="17">
        <f>U15</f>
        <v>43191</v>
      </c>
      <c r="V33" s="17">
        <f>V15</f>
        <v>43221</v>
      </c>
      <c r="W33" s="17">
        <f>W15</f>
        <v>43252</v>
      </c>
      <c r="X33" s="17">
        <f>X15</f>
        <v>43282</v>
      </c>
      <c r="Y33" s="17">
        <f>Y15</f>
        <v>43313</v>
      </c>
      <c r="Z33" s="47" t="str">
        <f>Z15</f>
        <v>Total during loan period</v>
      </c>
      <c r="AA33" s="47" t="s">
        <v>22</v>
      </c>
      <c r="AB33" s="47" t="str">
        <f>AB15</f>
        <v>Total 24 months</v>
      </c>
    </row>
    <row r="34" spans="1:30">
      <c r="A34" t="s">
        <v>36</v>
      </c>
      <c r="B34" s="36">
        <f>N34</f>
        <v>0</v>
      </c>
      <c r="C34" s="36">
        <f>O34</f>
        <v>0</v>
      </c>
      <c r="D34" s="36">
        <f>P34</f>
        <v>0</v>
      </c>
      <c r="E34" s="36">
        <f>Q34</f>
        <v>0</v>
      </c>
      <c r="F34" s="36">
        <f>R34</f>
        <v>0</v>
      </c>
      <c r="G34" s="36">
        <f>S34</f>
        <v>0</v>
      </c>
      <c r="H34" s="36">
        <f>T34</f>
        <v>0</v>
      </c>
      <c r="I34" s="36">
        <f>U34</f>
        <v>0</v>
      </c>
      <c r="J34" s="36">
        <f>V34</f>
        <v>0</v>
      </c>
      <c r="K34" s="36">
        <f>W34</f>
        <v>0</v>
      </c>
      <c r="L34" s="36">
        <f>X34</f>
        <v>0</v>
      </c>
      <c r="M34" s="36">
        <f>Y34</f>
        <v>0</v>
      </c>
      <c r="N34" s="36">
        <f>SUM(N35:N39)</f>
        <v>0</v>
      </c>
      <c r="O34" s="36">
        <f>SUM(O35:O39)</f>
        <v>0</v>
      </c>
      <c r="P34" s="36">
        <f>SUM(P35:P39)</f>
        <v>0</v>
      </c>
      <c r="Q34" s="36">
        <f>SUM(Q35:Q39)</f>
        <v>0</v>
      </c>
      <c r="R34" s="36">
        <f>SUM(R35:R39)</f>
        <v>0</v>
      </c>
      <c r="S34" s="36">
        <f>SUM(S35:S39)</f>
        <v>0</v>
      </c>
      <c r="T34" s="36">
        <f>SUM(T35:T39)</f>
        <v>0</v>
      </c>
      <c r="U34" s="36">
        <f>SUM(U35:U39)</f>
        <v>0</v>
      </c>
      <c r="V34" s="36">
        <f>SUM(V35:V39)</f>
        <v>0</v>
      </c>
      <c r="W34" s="36">
        <f>SUM(W35:W39)</f>
        <v>0</v>
      </c>
      <c r="X34" s="36">
        <f>SUM(X35:X39)</f>
        <v>0</v>
      </c>
      <c r="Y34" s="36">
        <f>SUM(Y35:Y39)</f>
        <v>0</v>
      </c>
      <c r="Z34" s="36">
        <f>SUMIF($B$11:$Y$11,"Yes",B34:Y34)</f>
        <v>0</v>
      </c>
      <c r="AA34" s="36">
        <f>SUM(B34:M34)</f>
        <v>0</v>
      </c>
      <c r="AB34" s="36">
        <f>SUM(B34:Y34)</f>
        <v>0</v>
      </c>
      <c r="AC34" s="74"/>
    </row>
    <row r="35" spans="1:30" hidden="true" outlineLevel="1">
      <c r="A35" s="183">
        <f>Calculations!$A$4</f>
        <v/>
      </c>
      <c r="B35" s="36">
        <f>N35</f>
        <v>0</v>
      </c>
      <c r="C35" s="36">
        <f>O35</f>
        <v>0</v>
      </c>
      <c r="D35" s="36">
        <f>P35</f>
        <v>0</v>
      </c>
      <c r="E35" s="36">
        <f>Q35</f>
        <v>0</v>
      </c>
      <c r="F35" s="36">
        <f>R35</f>
        <v>0</v>
      </c>
      <c r="G35" s="36">
        <f>S35</f>
        <v>0</v>
      </c>
      <c r="H35" s="36">
        <f>T35</f>
        <v>0</v>
      </c>
      <c r="I35" s="36">
        <f>U35</f>
        <v>0</v>
      </c>
      <c r="J35" s="36">
        <f>V35</f>
        <v>0</v>
      </c>
      <c r="K35" s="36">
        <f>W35</f>
        <v>0</v>
      </c>
      <c r="L35" s="36">
        <f>X35</f>
        <v>0</v>
      </c>
      <c r="M35" s="36">
        <f>Y35</f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>SUMIF($B$11:$Y$11,"Yes",B35:Y35)</f>
        <v>0</v>
      </c>
      <c r="AA35" s="36">
        <f>SUM(B35:M35)</f>
        <v>0</v>
      </c>
      <c r="AB35" s="36">
        <f>SUM(B35:Y35)</f>
        <v>0</v>
      </c>
      <c r="AC35" s="74"/>
    </row>
    <row r="36" spans="1:30" hidden="true" outlineLevel="1">
      <c r="A36" s="183">
        <f>Calculations!$A$5</f>
        <v/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>SUMIF($B$11:$Y$11,"Yes",B36:Y36)</f>
        <v>0</v>
      </c>
      <c r="AA36" s="36">
        <f>SUM(B36:M36)</f>
        <v>0</v>
      </c>
      <c r="AB36" s="36">
        <f>SUM(B36:Y36)</f>
        <v>0</v>
      </c>
      <c r="AC36" s="74"/>
    </row>
    <row r="37" spans="1:30" hidden="true" outlineLevel="1">
      <c r="A37" s="183">
        <f>Calculations!$A$6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>SUMIF($B$11:$Y$11,"Yes",B37:Y37)</f>
        <v>0</v>
      </c>
      <c r="AA37" s="36">
        <f>SUM(B37:M37)</f>
        <v>0</v>
      </c>
      <c r="AB37" s="36">
        <f>SUM(B37:Y37)</f>
        <v>0</v>
      </c>
      <c r="AC37" s="74"/>
    </row>
    <row r="38" spans="1:30" hidden="true" outlineLevel="1">
      <c r="A38" s="183">
        <f>Calculations!$A$7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>SUMIF($B$11:$Y$11,"Yes",B38:Y38)</f>
        <v>0</v>
      </c>
      <c r="AA38" s="36">
        <f>SUM(B38:M38)</f>
        <v>0</v>
      </c>
      <c r="AB38" s="36">
        <f>SUM(B38:Y38)</f>
        <v>0</v>
      </c>
      <c r="AC38" s="74"/>
    </row>
    <row r="39" spans="1:30" hidden="true" outlineLevel="1">
      <c r="A39" s="183">
        <f>Calculations!$A$8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>SUMIF($B$11:$Y$11,"Yes",B39:Y39)</f>
        <v>0</v>
      </c>
      <c r="AA39" s="36">
        <f>SUM(B39:M39)</f>
        <v>0</v>
      </c>
      <c r="AB39" s="36">
        <f>SUM(B39:Y39)</f>
        <v>0</v>
      </c>
      <c r="AC39" s="74"/>
    </row>
    <row r="40" spans="1:30" collapsed="true">
      <c r="A40" t="s">
        <v>37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SUM(N41:N45)</f>
        <v>0</v>
      </c>
      <c r="O40" s="36">
        <f>SUM(O41:O45)</f>
        <v>0</v>
      </c>
      <c r="P40" s="36">
        <f>SUM(P41:P45)</f>
        <v>0</v>
      </c>
      <c r="Q40" s="36">
        <f>SUM(Q41:Q45)</f>
        <v>0</v>
      </c>
      <c r="R40" s="36">
        <f>SUM(R41:R45)</f>
        <v>0</v>
      </c>
      <c r="S40" s="36">
        <f>SUM(S41:S45)</f>
        <v>0</v>
      </c>
      <c r="T40" s="36">
        <f>SUM(T41:T45)</f>
        <v>0</v>
      </c>
      <c r="U40" s="36">
        <f>SUM(U41:U45)</f>
        <v>0</v>
      </c>
      <c r="V40" s="36">
        <f>SUM(V41:V45)</f>
        <v>0</v>
      </c>
      <c r="W40" s="36">
        <f>SUM(W41:W45)</f>
        <v>0</v>
      </c>
      <c r="X40" s="36">
        <f>SUM(X41:X45)</f>
        <v>0</v>
      </c>
      <c r="Y40" s="36">
        <f>SUM(Y41:Y45)</f>
        <v>0</v>
      </c>
      <c r="Z40" s="36">
        <f>SUMIF($B$11:$Y$11,"Yes",B40:Y40)</f>
        <v>0</v>
      </c>
      <c r="AA40" s="36">
        <f>SUM(B40:M40)</f>
        <v>0</v>
      </c>
      <c r="AB40" s="36">
        <f>SUM(B40:Y40)</f>
        <v>0</v>
      </c>
    </row>
    <row r="41" spans="1:30" hidden="true" outlineLevel="1">
      <c r="A41" s="183">
        <f>Calculations!$A$4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>SUMIF($B$11:$Y$11,"Yes",B41:Y41)</f>
        <v>0</v>
      </c>
      <c r="AA41" s="36">
        <f>SUM(B41:M41)</f>
        <v>0</v>
      </c>
      <c r="AB41" s="36">
        <f>SUM(B41:Y41)</f>
        <v>0</v>
      </c>
    </row>
    <row r="42" spans="1:30" hidden="true" outlineLevel="1">
      <c r="A42" s="183">
        <f>Calculations!$A$5</f>
        <v/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>SUMIF($B$11:$Y$11,"Yes",B42:Y42)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3">
        <f>Calculations!$A$6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>SUMIF($B$11:$Y$11,"Yes",B43:Y43)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3">
        <f>Calculations!$A$7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>SUMIF($B$11:$Y$11,"Yes",B44:Y44)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3">
        <f>Calculations!$A$8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>SUMIF($B$11:$Y$11,"Yes",B45:Y45)</f>
        <v>0</v>
      </c>
      <c r="AA45" s="36">
        <f>SUM(B45:M45)</f>
        <v>0</v>
      </c>
      <c r="AB45" s="36">
        <f>SUM(B45:Y45)</f>
        <v>0</v>
      </c>
    </row>
    <row r="46" spans="1:30" collapsed="true">
      <c r="A46" s="43" t="s">
        <v>38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46">
        <f>SUM(N47:N51)</f>
        <v>0</v>
      </c>
      <c r="O46" s="46">
        <f>SUM(O47:O51)</f>
        <v>0</v>
      </c>
      <c r="P46" s="46">
        <f>SUM(P47:P51)</f>
        <v>0</v>
      </c>
      <c r="Q46" s="46">
        <f>SUM(Q47:Q51)</f>
        <v>0</v>
      </c>
      <c r="R46" s="46">
        <f>SUM(R47:R51)</f>
        <v>0</v>
      </c>
      <c r="S46" s="46">
        <f>SUM(S47:S51)</f>
        <v>0</v>
      </c>
      <c r="T46" s="46">
        <f>SUM(T47:T51)</f>
        <v>0</v>
      </c>
      <c r="U46" s="46">
        <f>SUM(U47:U51)</f>
        <v>0</v>
      </c>
      <c r="V46" s="46">
        <f>SUM(V47:V51)</f>
        <v>0</v>
      </c>
      <c r="W46" s="46">
        <f>SUM(W47:W51)</f>
        <v>0</v>
      </c>
      <c r="X46" s="46">
        <f>SUM(X47:X51)</f>
        <v>0</v>
      </c>
      <c r="Y46" s="46">
        <f>SUM(Y47:Y51)</f>
        <v>0</v>
      </c>
      <c r="Z46" s="46">
        <f>SUMIF($B$11:$Y$11,"Yes",B46:Y46)</f>
        <v>0</v>
      </c>
      <c r="AA46" s="46">
        <f>SUM(B46:M46)</f>
        <v>0</v>
      </c>
      <c r="AB46" s="46">
        <f>SUM(B46:Y46)</f>
        <v>0</v>
      </c>
    </row>
    <row r="47" spans="1:30" hidden="true" outlineLevel="1">
      <c r="A47" s="183">
        <f>Calculations!$A$4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>SUMIF($B$11:$Y$11,"Yes",B47:Y47)</f>
        <v>0</v>
      </c>
      <c r="AA47" s="46">
        <f>SUM(B47:M47)</f>
        <v>0</v>
      </c>
      <c r="AB47" s="46">
        <f>SUM(B47:Y47)</f>
        <v>0</v>
      </c>
    </row>
    <row r="48" spans="1:30" hidden="true" outlineLevel="1">
      <c r="A48" s="183">
        <f>Calculations!$A$5</f>
        <v/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>SUMIF($B$11:$Y$11,"Yes",B48:Y48)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3">
        <f>Calculations!$A$6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>SUMIF($B$11:$Y$11,"Yes",B49:Y49)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3">
        <f>Calculations!$A$7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>SUMIF($B$11:$Y$11,"Yes",B50:Y50)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3">
        <f>Calculations!$A$8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>SUMIF($B$11:$Y$11,"Yes",B51:Y51)</f>
        <v>0</v>
      </c>
      <c r="AA51" s="46">
        <f>SUM(B51:M51)</f>
        <v>0</v>
      </c>
      <c r="AB51" s="46">
        <f>SUM(B51:Y51)</f>
        <v>0</v>
      </c>
    </row>
    <row r="52" spans="1:30" collapsed="true">
      <c r="A52" s="16" t="s">
        <v>39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SUM(N53:N57)</f>
        <v>0</v>
      </c>
      <c r="O52" s="46">
        <f>SUM(O53:O57)</f>
        <v>0</v>
      </c>
      <c r="P52" s="46">
        <f>SUM(P53:P57)</f>
        <v>0</v>
      </c>
      <c r="Q52" s="46">
        <f>SUM(Q53:Q57)</f>
        <v>0</v>
      </c>
      <c r="R52" s="46">
        <f>SUM(R53:R57)</f>
        <v>0</v>
      </c>
      <c r="S52" s="46">
        <f>SUM(S53:S57)</f>
        <v>0</v>
      </c>
      <c r="T52" s="46">
        <f>SUM(T53:T57)</f>
        <v>0</v>
      </c>
      <c r="U52" s="46">
        <f>SUM(U53:U57)</f>
        <v>0</v>
      </c>
      <c r="V52" s="46">
        <f>SUM(V53:V57)</f>
        <v>0</v>
      </c>
      <c r="W52" s="46">
        <f>SUM(W53:W57)</f>
        <v>0</v>
      </c>
      <c r="X52" s="46">
        <f>SUM(X53:X57)</f>
        <v>0</v>
      </c>
      <c r="Y52" s="46">
        <f>SUM(Y53:Y57)</f>
        <v>0</v>
      </c>
      <c r="Z52" s="46">
        <f>SUMIF($B$11:$Y$11,"Yes",B52:Y52)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3">
        <f>Calculations!$A$4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>SUMIF($B$11:$Y$11,"Yes",B53:Y53)</f>
        <v>0</v>
      </c>
      <c r="AA53" s="46">
        <f>SUM(B53:M53)</f>
        <v>0</v>
      </c>
      <c r="AB53" s="46">
        <f>SUM(B53:Y53)</f>
        <v>0</v>
      </c>
    </row>
    <row r="54" spans="1:30" hidden="true" outlineLevel="1">
      <c r="A54" s="183">
        <f>Calculations!$A$5</f>
        <v/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>SUMIF($B$11:$Y$11,"Yes",B54:Y54)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3">
        <f>Calculations!$A$6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>SUMIF($B$11:$Y$11,"Yes",B55:Y55)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3">
        <f>Calculations!$A$7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>SUMIF($B$11:$Y$11,"Yes",B56:Y56)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3">
        <f>Calculations!$A$8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>SUMIF($B$11:$Y$11,"Yes",B57:Y57)</f>
        <v>0</v>
      </c>
      <c r="AA57" s="46">
        <f>SUM(B57:M57)</f>
        <v>0</v>
      </c>
      <c r="AB57" s="46">
        <f>SUM(B57:Y57)</f>
        <v>0</v>
      </c>
    </row>
    <row r="58" spans="1:30" collapsed="true">
      <c r="A58" s="16" t="s">
        <v>40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SUM(N59:N63)</f>
        <v>0</v>
      </c>
      <c r="O58" s="46">
        <f>SUM(O59:O63)</f>
        <v>0</v>
      </c>
      <c r="P58" s="46">
        <f>SUM(P59:P63)</f>
        <v>0</v>
      </c>
      <c r="Q58" s="46">
        <f>SUM(Q59:Q63)</f>
        <v>0</v>
      </c>
      <c r="R58" s="46">
        <f>SUM(R59:R63)</f>
        <v>0</v>
      </c>
      <c r="S58" s="46">
        <f>SUM(S59:S63)</f>
        <v>0</v>
      </c>
      <c r="T58" s="46">
        <f>SUM(T59:T63)</f>
        <v>0</v>
      </c>
      <c r="U58" s="46">
        <f>SUM(U59:U63)</f>
        <v>0</v>
      </c>
      <c r="V58" s="46">
        <f>SUM(V59:V63)</f>
        <v>0</v>
      </c>
      <c r="W58" s="46">
        <f>SUM(W59:W63)</f>
        <v>0</v>
      </c>
      <c r="X58" s="46">
        <f>SUM(X59:X63)</f>
        <v>0</v>
      </c>
      <c r="Y58" s="46">
        <f>SUM(Y59:Y63)</f>
        <v>0</v>
      </c>
      <c r="Z58" s="46">
        <f>SUMIF($B$11:$Y$11,"Yes",B58:Y58)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3">
        <f>Calculations!$A$4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>SUMIF($B$11:$Y$11,"Yes",B59:Y59)</f>
        <v>0</v>
      </c>
      <c r="AA59" s="46">
        <f>SUM(B59:M59)</f>
        <v>0</v>
      </c>
      <c r="AB59" s="46">
        <f>SUM(B59:Y59)</f>
        <v>0</v>
      </c>
    </row>
    <row r="60" spans="1:30" hidden="true" outlineLevel="1">
      <c r="A60" s="183">
        <f>Calculations!$A$5</f>
        <v/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>SUMIF($B$11:$Y$11,"Yes",B60:Y60)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3">
        <f>Calculations!$A$6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>SUMIF($B$11:$Y$11,"Yes",B61:Y61)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3">
        <f>Calculations!$A$7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>SUMIF($B$11:$Y$11,"Yes",B62:Y62)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3">
        <f>Calculations!$A$8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>SUMIF($B$11:$Y$11,"Yes",B63:Y63)</f>
        <v>0</v>
      </c>
      <c r="AA63" s="46">
        <f>SUM(B63:M63)</f>
        <v>0</v>
      </c>
      <c r="AB63" s="46">
        <f>SUM(B63:Y63)</f>
        <v>0</v>
      </c>
    </row>
    <row r="64" spans="1:30" collapsed="true">
      <c r="A64" s="43" t="s">
        <v>41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SUM(N65:N69)</f>
        <v>0</v>
      </c>
      <c r="O64" s="46">
        <f>SUM(O65:O69)</f>
        <v>0</v>
      </c>
      <c r="P64" s="46">
        <f>SUM(P65:P69)</f>
        <v>0</v>
      </c>
      <c r="Q64" s="46">
        <f>SUM(Q65:Q69)</f>
        <v>0</v>
      </c>
      <c r="R64" s="46">
        <f>SUM(R65:R69)</f>
        <v>0</v>
      </c>
      <c r="S64" s="46">
        <f>SUM(S65:S69)</f>
        <v>0</v>
      </c>
      <c r="T64" s="46">
        <f>SUM(T65:T69)</f>
        <v>0</v>
      </c>
      <c r="U64" s="46">
        <f>SUM(U65:U69)</f>
        <v>0</v>
      </c>
      <c r="V64" s="46">
        <f>SUM(V65:V69)</f>
        <v>0</v>
      </c>
      <c r="W64" s="46">
        <f>SUM(W65:W69)</f>
        <v>0</v>
      </c>
      <c r="X64" s="46">
        <f>SUM(X65:X69)</f>
        <v>0</v>
      </c>
      <c r="Y64" s="46">
        <f>SUM(Y65:Y69)</f>
        <v>0</v>
      </c>
      <c r="Z64" s="46">
        <f>SUMIF($B$11:$Y$11,"Yes",B64:Y64)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3">
        <f>Calculations!$A$4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>SUMIF($B$11:$Y$11,"Yes",B65:Y65)</f>
        <v>0</v>
      </c>
      <c r="AA65" s="46">
        <f>SUM(B65:M65)</f>
        <v>0</v>
      </c>
      <c r="AB65" s="46">
        <f>SUM(B65:Y65)</f>
        <v>0</v>
      </c>
    </row>
    <row r="66" spans="1:30" hidden="true" outlineLevel="1">
      <c r="A66" s="183">
        <f>Calculations!$A$5</f>
        <v/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>SUMIF($B$11:$Y$11,"Yes",B66:Y66)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3">
        <f>Calculations!$A$6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>SUMIF($B$11:$Y$11,"Yes",B67:Y67)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3">
        <f>Calculations!$A$7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>SUMIF($B$11:$Y$11,"Yes",B68:Y68)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3">
        <f>Calculations!$A$8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>SUMIF($B$11:$Y$11,"Yes",B69:Y69)</f>
        <v>0</v>
      </c>
      <c r="AA69" s="46">
        <f>SUM(B69:M69)</f>
        <v>0</v>
      </c>
      <c r="AB69" s="46">
        <f>SUM(B69:Y69)</f>
        <v>0</v>
      </c>
    </row>
    <row r="70" spans="1:30" collapsed="true">
      <c r="A70" s="16" t="s">
        <v>42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>SUMIF($B$11:$Y$11,"Yes",B70:Y70)</f>
        <v>0</v>
      </c>
      <c r="AA70" s="46">
        <f>SUM(B70:M70)</f>
        <v>0</v>
      </c>
      <c r="AB70" s="46">
        <f>SUM(B70:Y70)</f>
        <v>0</v>
      </c>
    </row>
    <row r="71" spans="1:30" customHeight="1" ht="5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>
      <c r="A72" s="16" t="s">
        <v>43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>SUMIF($B$11:$Y$11,"Yes",B72:Y72)</f>
        <v>0</v>
      </c>
      <c r="AA72" s="46">
        <f>SUM(B72:M72)</f>
        <v>0</v>
      </c>
      <c r="AB72" s="46">
        <f>SUM(B72:Y72)</f>
        <v>0</v>
      </c>
    </row>
    <row r="73" spans="1:30">
      <c r="A73" s="16" t="s">
        <v>44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>SUMIF($B$11:$Y$11,"Yes",B73:Y73)</f>
        <v>0</v>
      </c>
      <c r="AA73" s="46">
        <f>SUM(B73:M73)</f>
        <v>0</v>
      </c>
      <c r="AB73" s="46">
        <f>SUM(B73:Y73)</f>
        <v>0</v>
      </c>
    </row>
    <row r="74" spans="1:30">
      <c r="A74" s="16" t="s">
        <v>45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>SUMIF($B$11:$Y$11,"Yes",B74:Y74)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46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>SUMIF($B$11:$Y$11,"Yes",B75:Y75)</f>
        <v>0</v>
      </c>
      <c r="AA75" s="46">
        <f>SUM(B75:M75)</f>
        <v>0</v>
      </c>
      <c r="AB75" s="46">
        <f>SUM(B75:Y75)</f>
        <v>0</v>
      </c>
    </row>
    <row r="76" spans="1:30" customHeight="1" ht="5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>
        <f>SUM(IF($B$7:$Y$7+$B$8:$Y$8&gt;0,B76:Y76,0))</f>
        <v>0</v>
      </c>
      <c r="AA76" s="46"/>
      <c r="AB76" s="46"/>
    </row>
    <row r="77" spans="1:30">
      <c r="A77" s="43" t="s">
        <v>33</v>
      </c>
      <c r="B77" s="46">
        <f>Inputs!$B$31</f>
        <v/>
      </c>
      <c r="C77" s="46">
        <f>Inputs!$B$31</f>
        <v/>
      </c>
      <c r="D77" s="46">
        <f>Inputs!$B$31</f>
        <v/>
      </c>
      <c r="E77" s="46">
        <f>Inputs!$B$31</f>
        <v/>
      </c>
      <c r="F77" s="46">
        <f>Inputs!$B$31</f>
        <v/>
      </c>
      <c r="G77" s="46">
        <f>Inputs!$B$31</f>
        <v/>
      </c>
      <c r="H77" s="46">
        <f>Inputs!$B$31</f>
        <v/>
      </c>
      <c r="I77" s="46">
        <f>Inputs!$B$31</f>
        <v/>
      </c>
      <c r="J77" s="46">
        <f>Inputs!$B$31</f>
        <v/>
      </c>
      <c r="K77" s="46">
        <f>Inputs!$B$31</f>
        <v/>
      </c>
      <c r="L77" s="46">
        <f>Inputs!$B$31</f>
        <v/>
      </c>
      <c r="M77" s="46">
        <f>Inputs!$B$31</f>
        <v/>
      </c>
      <c r="N77" s="46">
        <f>Inputs!$B$31</f>
        <v/>
      </c>
      <c r="O77" s="46">
        <f>Inputs!$B$31</f>
        <v/>
      </c>
      <c r="P77" s="46">
        <f>Inputs!$B$31</f>
        <v/>
      </c>
      <c r="Q77" s="46">
        <f>Inputs!$B$31</f>
        <v/>
      </c>
      <c r="R77" s="46">
        <f>Inputs!$B$31</f>
        <v/>
      </c>
      <c r="S77" s="46">
        <f>Inputs!$B$31</f>
        <v/>
      </c>
      <c r="T77" s="46">
        <f>Inputs!$B$31</f>
        <v/>
      </c>
      <c r="U77" s="46">
        <f>Inputs!$B$31</f>
        <v/>
      </c>
      <c r="V77" s="46">
        <f>Inputs!$B$31</f>
        <v/>
      </c>
      <c r="W77" s="46">
        <f>Inputs!$B$31</f>
        <v/>
      </c>
      <c r="X77" s="46">
        <f>Inputs!$B$31</f>
        <v/>
      </c>
      <c r="Y77" s="46">
        <f>Inputs!$B$31</f>
        <v/>
      </c>
      <c r="Z77" s="46">
        <f>SUMIF($B$11:$Y$11,"Yes",B77:Y77)</f>
        <v>0</v>
      </c>
      <c r="AA77" s="46">
        <f>SUM(B77:M77)</f>
        <v>0</v>
      </c>
      <c r="AB77" s="46">
        <f>SUM(B77:Y77)</f>
        <v>0</v>
      </c>
    </row>
    <row r="78" spans="1:30">
      <c r="A78" s="16" t="s">
        <v>47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>SUMIF($B$11:$Y$11,"Yes",B78:Y78)</f>
        <v>0</v>
      </c>
      <c r="AA78" s="46">
        <f>SUM(B78:M78)</f>
        <v>0</v>
      </c>
      <c r="AB78" s="46">
        <f>SUM(B78:Y78)</f>
        <v>0</v>
      </c>
    </row>
    <row r="79" spans="1:30">
      <c r="A79" s="43" t="s">
        <v>48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>SUMIF($B$11:$Y$11,"Yes",B79:Y79)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49</v>
      </c>
      <c r="B80" s="46">
        <f>SUM(B81:B85)</f>
        <v>0</v>
      </c>
      <c r="C80" s="46">
        <f>SUM(C81:C85)</f>
        <v>0</v>
      </c>
      <c r="D80" s="46">
        <f>SUM(D81:D85)</f>
        <v>0</v>
      </c>
      <c r="E80" s="46">
        <f>SUM(E81:E85)</f>
        <v>0</v>
      </c>
      <c r="F80" s="46">
        <f>SUM(F81:F85)</f>
        <v>0</v>
      </c>
      <c r="G80" s="46">
        <f>SUM(G81:G85)</f>
        <v>0</v>
      </c>
      <c r="H80" s="46">
        <f>SUM(H81:H85)</f>
        <v>0</v>
      </c>
      <c r="I80" s="46">
        <f>SUM(I81:I85)</f>
        <v>0</v>
      </c>
      <c r="J80" s="46">
        <f>SUM(J81:J85)</f>
        <v>0</v>
      </c>
      <c r="K80" s="46">
        <f>SUM(K81:K85)</f>
        <v>0</v>
      </c>
      <c r="L80" s="46">
        <f>SUM(L81:L85)</f>
        <v>0</v>
      </c>
      <c r="M80" s="46">
        <f>SUM(M81:M85)</f>
        <v>0</v>
      </c>
      <c r="N80" s="46">
        <f>SUM(N81:N85)</f>
        <v>0</v>
      </c>
      <c r="O80" s="46">
        <f>SUM(O81:O85)</f>
        <v>0</v>
      </c>
      <c r="P80" s="46">
        <f>SUM(P81:P85)</f>
        <v>0</v>
      </c>
      <c r="Q80" s="46">
        <f>SUM(Q81:Q85)</f>
        <v>0</v>
      </c>
      <c r="R80" s="46">
        <f>SUM(R81:R85)</f>
        <v>0</v>
      </c>
      <c r="S80" s="46">
        <f>SUM(S81:S85)</f>
        <v>0</v>
      </c>
      <c r="T80" s="46">
        <f>SUM(T81:T85)</f>
        <v>0</v>
      </c>
      <c r="U80" s="46">
        <f>SUM(U81:U85)</f>
        <v>0</v>
      </c>
      <c r="V80" s="46">
        <f>SUM(V81:V85)</f>
        <v>0</v>
      </c>
      <c r="W80" s="46">
        <f>SUM(W81:W85)</f>
        <v>0</v>
      </c>
      <c r="X80" s="46">
        <f>SUM(X81:X85)</f>
        <v>0</v>
      </c>
      <c r="Y80" s="46">
        <f>SUM(Y81:Y85)</f>
        <v>0</v>
      </c>
      <c r="Z80" s="46">
        <f>SUMIF($B$11:$Y$11,"Yes",B80:Y80)</f>
        <v>0</v>
      </c>
      <c r="AA80" s="46">
        <f>SUM(B80:M80)</f>
        <v>0</v>
      </c>
      <c r="AB80" s="46">
        <f>SUM(B80:Y80)</f>
        <v>0</v>
      </c>
    </row>
    <row r="81" spans="1:30" hidden="true" outlineLevel="1" s="43" customFormat="1">
      <c r="A81" s="189" t="s">
        <v>50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>SUMIF($B$11:$Y$11,"Yes",B81:Y81)</f>
        <v>0</v>
      </c>
      <c r="AA81" s="46">
        <f>SUM(B81:M81)</f>
        <v>0</v>
      </c>
      <c r="AB81" s="46">
        <f>SUM(B81:Y81)</f>
        <v>0</v>
      </c>
    </row>
    <row r="82" spans="1:30" hidden="true" outlineLevel="1">
      <c r="A82" s="189" t="s">
        <v>51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>SUMIF($B$11:$Y$11,"Yes",B82:Y82)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>
      <c r="A83" s="189" t="s">
        <v>52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>SUMIF($B$11:$Y$11,"Yes",B83:Y83)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9" t="s">
        <v>53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>SUMIF($B$11:$Y$11,"Yes",B84:Y84)</f>
        <v>0</v>
      </c>
      <c r="AA84" s="46">
        <f>SUM(B84:M84)</f>
        <v>0</v>
      </c>
      <c r="AB84" s="46">
        <f>SUM(B84:Y84)</f>
        <v>0</v>
      </c>
    </row>
    <row r="85" spans="1:30" customHeight="1" ht="15.75" hidden="true" outlineLevel="1">
      <c r="A85" s="190" t="s">
        <v>54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>SUMIF($B$11:$Y$11,"Yes",B85:Y85)</f>
        <v>0</v>
      </c>
      <c r="AA85" s="37">
        <f>SUM(B85:M85)</f>
        <v>0</v>
      </c>
      <c r="AB85" s="37">
        <f>SUM(B85:Y85)</f>
        <v>0</v>
      </c>
    </row>
    <row r="86" spans="1:30" collapsed="true">
      <c r="A86" s="1" t="s">
        <v>34</v>
      </c>
      <c r="B86" s="19">
        <f>SUM(B70:B80,B64,B58,B52,B46,B40,B34)</f>
        <v>0</v>
      </c>
      <c r="C86" s="19">
        <f>SUM(C70:C80,C64,C58,C52,C46,C40,C34)</f>
        <v>0</v>
      </c>
      <c r="D86" s="19">
        <f>SUM(D70:D80,D64,D58,D52,D46,D40,D34)</f>
        <v>0</v>
      </c>
      <c r="E86" s="19">
        <f>SUM(E70:E80,E64,E58,E52,E46,E40,E34)</f>
        <v>0</v>
      </c>
      <c r="F86" s="19">
        <f>SUM(F70:F80,F64,F58,F52,F46,F40,F34)</f>
        <v>0</v>
      </c>
      <c r="G86" s="19">
        <f>SUM(G70:G80,G64,G58,G52,G46,G40,G34)</f>
        <v>0</v>
      </c>
      <c r="H86" s="19">
        <f>SUM(H70:H80,H64,H58,H52,H46,H40,H34)</f>
        <v>0</v>
      </c>
      <c r="I86" s="19">
        <f>SUM(I70:I80,I64,I58,I52,I46,I40,I34)</f>
        <v>0</v>
      </c>
      <c r="J86" s="19">
        <f>SUM(J70:J80,J64,J58,J52,J46,J40,J34)</f>
        <v>0</v>
      </c>
      <c r="K86" s="19">
        <f>SUM(K70:K80,K64,K58,K52,K46,K40,K34)</f>
        <v>0</v>
      </c>
      <c r="L86" s="19">
        <f>SUM(L70:L80,L64,L58,L52,L46,L40,L34)</f>
        <v>0</v>
      </c>
      <c r="M86" s="19">
        <f>SUM(M70:M80,M64,M58,M52,M46,M40,M34)</f>
        <v>0</v>
      </c>
      <c r="N86" s="19">
        <f>SUM(N70:N80,N64,N58,N52,N46,N40,N34)</f>
        <v>0</v>
      </c>
      <c r="O86" s="19">
        <f>SUM(O70:O80,O64,O58,O52,O46,O40,O34)</f>
        <v>0</v>
      </c>
      <c r="P86" s="19">
        <f>SUM(P70:P80,P64,P58,P52,P46,P40,P34)</f>
        <v>0</v>
      </c>
      <c r="Q86" s="19">
        <f>SUM(Q70:Q80,Q64,Q58,Q52,Q46,Q40,Q34)</f>
        <v>0</v>
      </c>
      <c r="R86" s="19">
        <f>SUM(R70:R80,R64,R58,R52,R46,R40,R34)</f>
        <v>0</v>
      </c>
      <c r="S86" s="19">
        <f>SUM(S70:S80,S64,S58,S52,S46,S40,S34)</f>
        <v>0</v>
      </c>
      <c r="T86" s="19">
        <f>SUM(T70:T80,T64,T58,T52,T46,T40,T34)</f>
        <v>0</v>
      </c>
      <c r="U86" s="19">
        <f>SUM(U70:U80,U64,U58,U52,U46,U40,U34)</f>
        <v>0</v>
      </c>
      <c r="V86" s="19">
        <f>SUM(V70:V80,V64,V58,V52,V46,V40,V34)</f>
        <v>0</v>
      </c>
      <c r="W86" s="19">
        <f>SUM(W70:W80,W64,W58,W52,W46,W40,W34)</f>
        <v>0</v>
      </c>
      <c r="X86" s="19">
        <f>SUM(X70:X80,X64,X58,X52,X46,X40,X34)</f>
        <v>0</v>
      </c>
      <c r="Y86" s="19">
        <f>SUM(Y70:Y80,Y64,Y58,Y52,Y46,Y40,Y34)</f>
        <v>0</v>
      </c>
      <c r="Z86" s="19">
        <f>SUMIF($B$11:$Y$11,"Yes",B86:Y86)</f>
        <v>0</v>
      </c>
      <c r="AA86" s="19">
        <f>SUM(B86:M86)</f>
        <v>0</v>
      </c>
      <c r="AB86" s="19">
        <f>SUM(B86:Y86)</f>
        <v>0</v>
      </c>
    </row>
    <row r="87" spans="1:3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>
      <c r="A89" s="3" t="s">
        <v>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>
      <c r="A91" s="5" t="s">
        <v>56</v>
      </c>
      <c r="B91" s="5"/>
    </row>
    <row r="92" spans="1:30">
      <c r="A92" t="s">
        <v>57</v>
      </c>
      <c r="B92" s="36">
        <f>Inputs!B49</f>
        <v/>
      </c>
    </row>
    <row r="93" spans="1:30">
      <c r="A93" t="s">
        <v>58</v>
      </c>
      <c r="B93" s="36">
        <f>Inputs!B47</f>
        <v/>
      </c>
    </row>
    <row r="94" spans="1:30">
      <c r="A94" t="s">
        <v>59</v>
      </c>
      <c r="B94" s="36">
        <f>SUMPRODUCT(Inputs!C19:C21,Calculations!O14:O16)</f>
        <v>0</v>
      </c>
    </row>
    <row r="95" spans="1:30">
      <c r="A95" t="s">
        <v>60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>
      <c r="A96" t="s">
        <v>61</v>
      </c>
      <c r="B96" s="36">
        <f>IF(Inputs!B44="Yes",Inputs!B45,0)</f>
        <v>0</v>
      </c>
    </row>
    <row r="97" spans="1:30">
      <c r="A97" t="s">
        <v>62</v>
      </c>
      <c r="B97" s="36">
        <f>Inputs!B46</f>
        <v/>
      </c>
    </row>
    <row r="98" spans="1:30" customHeight="1" ht="15.75">
      <c r="A98" s="18" t="s">
        <v>63</v>
      </c>
      <c r="B98" s="37">
        <f>Inputs!B48</f>
        <v/>
      </c>
    </row>
    <row r="99" spans="1:30" customHeight="1" ht="15.75">
      <c r="A99" s="1" t="s">
        <v>64</v>
      </c>
      <c r="B99" s="19">
        <f>SUM(B92:B98)</f>
        <v>0</v>
      </c>
    </row>
    <row r="101" spans="1:30">
      <c r="A101" s="5" t="s">
        <v>65</v>
      </c>
      <c r="B101" s="5"/>
    </row>
    <row r="102" spans="1:30">
      <c r="A102" t="s">
        <v>66</v>
      </c>
      <c r="B102" s="36">
        <f>Inputs!B51</f>
        <v/>
      </c>
    </row>
    <row r="103" spans="1:30">
      <c r="A103" t="s">
        <v>67</v>
      </c>
      <c r="B103" s="36">
        <f>SUM(Inputs!B56:B60)</f>
        <v>0</v>
      </c>
    </row>
    <row r="104" spans="1:30" customHeight="1" ht="15.75">
      <c r="A104" s="18" t="s">
        <v>68</v>
      </c>
      <c r="B104" s="37">
        <f>Calculations!G35</f>
        <v/>
      </c>
    </row>
    <row r="105" spans="1:30" customHeight="1" ht="15.75">
      <c r="A105" s="1" t="s">
        <v>69</v>
      </c>
      <c r="B105" s="19">
        <f>SUM(B102:B104)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4:S4">
    <cfRule type="cellIs" dxfId="1" priority="1" operator="lessThan">
      <formula>0</formula>
    </cfRule>
  </conditionalFormatting>
  <conditionalFormatting sqref="Z4:AB4">
    <cfRule type="cellIs" dxfId="1" priority="2" operator="lessThan">
      <formula>0</formula>
    </cfRule>
  </conditionalFormatting>
  <conditionalFormatting sqref="B5:S5">
    <cfRule type="cellIs" dxfId="1" priority="3" operator="lessThan">
      <formula>0</formula>
    </cfRule>
  </conditionalFormatting>
  <conditionalFormatting sqref="Z5:AB5">
    <cfRule type="cellIs" dxfId="1" priority="4" operator="lessThan">
      <formula>0</formula>
    </cfRule>
  </conditionalFormatting>
  <conditionalFormatting sqref="B9:S9">
    <cfRule type="cellIs" dxfId="1" priority="5" operator="lessThan">
      <formula>0</formula>
    </cfRule>
  </conditionalFormatting>
  <conditionalFormatting sqref="Z9:AB9">
    <cfRule type="cellIs" dxfId="1" priority="6" operator="lessThan">
      <formula>0</formula>
    </cfRule>
  </conditionalFormatting>
  <conditionalFormatting sqref="B10:S10">
    <cfRule type="cellIs" dxfId="2" priority="7" operator="greaterThan">
      <formula>0.6</formula>
    </cfRule>
  </conditionalFormatting>
  <conditionalFormatting sqref="T4:Y4">
    <cfRule type="cellIs" dxfId="1" priority="8" operator="lessThan">
      <formula>0</formula>
    </cfRule>
  </conditionalFormatting>
  <conditionalFormatting sqref="T5:Y5">
    <cfRule type="cellIs" dxfId="1" priority="9" operator="lessThan">
      <formula>0</formula>
    </cfRule>
  </conditionalFormatting>
  <conditionalFormatting sqref="T9:Y9">
    <cfRule type="cellIs" dxfId="1" priority="10" operator="lessThan">
      <formula>0</formula>
    </cfRule>
  </conditionalFormatting>
  <conditionalFormatting sqref="T10:Y10">
    <cfRule type="cellIs" dxfId="2" priority="11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0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71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76</v>
      </c>
      <c r="F6" s="10" t="s">
        <v>77</v>
      </c>
      <c r="G6" s="10" t="s">
        <v>78</v>
      </c>
      <c r="H6" s="10" t="s">
        <v>79</v>
      </c>
      <c r="I6" s="10" t="s">
        <v>80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</row>
    <row r="7" spans="1:48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48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48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48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48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48">
      <c r="A14" s="3" t="s">
        <v>59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87</v>
      </c>
      <c r="B18" s="10" t="s">
        <v>88</v>
      </c>
      <c r="C18" s="10" t="s">
        <v>89</v>
      </c>
      <c r="D18" s="10" t="s">
        <v>90</v>
      </c>
      <c r="E18" s="10" t="s">
        <v>91</v>
      </c>
      <c r="F18" s="10" t="s">
        <v>92</v>
      </c>
      <c r="G18" s="10" t="s">
        <v>93</v>
      </c>
      <c r="H18" s="10" t="s">
        <v>94</v>
      </c>
      <c r="I18" s="10" t="s">
        <v>95</v>
      </c>
      <c r="J18" s="10" t="s">
        <v>96</v>
      </c>
      <c r="K18" s="10" t="s">
        <v>97</v>
      </c>
      <c r="L18" s="10" t="s">
        <v>98</v>
      </c>
    </row>
    <row r="19" spans="1:48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48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48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48">
      <c r="A23" s="3" t="s">
        <v>99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100</v>
      </c>
      <c r="B25" s="178"/>
    </row>
    <row r="27" spans="1:48">
      <c r="A27" s="14" t="s">
        <v>101</v>
      </c>
    </row>
    <row r="29" spans="1:48">
      <c r="A29" s="45" t="s">
        <v>102</v>
      </c>
      <c r="B29" s="157"/>
    </row>
    <row r="30" spans="1:48">
      <c r="A30" s="44" t="s">
        <v>103</v>
      </c>
      <c r="B30" s="158"/>
    </row>
    <row r="31" spans="1:48">
      <c r="A31" s="5" t="s">
        <v>104</v>
      </c>
      <c r="B31" s="159"/>
    </row>
    <row r="33" spans="1:48">
      <c r="A33" s="14" t="s">
        <v>105</v>
      </c>
    </row>
    <row r="34" spans="1:48">
      <c r="A34" s="10" t="s">
        <v>106</v>
      </c>
      <c r="B34" s="10" t="s">
        <v>107</v>
      </c>
      <c r="C34" s="10" t="s">
        <v>108</v>
      </c>
      <c r="D34" s="48" t="s">
        <v>109</v>
      </c>
    </row>
    <row r="35" spans="1:48">
      <c r="A35" s="143"/>
      <c r="B35" s="160"/>
      <c r="C35" s="146"/>
      <c r="D35" s="49" t="str">
        <f>IFERROR(VLOOKUP(C35,Parameters!$C$76:$D$87,2,0),"")</f>
        <v/>
      </c>
    </row>
    <row r="36" spans="1:48">
      <c r="A36" s="145"/>
      <c r="B36" s="159"/>
      <c r="C36" s="151"/>
      <c r="D36" s="49" t="str">
        <f>IFERROR(VLOOKUP(C36,Parameters!$C$76:$D$87,2,0),"")</f>
        <v/>
      </c>
    </row>
    <row r="38" spans="1:48">
      <c r="A38" s="3" t="s">
        <v>110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111</v>
      </c>
      <c r="B40" s="161"/>
    </row>
    <row r="41" spans="1:48">
      <c r="A41" s="55" t="s">
        <v>112</v>
      </c>
      <c r="B41" s="141"/>
    </row>
    <row r="42" spans="1:48">
      <c r="A42" s="55" t="s">
        <v>113</v>
      </c>
      <c r="B42" s="140"/>
    </row>
    <row r="43" spans="1:48">
      <c r="A43" s="55" t="s">
        <v>114</v>
      </c>
      <c r="B43" s="161"/>
    </row>
    <row r="44" spans="1:48">
      <c r="A44" s="56" t="s">
        <v>115</v>
      </c>
      <c r="B44" s="161"/>
    </row>
    <row r="45" spans="1:48">
      <c r="A45" s="56" t="s">
        <v>116</v>
      </c>
      <c r="B45" s="162"/>
    </row>
    <row r="46" spans="1:48" customHeight="1" ht="30">
      <c r="A46" s="57" t="s">
        <v>117</v>
      </c>
      <c r="B46" s="162"/>
    </row>
    <row r="47" spans="1:48" customHeight="1" ht="30">
      <c r="A47" s="57" t="s">
        <v>118</v>
      </c>
      <c r="B47" s="162"/>
    </row>
    <row r="48" spans="1:48" customHeight="1" ht="30">
      <c r="A48" s="57" t="s">
        <v>119</v>
      </c>
      <c r="B48" s="162"/>
    </row>
    <row r="49" spans="1:48" customHeight="1" ht="30">
      <c r="A49" s="57" t="s">
        <v>120</v>
      </c>
      <c r="B49" s="162"/>
    </row>
    <row r="50" spans="1:48">
      <c r="A50" s="43"/>
      <c r="B50" s="36"/>
    </row>
    <row r="51" spans="1:48">
      <c r="A51" s="58" t="s">
        <v>121</v>
      </c>
      <c r="B51" s="162"/>
    </row>
    <row r="52" spans="1:48">
      <c r="A52" s="43"/>
    </row>
    <row r="53" spans="1:48">
      <c r="A53" s="3" t="s">
        <v>122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123</v>
      </c>
      <c r="B55" s="10" t="s">
        <v>124</v>
      </c>
      <c r="C55" s="10" t="s">
        <v>125</v>
      </c>
      <c r="D55" s="10" t="s">
        <v>126</v>
      </c>
      <c r="E55" s="10" t="s">
        <v>127</v>
      </c>
      <c r="F55" s="10" t="s">
        <v>128</v>
      </c>
    </row>
    <row r="56" spans="1:48">
      <c r="A56" s="160"/>
      <c r="B56" s="160"/>
      <c r="C56" s="163"/>
      <c r="D56" s="164"/>
      <c r="E56" s="164"/>
      <c r="F56" s="164"/>
    </row>
    <row r="57" spans="1:48">
      <c r="A57" s="158"/>
      <c r="B57" s="158"/>
      <c r="C57" s="165"/>
      <c r="D57" s="166"/>
      <c r="E57" s="166"/>
      <c r="F57" s="166"/>
    </row>
    <row r="58" spans="1:48">
      <c r="A58" s="158"/>
      <c r="B58" s="158"/>
      <c r="C58" s="165"/>
      <c r="D58" s="166"/>
      <c r="E58" s="166"/>
      <c r="F58" s="166"/>
    </row>
    <row r="59" spans="1:48">
      <c r="A59" s="158"/>
      <c r="B59" s="158"/>
      <c r="C59" s="165"/>
      <c r="D59" s="166"/>
      <c r="E59" s="166"/>
      <c r="F59" s="166"/>
    </row>
    <row r="60" spans="1:48">
      <c r="A60" s="159"/>
      <c r="B60" s="159"/>
      <c r="C60" s="167"/>
      <c r="D60" s="168"/>
      <c r="E60" s="168"/>
      <c r="F60" s="168"/>
    </row>
    <row r="63" spans="1:48">
      <c r="A63" s="3" t="s">
        <v>129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109</v>
      </c>
      <c r="B65" s="10" t="s">
        <v>130</v>
      </c>
      <c r="C65" s="10" t="s">
        <v>131</v>
      </c>
    </row>
    <row r="66" spans="1:48">
      <c r="A66" s="143"/>
      <c r="B66" s="160"/>
      <c r="C66" s="164"/>
      <c r="D66" s="49">
        <f>INDEX(Parameters!$D$76:$D$87,MATCH(Inputs!A66,Parameters!$C$76:$C$87,0))</f>
        <v>12</v>
      </c>
    </row>
    <row r="67" spans="1:48">
      <c r="A67" s="144"/>
      <c r="B67" s="158"/>
      <c r="C67" s="166"/>
      <c r="D67" s="49">
        <f>INDEX(Parameters!$D$76:$D$87,MATCH(Inputs!A67,Parameters!$C$76:$C$87,0))</f>
        <v>12</v>
      </c>
    </row>
    <row r="68" spans="1:48">
      <c r="A68" s="144"/>
      <c r="B68" s="158"/>
      <c r="C68" s="166"/>
      <c r="D68" s="49">
        <f>INDEX(Parameters!$D$76:$D$87,MATCH(Inputs!A68,Parameters!$C$76:$C$87,0))</f>
        <v>12</v>
      </c>
    </row>
    <row r="69" spans="1:48">
      <c r="A69" s="144"/>
      <c r="B69" s="158"/>
      <c r="C69" s="166"/>
      <c r="D69" s="49">
        <f>INDEX(Parameters!$D$76:$D$87,MATCH(Inputs!A69,Parameters!$C$76:$C$87,0))</f>
        <v>12</v>
      </c>
    </row>
    <row r="70" spans="1:48">
      <c r="A70" s="144"/>
      <c r="B70" s="158"/>
      <c r="C70" s="166"/>
      <c r="D70" s="49">
        <f>INDEX(Parameters!$D$76:$D$87,MATCH(Inputs!A70,Parameters!$C$76:$C$87,0))</f>
        <v>12</v>
      </c>
    </row>
    <row r="71" spans="1:48">
      <c r="A71" s="145"/>
      <c r="B71" s="159"/>
      <c r="C71" s="168"/>
      <c r="D71" s="49">
        <f>INDEX(Parameters!$D$76:$D$87,MATCH(Inputs!A71,Parameters!$C$76:$C$87,0))</f>
        <v>12</v>
      </c>
    </row>
    <row r="73" spans="1:48">
      <c r="A73" s="3" t="s">
        <v>132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133</v>
      </c>
      <c r="B75" s="162">
        <v>10</v>
      </c>
    </row>
    <row r="76" spans="1:48">
      <c r="A76" t="s">
        <v>134</v>
      </c>
      <c r="B76" s="169" t="s">
        <v>135</v>
      </c>
    </row>
    <row r="78" spans="1:48" customHeight="1" ht="20.25">
      <c r="B78" s="128" t="s">
        <v>136</v>
      </c>
    </row>
    <row r="79" spans="1:48">
      <c r="A79" t="s">
        <v>137</v>
      </c>
      <c r="B79" s="169" t="s">
        <v>135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138</v>
      </c>
      <c r="B80" s="169" t="s">
        <v>135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139</v>
      </c>
      <c r="B81" s="162"/>
    </row>
    <row r="82" spans="1:48">
      <c r="A82" t="s">
        <v>140</v>
      </c>
      <c r="B82" s="162"/>
    </row>
    <row r="83" spans="1:48">
      <c r="A83" t="s">
        <v>141</v>
      </c>
      <c r="B83" s="170"/>
    </row>
    <row r="84" spans="1:48">
      <c r="A84" t="s">
        <v>142</v>
      </c>
      <c r="B84" s="170"/>
    </row>
    <row r="85" spans="1:48">
      <c r="A85" t="s">
        <v>143</v>
      </c>
      <c r="B85" s="170"/>
    </row>
    <row r="86" spans="1:48">
      <c r="A86" t="s">
        <v>144</v>
      </c>
      <c r="B86" s="162"/>
    </row>
    <row r="87" spans="1:48">
      <c r="A87" t="s">
        <v>145</v>
      </c>
      <c r="B87" s="1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3" priority="1">
      <formula>A7="Other crops"</formula>
    </cfRule>
  </conditionalFormatting>
  <conditionalFormatting sqref="D7:D11">
    <cfRule type="expression" dxfId="4" priority="2">
      <formula>$A7="Other crops"</formula>
    </cfRule>
  </conditionalFormatting>
  <conditionalFormatting sqref="L7:L11">
    <cfRule type="expression" dxfId="4" priority="3">
      <formula>$A7="Other crops"</formula>
    </cfRule>
  </conditionalFormatting>
  <conditionalFormatting sqref="K7:K11">
    <cfRule type="expression" dxfId="4" priority="4">
      <formula>$A7="Other crops"</formula>
    </cfRule>
  </conditionalFormatting>
  <conditionalFormatting sqref="B19:B21">
    <cfRule type="expression" dxfId="5" priority="5">
      <formula>$A19="Other animals"</formula>
    </cfRule>
  </conditionalFormatting>
  <conditionalFormatting sqref="H19:H21">
    <cfRule type="expression" dxfId="5" priority="6">
      <formula>$A19="Other animals"</formula>
    </cfRule>
  </conditionalFormatting>
  <conditionalFormatting sqref="E19:E21">
    <cfRule type="expression" dxfId="5" priority="7">
      <formula>$A19="Other animals"</formula>
    </cfRule>
  </conditionalFormatting>
  <conditionalFormatting sqref="G19:G21">
    <cfRule type="expression" dxfId="5" priority="8">
      <formula>$A19="Other animals"</formula>
    </cfRule>
  </conditionalFormatting>
  <conditionalFormatting sqref="B41:B42">
    <cfRule type="expression" dxfId="6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84"/>
  <sheetViews>
    <sheetView tabSelected="0" workbookViewId="0" zoomScale="90" zoomScaleNormal="90" showGridLines="false" showRowColHeaders="1">
      <selection activeCell="A25" sqref="A25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>
      <c r="B2" s="43"/>
      <c r="C2" s="43"/>
    </row>
    <row r="3" spans="1:46" customHeight="1" ht="28.5">
      <c r="A3" s="15" t="s">
        <v>72</v>
      </c>
      <c r="B3" s="15" t="s">
        <v>146</v>
      </c>
      <c r="C3" s="15" t="s">
        <v>147</v>
      </c>
      <c r="D3" s="15" t="s">
        <v>148</v>
      </c>
      <c r="E3" s="15" t="s">
        <v>149</v>
      </c>
      <c r="F3" s="15" t="s">
        <v>150</v>
      </c>
      <c r="G3" s="15" t="s">
        <v>151</v>
      </c>
      <c r="H3" s="15" t="s">
        <v>152</v>
      </c>
      <c r="I3" s="15" t="s">
        <v>153</v>
      </c>
      <c r="J3" s="15" t="s">
        <v>154</v>
      </c>
      <c r="K3" s="15" t="s">
        <v>155</v>
      </c>
      <c r="L3" s="15" t="s">
        <v>156</v>
      </c>
      <c r="M3" s="15" t="s">
        <v>157</v>
      </c>
      <c r="N3" s="15" t="s">
        <v>158</v>
      </c>
      <c r="O3" s="15" t="s">
        <v>159</v>
      </c>
      <c r="P3" s="15" t="s">
        <v>160</v>
      </c>
      <c r="Q3" s="32" t="s">
        <v>161</v>
      </c>
      <c r="R3" s="15" t="s">
        <v>162</v>
      </c>
      <c r="S3" s="15" t="s">
        <v>163</v>
      </c>
      <c r="T3" s="15" t="s">
        <v>164</v>
      </c>
      <c r="U3" s="179" t="s">
        <v>84</v>
      </c>
      <c r="V3" s="32" t="s">
        <v>165</v>
      </c>
      <c r="W3" s="32" t="s">
        <v>166</v>
      </c>
      <c r="X3" s="32" t="s">
        <v>167</v>
      </c>
      <c r="Y3" s="32" t="s">
        <v>168</v>
      </c>
      <c r="Z3" s="32" t="s">
        <v>40</v>
      </c>
      <c r="AA3" s="32" t="s">
        <v>169</v>
      </c>
      <c r="AB3" s="32" t="s">
        <v>170</v>
      </c>
      <c r="AC3" s="59">
        <f>Output!B3</f>
        <v>42614</v>
      </c>
      <c r="AD3" s="59">
        <f>Output!C3</f>
        <v>42644</v>
      </c>
      <c r="AE3" s="59">
        <f>Output!D3</f>
        <v>42675</v>
      </c>
      <c r="AF3" s="59">
        <f>Output!E3</f>
        <v>42705</v>
      </c>
      <c r="AG3" s="59">
        <f>Output!F3</f>
        <v>42736</v>
      </c>
      <c r="AH3" s="59">
        <f>Output!G3</f>
        <v>42767</v>
      </c>
      <c r="AI3" s="59">
        <f>Output!H3</f>
        <v>42795</v>
      </c>
      <c r="AJ3" s="59">
        <f>Output!I3</f>
        <v>42826</v>
      </c>
      <c r="AK3" s="59">
        <f>Output!J3</f>
        <v>42856</v>
      </c>
      <c r="AL3" s="59">
        <f>Output!K3</f>
        <v>42887</v>
      </c>
      <c r="AM3" s="59">
        <f>Output!L3</f>
        <v>42917</v>
      </c>
      <c r="AN3" s="59">
        <f>Output!M3</f>
        <v>42948</v>
      </c>
      <c r="AO3" s="59">
        <f>Output!N3</f>
        <v>42979</v>
      </c>
      <c r="AP3" s="59">
        <f>Output!O3</f>
        <v>43009</v>
      </c>
      <c r="AQ3" s="59">
        <f>Output!P3</f>
        <v>43040</v>
      </c>
      <c r="AR3" s="59">
        <f>Output!Q3</f>
        <v>43070</v>
      </c>
      <c r="AS3" s="59">
        <f>Output!R3</f>
        <v>43101</v>
      </c>
      <c r="AT3" s="59">
        <f>Output!S3</f>
        <v>43132</v>
      </c>
    </row>
    <row r="4" spans="1:46" s="21" customFormat="1">
      <c r="A4" s="20">
        <f>Inputs!A7</f>
        <v/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8" t="str">
        <f>IFERROR(VLOOKUP(Inputs!E7,Parameters!$J$74:$K$78,2,0),"")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/>
      </c>
      <c r="P4" s="22" t="str">
        <f>IFERROR(INDEX(Parameters!$A$3:$V$17,MATCH(Calculations!$A4,Parameters!$A$3:$A$17,0),MATCH($P$3,Parameters!$A$3:$V$3,0)),0)</f>
        <v/>
      </c>
      <c r="Q4" s="33">
        <f>M4*O4*(1-N4)*MAX(S4,1)</f>
        <v>0</v>
      </c>
      <c r="R4" s="22" t="str">
        <f>IFERROR(INDEX(Parameters!$A$3:$V$17,MATCH(Calculations!$A4,Parameters!$A$3:$A$17,0),MATCH($R$3,Parameters!$A$3:$V$3,0)),0)</f>
        <v/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0.083333333333333</v>
      </c>
      <c r="AD4" s="60">
        <f>IF($D4="",1/12,IFERROR(INDEX(Parameters!$X$2:$AI$17,MATCH(Calculations!$A4,Parameters!$A$2:$A$17,0),MATCH(MONTH(Calculations!AD$3),Parameters!$X$2:$AI$2,0)),1/12))</f>
        <v>0.083333333333333</v>
      </c>
      <c r="AE4" s="60">
        <f>IF($D4="",1/12,IFERROR(INDEX(Parameters!$X$2:$AI$17,MATCH(Calculations!$A4,Parameters!$A$2:$A$17,0),MATCH(MONTH(Calculations!AE$3),Parameters!$X$2:$AI$2,0)),1/12))</f>
        <v>0.083333333333333</v>
      </c>
      <c r="AF4" s="60">
        <f>IF($D4="",1/12,IFERROR(INDEX(Parameters!$X$2:$AI$17,MATCH(Calculations!$A4,Parameters!$A$2:$A$17,0),MATCH(MONTH(Calculations!AF$3),Parameters!$X$2:$AI$2,0)),1/12))</f>
        <v>0.083333333333333</v>
      </c>
      <c r="AG4" s="60">
        <f>IF($D4="",1/12,IFERROR(INDEX(Parameters!$X$2:$AI$17,MATCH(Calculations!$A4,Parameters!$A$2:$A$17,0),MATCH(MONTH(Calculations!AG$3),Parameters!$X$2:$AI$2,0)),1/12))</f>
        <v>0.083333333333333</v>
      </c>
      <c r="AH4" s="60">
        <f>IF($D4="",1/12,IFERROR(INDEX(Parameters!$X$2:$AI$17,MATCH(Calculations!$A4,Parameters!$A$2:$A$17,0),MATCH(MONTH(Calculations!AH$3),Parameters!$X$2:$AI$2,0)),1/12))</f>
        <v>0.083333333333333</v>
      </c>
      <c r="AI4" s="60">
        <f>IF($D4="",1/12,IFERROR(INDEX(Parameters!$X$2:$AI$17,MATCH(Calculations!$A4,Parameters!$A$2:$A$17,0),MATCH(MONTH(Calculations!AI$3),Parameters!$X$2:$AI$2,0)),1/12))</f>
        <v>0.083333333333333</v>
      </c>
      <c r="AJ4" s="60">
        <f>IF($D4="",1/12,IFERROR(INDEX(Parameters!$X$2:$AI$17,MATCH(Calculations!$A4,Parameters!$A$2:$A$17,0),MATCH(MONTH(Calculations!AJ$3),Parameters!$X$2:$AI$2,0)),1/12))</f>
        <v>0.083333333333333</v>
      </c>
      <c r="AK4" s="60">
        <f>IF($D4="",1/12,IFERROR(INDEX(Parameters!$X$2:$AI$17,MATCH(Calculations!$A4,Parameters!$A$2:$A$17,0),MATCH(MONTH(Calculations!AK$3),Parameters!$X$2:$AI$2,0)),1/12))</f>
        <v>0.083333333333333</v>
      </c>
      <c r="AL4" s="60">
        <f>IF($D4="",1/12,IFERROR(INDEX(Parameters!$X$2:$AI$17,MATCH(Calculations!$A4,Parameters!$A$2:$A$17,0),MATCH(MONTH(Calculations!AL$3),Parameters!$X$2:$AI$2,0)),1/12))</f>
        <v>0.083333333333333</v>
      </c>
      <c r="AM4" s="60">
        <f>IF($D4="",1/12,IFERROR(INDEX(Parameters!$X$2:$AI$17,MATCH(Calculations!$A4,Parameters!$A$2:$A$17,0),MATCH(MONTH(Calculations!AM$3),Parameters!$X$2:$AI$2,0)),1/12))</f>
        <v>0.083333333333333</v>
      </c>
      <c r="AN4" s="60">
        <f>IF($D4="",1/12,IFERROR(INDEX(Parameters!$X$2:$AI$17,MATCH(Calculations!$A4,Parameters!$A$2:$A$17,0),MATCH(MONTH(Calculations!AN$3),Parameters!$X$2:$AI$2,0)),1/12))</f>
        <v>0.083333333333333</v>
      </c>
      <c r="AO4" s="60">
        <f>IF($D4="",1/12,IFERROR(INDEX(Parameters!$X$2:$AI$17,MATCH(Calculations!$A4,Parameters!$A$2:$A$17,0),MATCH(MONTH(Calculations!AO$3),Parameters!$X$2:$AI$2,0)),1/12))</f>
        <v>0.083333333333333</v>
      </c>
      <c r="AP4" s="60">
        <f>IF($D4="",1/12,IFERROR(INDEX(Parameters!$X$2:$AI$17,MATCH(Calculations!$A4,Parameters!$A$2:$A$17,0),MATCH(MONTH(Calculations!AP$3),Parameters!$X$2:$AI$2,0)),1/12))</f>
        <v>0.083333333333333</v>
      </c>
      <c r="AQ4" s="60">
        <f>IF($D4="",1/12,IFERROR(INDEX(Parameters!$X$2:$AI$17,MATCH(Calculations!$A4,Parameters!$A$2:$A$17,0),MATCH(MONTH(Calculations!AQ$3),Parameters!$X$2:$AI$2,0)),1/12))</f>
        <v>0.083333333333333</v>
      </c>
      <c r="AR4" s="60">
        <f>IF($D4="",1/12,IFERROR(INDEX(Parameters!$X$2:$AI$17,MATCH(Calculations!$A4,Parameters!$A$2:$A$17,0),MATCH(MONTH(Calculations!AR$3),Parameters!$X$2:$AI$2,0)),1/12))</f>
        <v>0.083333333333333</v>
      </c>
      <c r="AS4" s="60">
        <f>IF($D4="",1/12,IFERROR(INDEX(Parameters!$X$2:$AI$17,MATCH(Calculations!$A4,Parameters!$A$2:$A$17,0),MATCH(MONTH(Calculations!AS$3),Parameters!$X$2:$AI$2,0)),1/12))</f>
        <v>0.083333333333333</v>
      </c>
      <c r="AT4" s="60">
        <f>IF($D4="",1/12,IFERROR(INDEX(Parameters!$X$2:$AI$17,MATCH(Calculations!$A4,Parameters!$A$2:$A$17,0),MATCH(MONTH(Calculations!AT$3),Parameters!$X$2:$AI$2,0)),1/12))</f>
        <v>0.083333333333333</v>
      </c>
    </row>
    <row r="5" spans="1:46" s="21" customFormat="1">
      <c r="A5" s="16">
        <f>Inputs!A8</f>
        <v/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9" t="str">
        <f>IFERROR(VLOOKUP(Inputs!E8,Parameters!$J$74:$K$78,2,0),"")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/>
      </c>
      <c r="P5" s="22" t="str">
        <f>IFERROR(INDEX(Parameters!$A$3:$V$17,MATCH(Calculations!$A5,Parameters!$A$3:$A$17,0),MATCH($P$3,Parameters!$A$3:$V$3,0)),0)</f>
        <v/>
      </c>
      <c r="Q5" s="34">
        <f>M5*O5*(1-N5)*MAX(S5,1)</f>
        <v>0</v>
      </c>
      <c r="R5" s="22" t="str">
        <f>IFERROR(INDEX(Parameters!$A$3:$V$17,MATCH(Calculations!$A5,Parameters!$A$3:$A$17,0),MATCH($R$3,Parameters!$A$3:$V$3,0)),0)</f>
        <v/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0.083333333333333</v>
      </c>
      <c r="AD5" s="22">
        <f>IF($D5="",1/12,IFERROR(INDEX(Parameters!$X$2:$AI$17,MATCH(Calculations!$A5,Parameters!$A$2:$A$17,0),MATCH(MONTH(Calculations!AD$3),Parameters!$X$2:$AI$2,0)),1/12))</f>
        <v>0.083333333333333</v>
      </c>
      <c r="AE5" s="22">
        <f>IF($D5="",1/12,IFERROR(INDEX(Parameters!$X$2:$AI$17,MATCH(Calculations!$A5,Parameters!$A$2:$A$17,0),MATCH(MONTH(Calculations!AE$3),Parameters!$X$2:$AI$2,0)),1/12))</f>
        <v>0.083333333333333</v>
      </c>
      <c r="AF5" s="22">
        <f>IF($D5="",1/12,IFERROR(INDEX(Parameters!$X$2:$AI$17,MATCH(Calculations!$A5,Parameters!$A$2:$A$17,0),MATCH(MONTH(Calculations!AF$3),Parameters!$X$2:$AI$2,0)),1/12))</f>
        <v>0.083333333333333</v>
      </c>
      <c r="AG5" s="22">
        <f>IF($D5="",1/12,IFERROR(INDEX(Parameters!$X$2:$AI$17,MATCH(Calculations!$A5,Parameters!$A$2:$A$17,0),MATCH(MONTH(Calculations!AG$3),Parameters!$X$2:$AI$2,0)),1/12))</f>
        <v>0.083333333333333</v>
      </c>
      <c r="AH5" s="22">
        <f>IF($D5="",1/12,IFERROR(INDEX(Parameters!$X$2:$AI$17,MATCH(Calculations!$A5,Parameters!$A$2:$A$17,0),MATCH(MONTH(Calculations!AH$3),Parameters!$X$2:$AI$2,0)),1/12))</f>
        <v>0.083333333333333</v>
      </c>
      <c r="AI5" s="22">
        <f>IF($D5="",1/12,IFERROR(INDEX(Parameters!$X$2:$AI$17,MATCH(Calculations!$A5,Parameters!$A$2:$A$17,0),MATCH(MONTH(Calculations!AI$3),Parameters!$X$2:$AI$2,0)),1/12))</f>
        <v>0.083333333333333</v>
      </c>
      <c r="AJ5" s="22">
        <f>IF($D5="",1/12,IFERROR(INDEX(Parameters!$X$2:$AI$17,MATCH(Calculations!$A5,Parameters!$A$2:$A$17,0),MATCH(MONTH(Calculations!AJ$3),Parameters!$X$2:$AI$2,0)),1/12))</f>
        <v>0.083333333333333</v>
      </c>
      <c r="AK5" s="22">
        <f>IF($D5="",1/12,IFERROR(INDEX(Parameters!$X$2:$AI$17,MATCH(Calculations!$A5,Parameters!$A$2:$A$17,0),MATCH(MONTH(Calculations!AK$3),Parameters!$X$2:$AI$2,0)),1/12))</f>
        <v>0.083333333333333</v>
      </c>
      <c r="AL5" s="22">
        <f>IF($D5="",1/12,IFERROR(INDEX(Parameters!$X$2:$AI$17,MATCH(Calculations!$A5,Parameters!$A$2:$A$17,0),MATCH(MONTH(Calculations!AL$3),Parameters!$X$2:$AI$2,0)),1/12))</f>
        <v>0.083333333333333</v>
      </c>
      <c r="AM5" s="22">
        <f>IF($D5="",1/12,IFERROR(INDEX(Parameters!$X$2:$AI$17,MATCH(Calculations!$A5,Parameters!$A$2:$A$17,0),MATCH(MONTH(Calculations!AM$3),Parameters!$X$2:$AI$2,0)),1/12))</f>
        <v>0.083333333333333</v>
      </c>
      <c r="AN5" s="22">
        <f>IF($D5="",1/12,IFERROR(INDEX(Parameters!$X$2:$AI$17,MATCH(Calculations!$A5,Parameters!$A$2:$A$17,0),MATCH(MONTH(Calculations!AN$3),Parameters!$X$2:$AI$2,0)),1/12))</f>
        <v>0.083333333333333</v>
      </c>
      <c r="AO5" s="22">
        <f>IF($D5="",1/12,IFERROR(INDEX(Parameters!$X$2:$AI$17,MATCH(Calculations!$A5,Parameters!$A$2:$A$17,0),MATCH(MONTH(Calculations!AO$3),Parameters!$X$2:$AI$2,0)),1/12))</f>
        <v>0.083333333333333</v>
      </c>
      <c r="AP5" s="22">
        <f>IF($D5="",1/12,IFERROR(INDEX(Parameters!$X$2:$AI$17,MATCH(Calculations!$A5,Parameters!$A$2:$A$17,0),MATCH(MONTH(Calculations!AP$3),Parameters!$X$2:$AI$2,0)),1/12))</f>
        <v>0.083333333333333</v>
      </c>
      <c r="AQ5" s="22">
        <f>IF($D5="",1/12,IFERROR(INDEX(Parameters!$X$2:$AI$17,MATCH(Calculations!$A5,Parameters!$A$2:$A$17,0),MATCH(MONTH(Calculations!AQ$3),Parameters!$X$2:$AI$2,0)),1/12))</f>
        <v>0.083333333333333</v>
      </c>
      <c r="AR5" s="22">
        <f>IF($D5="",1/12,IFERROR(INDEX(Parameters!$X$2:$AI$17,MATCH(Calculations!$A5,Parameters!$A$2:$A$17,0),MATCH(MONTH(Calculations!AR$3),Parameters!$X$2:$AI$2,0)),1/12))</f>
        <v>0.083333333333333</v>
      </c>
      <c r="AS5" s="22">
        <f>IF($D5="",1/12,IFERROR(INDEX(Parameters!$X$2:$AI$17,MATCH(Calculations!$A5,Parameters!$A$2:$A$17,0),MATCH(MONTH(Calculations!AS$3),Parameters!$X$2:$AI$2,0)),1/12))</f>
        <v>0.083333333333333</v>
      </c>
      <c r="AT5" s="22">
        <f>IF($D5="",1/12,IFERROR(INDEX(Parameters!$X$2:$AI$17,MATCH(Calculations!$A5,Parameters!$A$2:$A$17,0),MATCH(MONTH(Calculations!AT$3),Parameters!$X$2:$AI$2,0)),1/12))</f>
        <v>0.083333333333333</v>
      </c>
    </row>
    <row r="6" spans="1:46" s="21" customFormat="1">
      <c r="A6" s="16">
        <f>Inputs!A9</f>
        <v/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9" t="str">
        <f>IFERROR(VLOOKUP(Inputs!E9,Parameters!$J$74:$K$78,2,0),"")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/>
      </c>
      <c r="P6" s="22" t="str">
        <f>IFERROR(INDEX(Parameters!$A$3:$V$17,MATCH(Calculations!$A6,Parameters!$A$3:$A$17,0),MATCH($P$3,Parameters!$A$3:$V$3,0)),0)</f>
        <v/>
      </c>
      <c r="Q6" s="34">
        <f>M6*O6*(1-N6)*MAX(S6,1)</f>
        <v>0</v>
      </c>
      <c r="R6" s="22" t="str">
        <f>IFERROR(INDEX(Parameters!$A$3:$V$17,MATCH(Calculations!$A6,Parameters!$A$3:$A$17,0),MATCH($R$3,Parameters!$A$3:$V$3,0)),0)</f>
        <v/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0.083333333333333</v>
      </c>
      <c r="AD6" s="22">
        <f>IF($D6="",1/12,IFERROR(INDEX(Parameters!$X$2:$AI$17,MATCH(Calculations!$A6,Parameters!$A$2:$A$17,0),MATCH(MONTH(Calculations!AD$3),Parameters!$X$2:$AI$2,0)),1/12))</f>
        <v>0.083333333333333</v>
      </c>
      <c r="AE6" s="22">
        <f>IF($D6="",1/12,IFERROR(INDEX(Parameters!$X$2:$AI$17,MATCH(Calculations!$A6,Parameters!$A$2:$A$17,0),MATCH(MONTH(Calculations!AE$3),Parameters!$X$2:$AI$2,0)),1/12))</f>
        <v>0.083333333333333</v>
      </c>
      <c r="AF6" s="22">
        <f>IF($D6="",1/12,IFERROR(INDEX(Parameters!$X$2:$AI$17,MATCH(Calculations!$A6,Parameters!$A$2:$A$17,0),MATCH(MONTH(Calculations!AF$3),Parameters!$X$2:$AI$2,0)),1/12))</f>
        <v>0.083333333333333</v>
      </c>
      <c r="AG6" s="22">
        <f>IF($D6="",1/12,IFERROR(INDEX(Parameters!$X$2:$AI$17,MATCH(Calculations!$A6,Parameters!$A$2:$A$17,0),MATCH(MONTH(Calculations!AG$3),Parameters!$X$2:$AI$2,0)),1/12))</f>
        <v>0.083333333333333</v>
      </c>
      <c r="AH6" s="22">
        <f>IF($D6="",1/12,IFERROR(INDEX(Parameters!$X$2:$AI$17,MATCH(Calculations!$A6,Parameters!$A$2:$A$17,0),MATCH(MONTH(Calculations!AH$3),Parameters!$X$2:$AI$2,0)),1/12))</f>
        <v>0.083333333333333</v>
      </c>
      <c r="AI6" s="22">
        <f>IF($D6="",1/12,IFERROR(INDEX(Parameters!$X$2:$AI$17,MATCH(Calculations!$A6,Parameters!$A$2:$A$17,0),MATCH(MONTH(Calculations!AI$3),Parameters!$X$2:$AI$2,0)),1/12))</f>
        <v>0.083333333333333</v>
      </c>
      <c r="AJ6" s="22">
        <f>IF($D6="",1/12,IFERROR(INDEX(Parameters!$X$2:$AI$17,MATCH(Calculations!$A6,Parameters!$A$2:$A$17,0),MATCH(MONTH(Calculations!AJ$3),Parameters!$X$2:$AI$2,0)),1/12))</f>
        <v>0.083333333333333</v>
      </c>
      <c r="AK6" s="22">
        <f>IF($D6="",1/12,IFERROR(INDEX(Parameters!$X$2:$AI$17,MATCH(Calculations!$A6,Parameters!$A$2:$A$17,0),MATCH(MONTH(Calculations!AK$3),Parameters!$X$2:$AI$2,0)),1/12))</f>
        <v>0.083333333333333</v>
      </c>
      <c r="AL6" s="22">
        <f>IF($D6="",1/12,IFERROR(INDEX(Parameters!$X$2:$AI$17,MATCH(Calculations!$A6,Parameters!$A$2:$A$17,0),MATCH(MONTH(Calculations!AL$3),Parameters!$X$2:$AI$2,0)),1/12))</f>
        <v>0.083333333333333</v>
      </c>
      <c r="AM6" s="22">
        <f>IF($D6="",1/12,IFERROR(INDEX(Parameters!$X$2:$AI$17,MATCH(Calculations!$A6,Parameters!$A$2:$A$17,0),MATCH(MONTH(Calculations!AM$3),Parameters!$X$2:$AI$2,0)),1/12))</f>
        <v>0.083333333333333</v>
      </c>
      <c r="AN6" s="22">
        <f>IF($D6="",1/12,IFERROR(INDEX(Parameters!$X$2:$AI$17,MATCH(Calculations!$A6,Parameters!$A$2:$A$17,0),MATCH(MONTH(Calculations!AN$3),Parameters!$X$2:$AI$2,0)),1/12))</f>
        <v>0.083333333333333</v>
      </c>
      <c r="AO6" s="22">
        <f>IF($D6="",1/12,IFERROR(INDEX(Parameters!$X$2:$AI$17,MATCH(Calculations!$A6,Parameters!$A$2:$A$17,0),MATCH(MONTH(Calculations!AO$3),Parameters!$X$2:$AI$2,0)),1/12))</f>
        <v>0.083333333333333</v>
      </c>
      <c r="AP6" s="22">
        <f>IF($D6="",1/12,IFERROR(INDEX(Parameters!$X$2:$AI$17,MATCH(Calculations!$A6,Parameters!$A$2:$A$17,0),MATCH(MONTH(Calculations!AP$3),Parameters!$X$2:$AI$2,0)),1/12))</f>
        <v>0.083333333333333</v>
      </c>
      <c r="AQ6" s="22">
        <f>IF($D6="",1/12,IFERROR(INDEX(Parameters!$X$2:$AI$17,MATCH(Calculations!$A6,Parameters!$A$2:$A$17,0),MATCH(MONTH(Calculations!AQ$3),Parameters!$X$2:$AI$2,0)),1/12))</f>
        <v>0.083333333333333</v>
      </c>
      <c r="AR6" s="22">
        <f>IF($D6="",1/12,IFERROR(INDEX(Parameters!$X$2:$AI$17,MATCH(Calculations!$A6,Parameters!$A$2:$A$17,0),MATCH(MONTH(Calculations!AR$3),Parameters!$X$2:$AI$2,0)),1/12))</f>
        <v>0.083333333333333</v>
      </c>
      <c r="AS6" s="22">
        <f>IF($D6="",1/12,IFERROR(INDEX(Parameters!$X$2:$AI$17,MATCH(Calculations!$A6,Parameters!$A$2:$A$17,0),MATCH(MONTH(Calculations!AS$3),Parameters!$X$2:$AI$2,0)),1/12))</f>
        <v>0.083333333333333</v>
      </c>
      <c r="AT6" s="22">
        <f>IF($D6="",1/12,IFERROR(INDEX(Parameters!$X$2:$AI$17,MATCH(Calculations!$A6,Parameters!$A$2:$A$17,0),MATCH(MONTH(Calculations!AT$3),Parameters!$X$2:$AI$2,0)),1/12))</f>
        <v>0.083333333333333</v>
      </c>
    </row>
    <row r="7" spans="1:46" s="21" customFormat="1">
      <c r="A7" s="16">
        <f>Inputs!A10</f>
        <v/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9" t="str">
        <f>IFERROR(VLOOKUP(Inputs!E10,Parameters!$J$74:$K$78,2,0),"")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/>
      </c>
      <c r="P7" s="22" t="str">
        <f>IFERROR(INDEX(Parameters!$A$3:$V$17,MATCH(Calculations!$A7,Parameters!$A$3:$A$17,0),MATCH($P$3,Parameters!$A$3:$V$3,0)),0)</f>
        <v/>
      </c>
      <c r="Q7" s="34">
        <f>M7*O7*(1-N7)*MAX(S7,1)</f>
        <v>0</v>
      </c>
      <c r="R7" s="22" t="str">
        <f>IFERROR(INDEX(Parameters!$A$3:$V$17,MATCH(Calculations!$A7,Parameters!$A$3:$A$17,0),MATCH($R$3,Parameters!$A$3:$V$3,0)),0)</f>
        <v/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0.083333333333333</v>
      </c>
      <c r="AD7" s="22">
        <f>IF($D7="",1/12,IFERROR(INDEX(Parameters!$X$2:$AI$17,MATCH(Calculations!$A7,Parameters!$A$2:$A$17,0),MATCH(MONTH(Calculations!AD$3),Parameters!$X$2:$AI$2,0)),1/12))</f>
        <v>0.083333333333333</v>
      </c>
      <c r="AE7" s="22">
        <f>IF($D7="",1/12,IFERROR(INDEX(Parameters!$X$2:$AI$17,MATCH(Calculations!$A7,Parameters!$A$2:$A$17,0),MATCH(MONTH(Calculations!AE$3),Parameters!$X$2:$AI$2,0)),1/12))</f>
        <v>0.083333333333333</v>
      </c>
      <c r="AF7" s="22">
        <f>IF($D7="",1/12,IFERROR(INDEX(Parameters!$X$2:$AI$17,MATCH(Calculations!$A7,Parameters!$A$2:$A$17,0),MATCH(MONTH(Calculations!AF$3),Parameters!$X$2:$AI$2,0)),1/12))</f>
        <v>0.083333333333333</v>
      </c>
      <c r="AG7" s="22">
        <f>IF($D7="",1/12,IFERROR(INDEX(Parameters!$X$2:$AI$17,MATCH(Calculations!$A7,Parameters!$A$2:$A$17,0),MATCH(MONTH(Calculations!AG$3),Parameters!$X$2:$AI$2,0)),1/12))</f>
        <v>0.083333333333333</v>
      </c>
      <c r="AH7" s="22">
        <f>IF($D7="",1/12,IFERROR(INDEX(Parameters!$X$2:$AI$17,MATCH(Calculations!$A7,Parameters!$A$2:$A$17,0),MATCH(MONTH(Calculations!AH$3),Parameters!$X$2:$AI$2,0)),1/12))</f>
        <v>0.083333333333333</v>
      </c>
      <c r="AI7" s="22">
        <f>IF($D7="",1/12,IFERROR(INDEX(Parameters!$X$2:$AI$17,MATCH(Calculations!$A7,Parameters!$A$2:$A$17,0),MATCH(MONTH(Calculations!AI$3),Parameters!$X$2:$AI$2,0)),1/12))</f>
        <v>0.083333333333333</v>
      </c>
      <c r="AJ7" s="22">
        <f>IF($D7="",1/12,IFERROR(INDEX(Parameters!$X$2:$AI$17,MATCH(Calculations!$A7,Parameters!$A$2:$A$17,0),MATCH(MONTH(Calculations!AJ$3),Parameters!$X$2:$AI$2,0)),1/12))</f>
        <v>0.083333333333333</v>
      </c>
      <c r="AK7" s="22">
        <f>IF($D7="",1/12,IFERROR(INDEX(Parameters!$X$2:$AI$17,MATCH(Calculations!$A7,Parameters!$A$2:$A$17,0),MATCH(MONTH(Calculations!AK$3),Parameters!$X$2:$AI$2,0)),1/12))</f>
        <v>0.083333333333333</v>
      </c>
      <c r="AL7" s="22">
        <f>IF($D7="",1/12,IFERROR(INDEX(Parameters!$X$2:$AI$17,MATCH(Calculations!$A7,Parameters!$A$2:$A$17,0),MATCH(MONTH(Calculations!AL$3),Parameters!$X$2:$AI$2,0)),1/12))</f>
        <v>0.083333333333333</v>
      </c>
      <c r="AM7" s="22">
        <f>IF($D7="",1/12,IFERROR(INDEX(Parameters!$X$2:$AI$17,MATCH(Calculations!$A7,Parameters!$A$2:$A$17,0),MATCH(MONTH(Calculations!AM$3),Parameters!$X$2:$AI$2,0)),1/12))</f>
        <v>0.083333333333333</v>
      </c>
      <c r="AN7" s="22">
        <f>IF($D7="",1/12,IFERROR(INDEX(Parameters!$X$2:$AI$17,MATCH(Calculations!$A7,Parameters!$A$2:$A$17,0),MATCH(MONTH(Calculations!AN$3),Parameters!$X$2:$AI$2,0)),1/12))</f>
        <v>0.083333333333333</v>
      </c>
      <c r="AO7" s="22">
        <f>IF($D7="",1/12,IFERROR(INDEX(Parameters!$X$2:$AI$17,MATCH(Calculations!$A7,Parameters!$A$2:$A$17,0),MATCH(MONTH(Calculations!AO$3),Parameters!$X$2:$AI$2,0)),1/12))</f>
        <v>0.083333333333333</v>
      </c>
      <c r="AP7" s="22">
        <f>IF($D7="",1/12,IFERROR(INDEX(Parameters!$X$2:$AI$17,MATCH(Calculations!$A7,Parameters!$A$2:$A$17,0),MATCH(MONTH(Calculations!AP$3),Parameters!$X$2:$AI$2,0)),1/12))</f>
        <v>0.083333333333333</v>
      </c>
      <c r="AQ7" s="22">
        <f>IF($D7="",1/12,IFERROR(INDEX(Parameters!$X$2:$AI$17,MATCH(Calculations!$A7,Parameters!$A$2:$A$17,0),MATCH(MONTH(Calculations!AQ$3),Parameters!$X$2:$AI$2,0)),1/12))</f>
        <v>0.083333333333333</v>
      </c>
      <c r="AR7" s="22">
        <f>IF($D7="",1/12,IFERROR(INDEX(Parameters!$X$2:$AI$17,MATCH(Calculations!$A7,Parameters!$A$2:$A$17,0),MATCH(MONTH(Calculations!AR$3),Parameters!$X$2:$AI$2,0)),1/12))</f>
        <v>0.083333333333333</v>
      </c>
      <c r="AS7" s="22">
        <f>IF($D7="",1/12,IFERROR(INDEX(Parameters!$X$2:$AI$17,MATCH(Calculations!$A7,Parameters!$A$2:$A$17,0),MATCH(MONTH(Calculations!AS$3),Parameters!$X$2:$AI$2,0)),1/12))</f>
        <v>0.083333333333333</v>
      </c>
      <c r="AT7" s="22">
        <f>IF($D7="",1/12,IFERROR(INDEX(Parameters!$X$2:$AI$17,MATCH(Calculations!$A7,Parameters!$A$2:$A$17,0),MATCH(MONTH(Calculations!AT$3),Parameters!$X$2:$AI$2,0)),1/12))</f>
        <v>0.083333333333333</v>
      </c>
    </row>
    <row r="8" spans="1:46" s="21" customFormat="1">
      <c r="A8" s="23">
        <f>Inputs!A11</f>
        <v/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20" t="str">
        <f>IFERROR(VLOOKUP(Inputs!E11,Parameters!$J$74:$K$78,2,0),"")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/>
      </c>
      <c r="P8" s="24" t="str">
        <f>IFERROR(INDEX(Parameters!$A$3:$V$17,MATCH(Calculations!$A8,Parameters!$A$3:$A$17,0),MATCH($P$3,Parameters!$A$3:$V$3,0)),0)</f>
        <v/>
      </c>
      <c r="Q8" s="35">
        <f>M8*O8*(1-N8)*MAX(S8,1)</f>
        <v>0</v>
      </c>
      <c r="R8" s="24" t="str">
        <f>IFERROR(INDEX(Parameters!$A$3:$V$17,MATCH(Calculations!$A8,Parameters!$A$3:$A$17,0),MATCH($R$3,Parameters!$A$3:$V$3,0)),0)</f>
        <v/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0.083333333333333</v>
      </c>
      <c r="AD8" s="24">
        <f>IF($D8="",1/12,IFERROR(INDEX(Parameters!$X$2:$AI$17,MATCH(Calculations!$A8,Parameters!$A$2:$A$17,0),MATCH(MONTH(Calculations!AD$3),Parameters!$X$2:$AI$2,0)),1/12))</f>
        <v>0.083333333333333</v>
      </c>
      <c r="AE8" s="24">
        <f>IF($D8="",1/12,IFERROR(INDEX(Parameters!$X$2:$AI$17,MATCH(Calculations!$A8,Parameters!$A$2:$A$17,0),MATCH(MONTH(Calculations!AE$3),Parameters!$X$2:$AI$2,0)),1/12))</f>
        <v>0.083333333333333</v>
      </c>
      <c r="AF8" s="24">
        <f>IF($D8="",1/12,IFERROR(INDEX(Parameters!$X$2:$AI$17,MATCH(Calculations!$A8,Parameters!$A$2:$A$17,0),MATCH(MONTH(Calculations!AF$3),Parameters!$X$2:$AI$2,0)),1/12))</f>
        <v>0.083333333333333</v>
      </c>
      <c r="AG8" s="24">
        <f>IF($D8="",1/12,IFERROR(INDEX(Parameters!$X$2:$AI$17,MATCH(Calculations!$A8,Parameters!$A$2:$A$17,0),MATCH(MONTH(Calculations!AG$3),Parameters!$X$2:$AI$2,0)),1/12))</f>
        <v>0.083333333333333</v>
      </c>
      <c r="AH8" s="24">
        <f>IF($D8="",1/12,IFERROR(INDEX(Parameters!$X$2:$AI$17,MATCH(Calculations!$A8,Parameters!$A$2:$A$17,0),MATCH(MONTH(Calculations!AH$3),Parameters!$X$2:$AI$2,0)),1/12))</f>
        <v>0.083333333333333</v>
      </c>
      <c r="AI8" s="24">
        <f>IF($D8="",1/12,IFERROR(INDEX(Parameters!$X$2:$AI$17,MATCH(Calculations!$A8,Parameters!$A$2:$A$17,0),MATCH(MONTH(Calculations!AI$3),Parameters!$X$2:$AI$2,0)),1/12))</f>
        <v>0.083333333333333</v>
      </c>
      <c r="AJ8" s="24">
        <f>IF($D8="",1/12,IFERROR(INDEX(Parameters!$X$2:$AI$17,MATCH(Calculations!$A8,Parameters!$A$2:$A$17,0),MATCH(MONTH(Calculations!AJ$3),Parameters!$X$2:$AI$2,0)),1/12))</f>
        <v>0.083333333333333</v>
      </c>
      <c r="AK8" s="24">
        <f>IF($D8="",1/12,IFERROR(INDEX(Parameters!$X$2:$AI$17,MATCH(Calculations!$A8,Parameters!$A$2:$A$17,0),MATCH(MONTH(Calculations!AK$3),Parameters!$X$2:$AI$2,0)),1/12))</f>
        <v>0.083333333333333</v>
      </c>
      <c r="AL8" s="24">
        <f>IF($D8="",1/12,IFERROR(INDEX(Parameters!$X$2:$AI$17,MATCH(Calculations!$A8,Parameters!$A$2:$A$17,0),MATCH(MONTH(Calculations!AL$3),Parameters!$X$2:$AI$2,0)),1/12))</f>
        <v>0.083333333333333</v>
      </c>
      <c r="AM8" s="24">
        <f>IF($D8="",1/12,IFERROR(INDEX(Parameters!$X$2:$AI$17,MATCH(Calculations!$A8,Parameters!$A$2:$A$17,0),MATCH(MONTH(Calculations!AM$3),Parameters!$X$2:$AI$2,0)),1/12))</f>
        <v>0.083333333333333</v>
      </c>
      <c r="AN8" s="24">
        <f>IF($D8="",1/12,IFERROR(INDEX(Parameters!$X$2:$AI$17,MATCH(Calculations!$A8,Parameters!$A$2:$A$17,0),MATCH(MONTH(Calculations!AN$3),Parameters!$X$2:$AI$2,0)),1/12))</f>
        <v>0.083333333333333</v>
      </c>
      <c r="AO8" s="24">
        <f>IF($D8="",1/12,IFERROR(INDEX(Parameters!$X$2:$AI$17,MATCH(Calculations!$A8,Parameters!$A$2:$A$17,0),MATCH(MONTH(Calculations!AO$3),Parameters!$X$2:$AI$2,0)),1/12))</f>
        <v>0.083333333333333</v>
      </c>
      <c r="AP8" s="24">
        <f>IF($D8="",1/12,IFERROR(INDEX(Parameters!$X$2:$AI$17,MATCH(Calculations!$A8,Parameters!$A$2:$A$17,0),MATCH(MONTH(Calculations!AP$3),Parameters!$X$2:$AI$2,0)),1/12))</f>
        <v>0.083333333333333</v>
      </c>
      <c r="AQ8" s="24">
        <f>IF($D8="",1/12,IFERROR(INDEX(Parameters!$X$2:$AI$17,MATCH(Calculations!$A8,Parameters!$A$2:$A$17,0),MATCH(MONTH(Calculations!AQ$3),Parameters!$X$2:$AI$2,0)),1/12))</f>
        <v>0.083333333333333</v>
      </c>
      <c r="AR8" s="24">
        <f>IF($D8="",1/12,IFERROR(INDEX(Parameters!$X$2:$AI$17,MATCH(Calculations!$A8,Parameters!$A$2:$A$17,0),MATCH(MONTH(Calculations!AR$3),Parameters!$X$2:$AI$2,0)),1/12))</f>
        <v>0.083333333333333</v>
      </c>
      <c r="AS8" s="24">
        <f>IF($D8="",1/12,IFERROR(INDEX(Parameters!$X$2:$AI$17,MATCH(Calculations!$A8,Parameters!$A$2:$A$17,0),MATCH(MONTH(Calculations!AS$3),Parameters!$X$2:$AI$2,0)),1/12))</f>
        <v>0.083333333333333</v>
      </c>
      <c r="AT8" s="24">
        <f>IF($D8="",1/12,IFERROR(INDEX(Parameters!$X$2:$AI$17,MATCH(Calculations!$A8,Parameters!$A$2:$A$17,0),MATCH(MONTH(Calculations!AT$3),Parameters!$X$2:$AI$2,0)),1/12))</f>
        <v>0.083333333333333</v>
      </c>
    </row>
    <row r="9" spans="1:46">
      <c r="B9" s="43"/>
      <c r="C9" s="43"/>
      <c r="M9" s="30"/>
    </row>
    <row r="10" spans="1:46">
      <c r="B10" s="43"/>
      <c r="C10" s="43"/>
      <c r="M10" s="30"/>
    </row>
    <row r="11" spans="1:46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>
      <c r="B12" s="43"/>
      <c r="C12" s="43"/>
    </row>
    <row r="13" spans="1:46" customHeight="1" ht="60">
      <c r="A13" s="15" t="s">
        <v>87</v>
      </c>
      <c r="B13" s="15" t="s">
        <v>32</v>
      </c>
      <c r="C13" s="15" t="s">
        <v>171</v>
      </c>
      <c r="D13" s="15" t="s">
        <v>172</v>
      </c>
      <c r="E13" s="15" t="s">
        <v>173</v>
      </c>
      <c r="F13" s="15" t="s">
        <v>174</v>
      </c>
      <c r="G13" s="15" t="s">
        <v>175</v>
      </c>
      <c r="H13" s="15" t="s">
        <v>176</v>
      </c>
      <c r="I13" s="15" t="s">
        <v>177</v>
      </c>
      <c r="J13" s="15" t="s">
        <v>178</v>
      </c>
      <c r="K13" s="15" t="s">
        <v>179</v>
      </c>
      <c r="L13" s="15" t="s">
        <v>180</v>
      </c>
      <c r="M13" s="179" t="s">
        <v>181</v>
      </c>
      <c r="N13" s="179" t="s">
        <v>182</v>
      </c>
      <c r="O13" s="62" t="s">
        <v>183</v>
      </c>
      <c r="P13" s="62" t="s">
        <v>184</v>
      </c>
      <c r="Q13" s="62" t="s">
        <v>185</v>
      </c>
      <c r="R13" s="62" t="s">
        <v>186</v>
      </c>
      <c r="S13" s="62" t="s">
        <v>187</v>
      </c>
    </row>
    <row r="14" spans="1:46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46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46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46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6">
      <c r="B18" s="43"/>
      <c r="C18" s="43"/>
    </row>
    <row r="19" spans="1:46">
      <c r="B19" s="43"/>
      <c r="C19" s="43"/>
    </row>
    <row r="20" spans="1:46">
      <c r="A20" s="3" t="s">
        <v>49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6">
      <c r="B21" s="43"/>
      <c r="C21" s="43"/>
    </row>
    <row r="22" spans="1:46" customHeight="1" ht="30">
      <c r="A22" s="75" t="s">
        <v>123</v>
      </c>
      <c r="B22" s="75" t="s">
        <v>188</v>
      </c>
      <c r="C22" s="75" t="s">
        <v>189</v>
      </c>
      <c r="D22" s="75" t="s">
        <v>190</v>
      </c>
      <c r="E22" s="75" t="s">
        <v>191</v>
      </c>
    </row>
    <row r="23" spans="1:46">
      <c r="A23" s="76">
        <f>Inputs!A56</f>
        <v/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6">
      <c r="A24" s="46">
        <f>Inputs!A57</f>
        <v/>
      </c>
      <c r="B24" s="46">
        <f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6">
      <c r="A25" s="46">
        <f>Inputs!A58</f>
        <v/>
      </c>
      <c r="B25" s="46">
        <f>SUM(C25:D25)</f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6">
      <c r="A26" s="46">
        <f>Inputs!A59</f>
        <v/>
      </c>
      <c r="B26" s="46">
        <f>SUM(C26:D26)</f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6">
      <c r="A27" s="61">
        <f>Inputs!A60</f>
        <v/>
      </c>
      <c r="B27" s="61">
        <f>SUM(C27:D27)</f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6">
      <c r="B28" s="43"/>
      <c r="C28" s="43"/>
    </row>
    <row r="29" spans="1:46">
      <c r="B29" s="43"/>
      <c r="C29" s="43"/>
    </row>
    <row r="30" spans="1:46">
      <c r="A30" s="3" t="s">
        <v>192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6">
      <c r="B31" s="43"/>
      <c r="C31" s="43"/>
    </row>
    <row r="32" spans="1:46">
      <c r="A32" s="130" t="s">
        <v>193</v>
      </c>
      <c r="B32" s="130" t="s">
        <v>194</v>
      </c>
      <c r="C32" s="130" t="s">
        <v>195</v>
      </c>
      <c r="D32" s="130" t="s">
        <v>196</v>
      </c>
      <c r="F32" s="133" t="s">
        <v>197</v>
      </c>
      <c r="G32" s="133" t="s">
        <v>198</v>
      </c>
      <c r="I32" s="175" t="s">
        <v>199</v>
      </c>
      <c r="J32" s="176" t="str">
        <f>VLOOKUP(VALUE(Inputs!B75),Parameters!A54:B68,2,0)</f>
        <v>Kawangware</v>
      </c>
    </row>
    <row r="33" spans="1:46">
      <c r="A33">
        <v>1</v>
      </c>
      <c r="B33" s="129" t="str">
        <f>G34</f>
        <v>//</v>
      </c>
      <c r="C33" s="27" t="str">
        <f>IF(B33&lt;&gt;"",IF(COUNT($A$33:A33)&lt;=$G$39,0,$G$41)+IF(COUNT($A$33:A33)&lt;=$G$40,0,$G$42),"")</f>
        <v>0</v>
      </c>
      <c r="D33" s="182">
        <f>IFERROR(DATE(YEAR(B33),MONTH(B33),1),"")</f>
        <v>42614</v>
      </c>
      <c r="F33" t="s">
        <v>137</v>
      </c>
      <c r="G33" s="129" t="str">
        <f>IF(Inputs!B79="","",Inputs!B79)</f>
        <v>//</v>
      </c>
      <c r="J33" s="43"/>
    </row>
    <row r="34" spans="1:46">
      <c r="A34">
        <f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>IFERROR(DATE(YEAR(B34),MONTH(B34),1),"")</f>
        <v/>
      </c>
      <c r="F34" t="s">
        <v>138</v>
      </c>
      <c r="G34" s="129" t="str">
        <f>IF(Inputs!B80="","",Inputs!B80)</f>
        <v>//</v>
      </c>
    </row>
    <row r="35" spans="1:46">
      <c r="A35">
        <f>A34+1</f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>IFERROR(DATE(YEAR(B35),MONTH(B35),1),"")</f>
        <v/>
      </c>
      <c r="F35" t="s">
        <v>139</v>
      </c>
      <c r="G35" s="27">
        <f>Inputs!B81</f>
        <v/>
      </c>
    </row>
    <row r="36" spans="1:46">
      <c r="A36">
        <f>A35+1</f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>IFERROR(DATE(YEAR(B36),MONTH(B36),1),"")</f>
        <v/>
      </c>
      <c r="F36" t="s">
        <v>140</v>
      </c>
      <c r="G36" s="131">
        <f>Inputs!B82/100</f>
        <v>0</v>
      </c>
    </row>
    <row r="37" spans="1:46">
      <c r="A37">
        <f>A36+1</f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>IFERROR(DATE(YEAR(B37),MONTH(B37),1),"")</f>
        <v/>
      </c>
      <c r="F37" t="s">
        <v>200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46">
      <c r="A38">
        <f>A37+1</f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>IFERROR(DATE(YEAR(B38),MONTH(B38),1),"")</f>
        <v/>
      </c>
      <c r="F38" t="s">
        <v>201</v>
      </c>
      <c r="G38" s="27" t="str">
        <f>IFERROR(Inputs!B85/Inputs!B84,"")</f>
        <v/>
      </c>
    </row>
    <row r="39" spans="1:46">
      <c r="A39">
        <f>A38+1</f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>IFERROR(DATE(YEAR(B39),MONTH(B39),1),"")</f>
        <v/>
      </c>
      <c r="F39" t="s">
        <v>144</v>
      </c>
      <c r="G39" s="27">
        <f>Inputs!B86</f>
        <v/>
      </c>
    </row>
    <row r="40" spans="1:46">
      <c r="A40">
        <f>A39+1</f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>IFERROR(DATE(YEAR(B40),MONTH(B40),1),"")</f>
        <v/>
      </c>
      <c r="F40" t="s">
        <v>145</v>
      </c>
      <c r="G40" s="27">
        <f>Inputs!B87</f>
        <v/>
      </c>
    </row>
    <row r="41" spans="1:46">
      <c r="A41">
        <f>A40+1</f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>IFERROR(DATE(YEAR(B41),MONTH(B41),1),"")</f>
        <v/>
      </c>
      <c r="F41" t="s">
        <v>202</v>
      </c>
      <c r="G41" s="74" t="str">
        <f>IFERROR(G35/(G38-G39),"")</f>
        <v/>
      </c>
      <c r="H41" s="74"/>
    </row>
    <row r="42" spans="1:46">
      <c r="A42">
        <f>A41+1</f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>IFERROR(DATE(YEAR(B42),MONTH(B42),1),"")</f>
        <v/>
      </c>
      <c r="F42" t="s">
        <v>203</v>
      </c>
      <c r="G42" s="74" t="str">
        <f>IFERROR(G35*G36*IF(G37="Monthly",G38/12,IF(G37="Fortnightly",G38/(365/14),G38/(365/28)))/(G38-G40),"")</f>
        <v/>
      </c>
    </row>
    <row r="43" spans="1:46">
      <c r="A43">
        <f>A42+1</f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>IFERROR(DATE(YEAR(B43),MONTH(B43),1),"")</f>
        <v/>
      </c>
    </row>
    <row r="44" spans="1:46">
      <c r="A44">
        <f>A43+1</f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>IFERROR(DATE(YEAR(B44),MONTH(B44),1),"")</f>
        <v/>
      </c>
    </row>
    <row r="45" spans="1:46">
      <c r="A45">
        <f>A44+1</f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>IFERROR(DATE(YEAR(B45),MONTH(B45),1),"")</f>
        <v/>
      </c>
    </row>
    <row r="46" spans="1:46">
      <c r="A46">
        <f>A45+1</f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>IFERROR(DATE(YEAR(B46),MONTH(B46),1),"")</f>
        <v/>
      </c>
    </row>
    <row r="47" spans="1:46">
      <c r="A47">
        <f>A46+1</f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>IFERROR(DATE(YEAR(B47),MONTH(B47),1),"")</f>
        <v/>
      </c>
    </row>
    <row r="48" spans="1:46">
      <c r="A48">
        <f>A47+1</f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>IFERROR(DATE(YEAR(B48),MONTH(B48),1),"")</f>
        <v/>
      </c>
    </row>
    <row r="49" spans="1:46">
      <c r="A49">
        <f>A48+1</f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>IFERROR(DATE(YEAR(B49),MONTH(B49),1),"")</f>
        <v/>
      </c>
    </row>
    <row r="50" spans="1:46">
      <c r="A50">
        <f>A49+1</f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>IFERROR(DATE(YEAR(B50),MONTH(B50),1),"")</f>
        <v/>
      </c>
    </row>
    <row r="51" spans="1:46">
      <c r="A51">
        <f>A50+1</f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>IFERROR(DATE(YEAR(B51),MONTH(B51),1),"")</f>
        <v/>
      </c>
    </row>
    <row r="52" spans="1:46">
      <c r="A52">
        <f>A51+1</f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>IFERROR(DATE(YEAR(B52),MONTH(B52),1),"")</f>
        <v/>
      </c>
    </row>
    <row r="53" spans="1:46">
      <c r="A53">
        <f>A52+1</f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>IFERROR(DATE(YEAR(B53),MONTH(B53),1),"")</f>
        <v/>
      </c>
    </row>
    <row r="54" spans="1:46">
      <c r="A54">
        <f>A53+1</f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>IFERROR(DATE(YEAR(B54),MONTH(B54),1),"")</f>
        <v/>
      </c>
    </row>
    <row r="55" spans="1:46">
      <c r="A55">
        <f>A54+1</f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>IFERROR(DATE(YEAR(B55),MONTH(B55),1),"")</f>
        <v/>
      </c>
    </row>
    <row r="56" spans="1:46">
      <c r="A56">
        <f>A55+1</f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>IFERROR(DATE(YEAR(B56),MONTH(B56),1),"")</f>
        <v/>
      </c>
    </row>
    <row r="57" spans="1:46">
      <c r="A57">
        <f>A56+1</f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>IFERROR(DATE(YEAR(B57),MONTH(B57),1),"")</f>
        <v/>
      </c>
    </row>
    <row r="58" spans="1:46">
      <c r="A58">
        <f>A57+1</f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>IFERROR(DATE(YEAR(B58),MONTH(B58),1),"")</f>
        <v/>
      </c>
    </row>
    <row r="59" spans="1:46">
      <c r="A59">
        <f>A58+1</f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>IFERROR(DATE(YEAR(B59),MONTH(B59),1),"")</f>
        <v/>
      </c>
    </row>
    <row r="60" spans="1:46">
      <c r="A60">
        <f>A59+1</f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>IFERROR(DATE(YEAR(B60),MONTH(B60),1),"")</f>
        <v/>
      </c>
    </row>
    <row r="61" spans="1:46">
      <c r="A61">
        <f>A60+1</f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>IFERROR(DATE(YEAR(B61),MONTH(B61),1),"")</f>
        <v/>
      </c>
    </row>
    <row r="62" spans="1:46">
      <c r="A62">
        <f>A61+1</f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>IFERROR(DATE(YEAR(B62),MONTH(B62),1),"")</f>
        <v/>
      </c>
    </row>
    <row r="63" spans="1:46">
      <c r="A63">
        <f>A62+1</f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>IFERROR(DATE(YEAR(B63),MONTH(B63),1),"")</f>
        <v/>
      </c>
    </row>
    <row r="64" spans="1:46">
      <c r="A64">
        <f>A63+1</f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>IFERROR(DATE(YEAR(B64),MONTH(B64),1),"")</f>
        <v/>
      </c>
    </row>
    <row r="65" spans="1:46">
      <c r="A65">
        <f>A64+1</f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>IFERROR(DATE(YEAR(B65),MONTH(B65),1),"")</f>
        <v/>
      </c>
    </row>
    <row r="66" spans="1:46">
      <c r="A66">
        <f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>IFERROR(DATE(YEAR(B66),MONTH(B66),1),"")</f>
        <v/>
      </c>
    </row>
    <row r="67" spans="1:46">
      <c r="A67">
        <f>A66+1</f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>IFERROR(DATE(YEAR(B67),MONTH(B67),1),"")</f>
        <v/>
      </c>
    </row>
    <row r="68" spans="1:46">
      <c r="A68">
        <f>A67+1</f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>IFERROR(DATE(YEAR(B68),MONTH(B68),1),"")</f>
        <v/>
      </c>
    </row>
    <row r="69" spans="1:46">
      <c r="A69">
        <f>A68+1</f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>IFERROR(DATE(YEAR(B69),MONTH(B69),1),"")</f>
        <v/>
      </c>
    </row>
    <row r="70" spans="1:46">
      <c r="A70">
        <f>A69+1</f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>IFERROR(DATE(YEAR(B70),MONTH(B70),1),"")</f>
        <v/>
      </c>
    </row>
    <row r="71" spans="1:46">
      <c r="A71">
        <f>A70+1</f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>IFERROR(DATE(YEAR(B71),MONTH(B71),1),"")</f>
        <v/>
      </c>
    </row>
    <row r="72" spans="1:46">
      <c r="A72">
        <f>A71+1</f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>IFERROR(DATE(YEAR(B72),MONTH(B72),1),"")</f>
        <v/>
      </c>
    </row>
    <row r="73" spans="1:46">
      <c r="A73">
        <f>A72+1</f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>IFERROR(DATE(YEAR(B73),MONTH(B73),1),"")</f>
        <v/>
      </c>
    </row>
    <row r="74" spans="1:46">
      <c r="A74">
        <f>A73+1</f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>IFERROR(DATE(YEAR(B74),MONTH(B74),1),"")</f>
        <v/>
      </c>
    </row>
    <row r="75" spans="1:46">
      <c r="A75">
        <f>A74+1</f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>IFERROR(DATE(YEAR(B75),MONTH(B75),1),"")</f>
        <v/>
      </c>
    </row>
    <row r="76" spans="1:46">
      <c r="A76">
        <f>A75+1</f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>IFERROR(DATE(YEAR(B76),MONTH(B76),1),"")</f>
        <v/>
      </c>
    </row>
    <row r="77" spans="1:46">
      <c r="A77">
        <f>A76+1</f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>IFERROR(DATE(YEAR(B77),MONTH(B77),1),"")</f>
        <v/>
      </c>
    </row>
    <row r="78" spans="1:46">
      <c r="A78">
        <f>A77+1</f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>IFERROR(DATE(YEAR(B78),MONTH(B78),1),"")</f>
        <v/>
      </c>
    </row>
    <row r="79" spans="1:46">
      <c r="A79">
        <f>A78+1</f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>IFERROR(DATE(YEAR(B79),MONTH(B79),1),"")</f>
        <v/>
      </c>
    </row>
    <row r="80" spans="1:46">
      <c r="A80">
        <f>A79+1</f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>IFERROR(DATE(YEAR(B80),MONTH(B80),1),"")</f>
        <v/>
      </c>
    </row>
    <row r="81" spans="1:46">
      <c r="A81">
        <f>A80+1</f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>IFERROR(DATE(YEAR(B81),MONTH(B81),1),"")</f>
        <v/>
      </c>
    </row>
    <row r="82" spans="1:46">
      <c r="A82">
        <f>A81+1</f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>IFERROR(DATE(YEAR(B82),MONTH(B82),1),"")</f>
        <v/>
      </c>
    </row>
    <row r="83" spans="1:46">
      <c r="A83">
        <f>A82+1</f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>IFERROR(DATE(YEAR(B83),MONTH(B83),1),"")</f>
        <v/>
      </c>
    </row>
    <row r="84" spans="1:46">
      <c r="A84">
        <f>A83+1</f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>IFERROR(DATE(YEAR(B84),MONTH(B84),1),"")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0"/>
  <sheetViews>
    <sheetView tabSelected="0" workbookViewId="0" zoomScale="90" zoomScaleNormal="90" showGridLines="false" showRowColHeaders="1">
      <pane xSplit="1" topLeftCell="B1" activePane="topRight" state="frozen"/>
      <selection pane="topRight" activeCell="A53" sqref="A53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72</v>
      </c>
      <c r="B3" s="10" t="s">
        <v>204</v>
      </c>
      <c r="C3" s="10" t="s">
        <v>205</v>
      </c>
      <c r="D3" s="10" t="s">
        <v>206</v>
      </c>
      <c r="E3" s="10" t="s">
        <v>207</v>
      </c>
      <c r="F3" s="10" t="s">
        <v>208</v>
      </c>
      <c r="G3" s="10" t="s">
        <v>209</v>
      </c>
      <c r="H3" s="10" t="s">
        <v>210</v>
      </c>
      <c r="I3" s="10" t="s">
        <v>211</v>
      </c>
      <c r="J3" s="10" t="s">
        <v>212</v>
      </c>
      <c r="K3" s="10" t="s">
        <v>213</v>
      </c>
      <c r="L3" s="10" t="s">
        <v>214</v>
      </c>
      <c r="M3" s="10" t="s">
        <v>215</v>
      </c>
      <c r="N3" s="10" t="s">
        <v>216</v>
      </c>
      <c r="O3" s="10" t="s">
        <v>217</v>
      </c>
      <c r="P3" s="10" t="s">
        <v>218</v>
      </c>
      <c r="Q3" s="10" t="s">
        <v>219</v>
      </c>
      <c r="R3" s="10" t="s">
        <v>220</v>
      </c>
      <c r="S3" s="10" t="s">
        <v>221</v>
      </c>
      <c r="T3" s="10" t="s">
        <v>222</v>
      </c>
      <c r="U3" s="10" t="s">
        <v>162</v>
      </c>
      <c r="V3" s="10" t="s">
        <v>160</v>
      </c>
      <c r="W3" s="10" t="s">
        <v>223</v>
      </c>
      <c r="X3" s="10" t="s">
        <v>224</v>
      </c>
      <c r="Y3" s="10" t="s">
        <v>225</v>
      </c>
      <c r="Z3" s="10" t="s">
        <v>226</v>
      </c>
      <c r="AA3" s="10" t="s">
        <v>227</v>
      </c>
      <c r="AB3" s="10" t="s">
        <v>228</v>
      </c>
      <c r="AC3" s="10" t="s">
        <v>229</v>
      </c>
      <c r="AD3" s="10" t="s">
        <v>230</v>
      </c>
      <c r="AE3" s="10" t="s">
        <v>231</v>
      </c>
      <c r="AF3" s="10" t="s">
        <v>232</v>
      </c>
      <c r="AG3" s="10" t="s">
        <v>233</v>
      </c>
      <c r="AH3" s="10" t="s">
        <v>234</v>
      </c>
      <c r="AI3" s="10" t="s">
        <v>235</v>
      </c>
    </row>
    <row r="4" spans="1:36" s="94" customFormat="1">
      <c r="A4" s="94" t="s">
        <v>236</v>
      </c>
      <c r="B4" s="95">
        <v>6609.764</v>
      </c>
      <c r="C4" s="96">
        <v>0.51291332035455</v>
      </c>
      <c r="D4" s="97">
        <v>0.1</v>
      </c>
      <c r="E4" s="97">
        <v>0.2</v>
      </c>
      <c r="F4" s="97">
        <v>0.15</v>
      </c>
      <c r="G4" s="95">
        <f>B4*(1+C4)*(1+E4)*(1+F4)</f>
        <v>13800</v>
      </c>
      <c r="H4" s="97">
        <v>0.8</v>
      </c>
      <c r="I4" s="95">
        <v>2000</v>
      </c>
      <c r="J4" s="95">
        <v>0</v>
      </c>
      <c r="K4" s="95">
        <v>0</v>
      </c>
      <c r="L4" s="95" t="s">
        <v>237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238</v>
      </c>
      <c r="X4" s="97">
        <f>1/12</f>
        <v>0.083333333333333</v>
      </c>
      <c r="Y4" s="97">
        <f>1/12</f>
        <v>0.083333333333333</v>
      </c>
      <c r="Z4" s="97">
        <f>1/12</f>
        <v>0.083333333333333</v>
      </c>
      <c r="AA4" s="97">
        <f>1/12</f>
        <v>0.083333333333333</v>
      </c>
      <c r="AB4" s="97">
        <f>1/12</f>
        <v>0.083333333333333</v>
      </c>
      <c r="AC4" s="97">
        <f>1/12</f>
        <v>0.083333333333333</v>
      </c>
      <c r="AD4" s="97">
        <f>1/12</f>
        <v>0.083333333333333</v>
      </c>
      <c r="AE4" s="97">
        <f>1/12</f>
        <v>0.083333333333333</v>
      </c>
      <c r="AF4" s="97">
        <f>1/12</f>
        <v>0.083333333333333</v>
      </c>
      <c r="AG4" s="97">
        <f>1/12</f>
        <v>0.083333333333333</v>
      </c>
      <c r="AH4" s="97">
        <f>1/12</f>
        <v>0.083333333333333</v>
      </c>
      <c r="AI4" s="97">
        <f>1/12</f>
        <v>0.083333333333333</v>
      </c>
    </row>
    <row r="5" spans="1:36" s="94" customFormat="1">
      <c r="A5" s="99" t="s">
        <v>239</v>
      </c>
      <c r="B5" s="100">
        <v>150</v>
      </c>
      <c r="C5" s="101">
        <v>1.0748881555995</v>
      </c>
      <c r="D5" s="102">
        <v>0.31984431374229</v>
      </c>
      <c r="E5" s="102">
        <v>0.67522688456706</v>
      </c>
      <c r="F5" s="102">
        <v>0.91796384131045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240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6" s="94" customFormat="1">
      <c r="A6" s="94" t="s">
        <v>241</v>
      </c>
      <c r="B6" s="95">
        <v>4606.651</v>
      </c>
      <c r="C6" s="96">
        <v>0.25175401861475</v>
      </c>
      <c r="D6" s="97">
        <v>0.44189611030718</v>
      </c>
      <c r="E6" s="97">
        <v>0.77331819303757</v>
      </c>
      <c r="F6" s="97">
        <v>0.56469252326844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240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6" s="94" customFormat="1">
      <c r="A7" s="94" t="s">
        <v>242</v>
      </c>
      <c r="B7" s="95">
        <v>5000</v>
      </c>
      <c r="C7" s="96">
        <v>0.35493589835725</v>
      </c>
      <c r="D7" s="97">
        <v>0.47226495803943</v>
      </c>
      <c r="E7" s="97">
        <v>0.70839743705914</v>
      </c>
      <c r="F7" s="97">
        <v>0.29602564190694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240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6" s="94" customFormat="1">
      <c r="A8" s="94" t="s">
        <v>243</v>
      </c>
      <c r="B8" s="95">
        <v>3956.358</v>
      </c>
      <c r="C8" s="96">
        <v>0.32571416198731</v>
      </c>
      <c r="D8" s="97">
        <v>0.060879068533093</v>
      </c>
      <c r="E8" s="97">
        <v>0.12175813706619</v>
      </c>
      <c r="F8" s="97">
        <v>0.019780124605624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244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6" s="21" customFormat="1">
      <c r="A9" s="21" t="s">
        <v>245</v>
      </c>
      <c r="B9" s="95">
        <v>110.40512</v>
      </c>
      <c r="C9" s="96">
        <v>0.7297801632267</v>
      </c>
      <c r="D9" s="97">
        <v>0.95680214690403</v>
      </c>
      <c r="E9" s="97">
        <v>1.5946702448401</v>
      </c>
      <c r="F9" s="97">
        <v>1.4216922285174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238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238</v>
      </c>
      <c r="X9" s="97">
        <v>0.12820512820513</v>
      </c>
      <c r="Y9" s="97">
        <v>0.12820512820513</v>
      </c>
      <c r="Z9" s="97">
        <v>0.1025641025641</v>
      </c>
      <c r="AA9" s="97">
        <v>0.051282051282051</v>
      </c>
      <c r="AB9" s="97">
        <v>0</v>
      </c>
      <c r="AC9" s="97">
        <v>0.12820512820513</v>
      </c>
      <c r="AD9" s="97">
        <v>0.12820512820513</v>
      </c>
      <c r="AE9" s="97">
        <v>0.051282051282051</v>
      </c>
      <c r="AF9" s="97">
        <v>0</v>
      </c>
      <c r="AG9" s="97">
        <v>0.051282051282051</v>
      </c>
      <c r="AH9" s="97">
        <v>0.1025641025641</v>
      </c>
      <c r="AI9" s="97">
        <v>0.12820512820513</v>
      </c>
    </row>
    <row r="10" spans="1:36" s="21" customFormat="1">
      <c r="A10" s="21" t="s">
        <v>246</v>
      </c>
      <c r="B10" s="72">
        <v>400</v>
      </c>
      <c r="C10" s="106">
        <v>0.46268074827689</v>
      </c>
      <c r="D10" s="107">
        <v>0.61871944545544</v>
      </c>
      <c r="E10" s="107">
        <v>0.92807916818317</v>
      </c>
      <c r="F10" s="107">
        <v>0.39619525971885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</v>
      </c>
      <c r="L10" s="95" t="s">
        <v>240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2.3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6" s="94" customFormat="1">
      <c r="A11" s="94" t="s">
        <v>247</v>
      </c>
      <c r="B11" s="95">
        <v>3000</v>
      </c>
      <c r="C11" s="96">
        <v>0.17631626935148</v>
      </c>
      <c r="D11" s="97">
        <v>0.1648744131117</v>
      </c>
      <c r="E11" s="97">
        <v>0.32974882622341</v>
      </c>
      <c r="F11" s="97">
        <v>0.27860464059943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238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4.2</v>
      </c>
      <c r="T11" s="95">
        <v>10.12004</v>
      </c>
      <c r="U11" s="97">
        <v>0</v>
      </c>
      <c r="V11" s="97">
        <v>0</v>
      </c>
      <c r="W11" s="95" t="s">
        <v>238</v>
      </c>
      <c r="X11" s="97">
        <v>0.22900763358779</v>
      </c>
      <c r="Y11" s="97">
        <v>0.22900763358779</v>
      </c>
      <c r="Z11" s="97">
        <v>0.13740458015267</v>
      </c>
      <c r="AA11" s="97">
        <v>0.038167938931298</v>
      </c>
      <c r="AB11" s="97">
        <v>0.0076335877862595</v>
      </c>
      <c r="AC11" s="97">
        <v>0.0076335877862595</v>
      </c>
      <c r="AD11" s="97">
        <v>0.0076335877862595</v>
      </c>
      <c r="AE11" s="97">
        <v>0.0076335877862595</v>
      </c>
      <c r="AF11" s="97">
        <v>0.030534351145038</v>
      </c>
      <c r="AG11" s="97">
        <v>0.045801526717557</v>
      </c>
      <c r="AH11" s="97">
        <v>0.076335877862595</v>
      </c>
      <c r="AI11" s="97">
        <v>0.18320610687023</v>
      </c>
    </row>
    <row r="12" spans="1:36" s="94" customFormat="1">
      <c r="A12" s="94" t="s">
        <v>248</v>
      </c>
      <c r="B12" s="95">
        <v>1634.843</v>
      </c>
      <c r="C12" s="96">
        <v>0.60958552114631</v>
      </c>
      <c r="D12" s="97">
        <v>0.36227795775695</v>
      </c>
      <c r="E12" s="97">
        <v>0.7245559155139</v>
      </c>
      <c r="F12" s="97">
        <v>0.32215953522733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240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6" s="21" customFormat="1">
      <c r="A13" s="21" t="s">
        <v>249</v>
      </c>
      <c r="B13" s="95">
        <v>3000</v>
      </c>
      <c r="C13" s="106">
        <v>0.75274295119743</v>
      </c>
      <c r="D13" s="107">
        <v>0.37637147559871</v>
      </c>
      <c r="E13" s="107">
        <v>0.75274295119743</v>
      </c>
      <c r="F13" s="107">
        <v>0.6275470261119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240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6" s="21" customFormat="1">
      <c r="A14" s="21" t="s">
        <v>250</v>
      </c>
      <c r="B14" s="72">
        <v>3000</v>
      </c>
      <c r="C14" s="96">
        <v>0.5</v>
      </c>
      <c r="D14" s="97">
        <v>0.05</v>
      </c>
      <c r="E14" s="97">
        <v>0.075</v>
      </c>
      <c r="F14" s="97">
        <v>0.05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244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6" s="21" customFormat="1">
      <c r="A15" s="21" t="s">
        <v>251</v>
      </c>
      <c r="B15" s="72">
        <v>750</v>
      </c>
      <c r="C15" s="96">
        <v>0.11962273962856</v>
      </c>
      <c r="D15" s="97">
        <v>0.62626844738571</v>
      </c>
      <c r="E15" s="97">
        <v>1.1272832052943</v>
      </c>
      <c r="F15" s="97">
        <v>0.11962273962856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238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32.2</v>
      </c>
      <c r="T15" s="95">
        <v>32.2</v>
      </c>
      <c r="U15" s="97">
        <f>32/46</f>
        <v>0.69565217391304</v>
      </c>
      <c r="V15" s="97">
        <v>0</v>
      </c>
      <c r="W15" s="95" t="s">
        <v>238</v>
      </c>
      <c r="X15" s="97">
        <v>0.083333333333333</v>
      </c>
      <c r="Y15" s="97">
        <v>0.083333333333333</v>
      </c>
      <c r="Z15" s="97">
        <v>0.083333333333333</v>
      </c>
      <c r="AA15" s="97">
        <v>0.083333333333333</v>
      </c>
      <c r="AB15" s="97">
        <v>0.083333333333333</v>
      </c>
      <c r="AC15" s="97">
        <v>0.083333333333333</v>
      </c>
      <c r="AD15" s="97">
        <v>0.083333333333333</v>
      </c>
      <c r="AE15" s="97">
        <v>0.083333333333333</v>
      </c>
      <c r="AF15" s="97">
        <v>0.083333333333333</v>
      </c>
      <c r="AG15" s="97">
        <v>0.083333333333333</v>
      </c>
      <c r="AH15" s="97">
        <v>0.083333333333333</v>
      </c>
      <c r="AI15" s="97">
        <v>0.083333333333333</v>
      </c>
    </row>
    <row r="16" spans="1:36" s="21" customFormat="1">
      <c r="A16" s="21" t="s">
        <v>252</v>
      </c>
      <c r="B16" s="72">
        <v>2651.467</v>
      </c>
      <c r="C16" s="96">
        <v>0.28556214186804</v>
      </c>
      <c r="D16" s="97">
        <v>0.093336373169867</v>
      </c>
      <c r="E16" s="97">
        <v>0.18667274633973</v>
      </c>
      <c r="F16" s="97">
        <v>0.48334093292467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240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6" s="21" customFormat="1">
      <c r="A17" s="88" t="s">
        <v>253</v>
      </c>
      <c r="B17" s="111">
        <v>933.898</v>
      </c>
      <c r="C17" s="112">
        <v>0.2611243556847</v>
      </c>
      <c r="D17" s="113">
        <v>0.18072831307447</v>
      </c>
      <c r="E17" s="113">
        <v>0.40663870441755</v>
      </c>
      <c r="F17" s="113">
        <v>0.3581339215066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240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2.3</v>
      </c>
      <c r="S17" s="31">
        <v>27.3</v>
      </c>
      <c r="T17" s="31">
        <v>27.3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6">
      <c r="A18" s="16" t="s">
        <v>254</v>
      </c>
      <c r="O18" s="87">
        <f>AVERAGE(O4:O17)</f>
        <v>16364.285714286</v>
      </c>
      <c r="P18" s="87">
        <f>AVERAGE(P4:P17)</f>
        <v>3039.2857142857</v>
      </c>
      <c r="Q18" s="87">
        <f>AVERAGE(Q4:Q17)</f>
        <v>6000</v>
      </c>
    </row>
    <row r="20" spans="1:36">
      <c r="A20" s="3" t="s">
        <v>59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87</v>
      </c>
      <c r="B22" s="8" t="s">
        <v>255</v>
      </c>
      <c r="C22" s="10" t="s">
        <v>256</v>
      </c>
      <c r="D22" s="10" t="s">
        <v>257</v>
      </c>
      <c r="E22" s="10" t="s">
        <v>258</v>
      </c>
      <c r="F22" s="10" t="s">
        <v>259</v>
      </c>
      <c r="G22" s="10" t="s">
        <v>260</v>
      </c>
      <c r="H22" s="10" t="s">
        <v>261</v>
      </c>
      <c r="I22" s="10" t="s">
        <v>176</v>
      </c>
      <c r="J22" s="10" t="s">
        <v>262</v>
      </c>
      <c r="K22" s="10" t="s">
        <v>263</v>
      </c>
      <c r="L22" s="10" t="s">
        <v>264</v>
      </c>
      <c r="M22" s="10" t="s">
        <v>265</v>
      </c>
      <c r="N22" s="10" t="s">
        <v>266</v>
      </c>
      <c r="O22" s="10" t="s">
        <v>267</v>
      </c>
      <c r="P22" s="10" t="s">
        <v>268</v>
      </c>
    </row>
    <row r="23" spans="1:36" s="21" customFormat="1">
      <c r="A23" s="21" t="s">
        <v>269</v>
      </c>
      <c r="B23" s="21" t="s">
        <v>270</v>
      </c>
      <c r="C23" s="72" t="s">
        <v>271</v>
      </c>
      <c r="D23" s="116">
        <f>240/532</f>
        <v>0.45112781954887</v>
      </c>
      <c r="E23" s="107">
        <f>260/240-1</f>
        <v>0.083333333333333</v>
      </c>
      <c r="F23" s="107">
        <f>280/240-1</f>
        <v>0.16666666666667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</v>
      </c>
      <c r="N23" s="72">
        <f>100/532*365</f>
        <v>68.609022556391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6" s="21" customFormat="1">
      <c r="A24" s="21" t="s">
        <v>272</v>
      </c>
      <c r="B24" s="21" t="s">
        <v>273</v>
      </c>
      <c r="C24" s="117" t="s">
        <v>238</v>
      </c>
      <c r="D24" s="116" t="s">
        <v>238</v>
      </c>
      <c r="E24" s="107">
        <v>0.05</v>
      </c>
      <c r="F24" s="107">
        <v>0.1</v>
      </c>
      <c r="G24" s="107">
        <v>0.2</v>
      </c>
      <c r="H24" s="117" t="s">
        <v>238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6" s="21" customFormat="1">
      <c r="A25" s="16" t="s">
        <v>274</v>
      </c>
      <c r="B25" s="16" t="s">
        <v>275</v>
      </c>
      <c r="C25" s="30" t="s">
        <v>276</v>
      </c>
      <c r="D25" s="118">
        <v>3</v>
      </c>
      <c r="E25" s="107">
        <f>7/D25-1</f>
        <v>1.3333333333333</v>
      </c>
      <c r="F25" s="107">
        <f>9.5/D25-1</f>
        <v>2.1666666666667</v>
      </c>
      <c r="G25" s="22">
        <f>25/9.5-1</f>
        <v>1.6315789473684</v>
      </c>
      <c r="H25" s="117">
        <v>30</v>
      </c>
      <c r="I25" s="117" t="s">
        <v>238</v>
      </c>
      <c r="J25" s="72" t="s">
        <v>238</v>
      </c>
      <c r="K25" s="72" t="s">
        <v>238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6" s="21" customFormat="1">
      <c r="A26" s="16" t="s">
        <v>277</v>
      </c>
      <c r="B26" s="16" t="s">
        <v>273</v>
      </c>
      <c r="C26" s="117" t="s">
        <v>238</v>
      </c>
      <c r="D26" s="116" t="s">
        <v>238</v>
      </c>
      <c r="E26" s="107">
        <v>0.2</v>
      </c>
      <c r="F26" s="107">
        <v>0.7</v>
      </c>
      <c r="G26" s="107">
        <v>2</v>
      </c>
      <c r="H26" s="117" t="s">
        <v>238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6" s="21" customFormat="1">
      <c r="A27" s="21" t="s">
        <v>278</v>
      </c>
      <c r="B27" s="71" t="s">
        <v>273</v>
      </c>
      <c r="C27" s="117" t="s">
        <v>238</v>
      </c>
      <c r="D27" s="116" t="s">
        <v>238</v>
      </c>
      <c r="E27" s="107">
        <v>0.15</v>
      </c>
      <c r="F27" s="107">
        <v>0.25</v>
      </c>
      <c r="G27" s="107">
        <v>1</v>
      </c>
      <c r="H27" s="117" t="s">
        <v>238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6" s="21" customFormat="1">
      <c r="A28" s="21" t="s">
        <v>279</v>
      </c>
      <c r="B28" s="71" t="s">
        <v>273</v>
      </c>
      <c r="C28" s="117" t="s">
        <v>238</v>
      </c>
      <c r="D28" s="116" t="s">
        <v>238</v>
      </c>
      <c r="E28" s="107">
        <v>0.15</v>
      </c>
      <c r="F28" s="107">
        <v>0.25</v>
      </c>
      <c r="G28" s="107">
        <v>1</v>
      </c>
      <c r="H28" s="117" t="s">
        <v>238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6" s="21" customFormat="1">
      <c r="A29" s="23" t="s">
        <v>280</v>
      </c>
      <c r="B29" s="119" t="s">
        <v>273</v>
      </c>
      <c r="C29" s="31" t="s">
        <v>238</v>
      </c>
      <c r="D29" s="31" t="s">
        <v>238</v>
      </c>
      <c r="E29" s="24">
        <v>0.1</v>
      </c>
      <c r="F29" s="24">
        <v>0.2</v>
      </c>
      <c r="G29" s="24">
        <v>0</v>
      </c>
      <c r="H29" s="31" t="s">
        <v>238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6">
      <c r="A30" s="16" t="s">
        <v>281</v>
      </c>
      <c r="B30" s="70" t="s">
        <v>273</v>
      </c>
    </row>
    <row r="31" spans="1:36">
      <c r="H31" s="87"/>
      <c r="I31" s="87"/>
      <c r="AI31" s="12"/>
    </row>
    <row r="32" spans="1:36">
      <c r="A32" s="3" t="s">
        <v>282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283</v>
      </c>
      <c r="B34" s="11" t="s">
        <v>284</v>
      </c>
    </row>
    <row r="35" spans="1:36">
      <c r="A35" t="s">
        <v>285</v>
      </c>
      <c r="B35" s="72">
        <v>60</v>
      </c>
      <c r="C35" s="87"/>
    </row>
    <row r="36" spans="1:36">
      <c r="A36" t="s">
        <v>286</v>
      </c>
      <c r="B36" s="72">
        <v>2000</v>
      </c>
      <c r="C36" s="87"/>
    </row>
    <row r="37" spans="1:36">
      <c r="A37" t="s">
        <v>287</v>
      </c>
      <c r="B37" s="2">
        <v>0.4</v>
      </c>
    </row>
    <row r="39" spans="1:36">
      <c r="A39" s="3" t="s">
        <v>288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2" t="s">
        <v>289</v>
      </c>
      <c r="C40" s="192"/>
    </row>
    <row r="41" spans="1:36">
      <c r="B41" s="73" t="s">
        <v>290</v>
      </c>
      <c r="C41" s="73" t="s">
        <v>291</v>
      </c>
    </row>
    <row r="42" spans="1:36">
      <c r="A42" t="s">
        <v>269</v>
      </c>
      <c r="B42" s="72">
        <v>450</v>
      </c>
      <c r="C42" s="72">
        <v>450</v>
      </c>
    </row>
    <row r="43" spans="1:36">
      <c r="A43" t="s">
        <v>272</v>
      </c>
      <c r="B43" s="72">
        <v>450</v>
      </c>
      <c r="C43" s="72">
        <v>250</v>
      </c>
    </row>
    <row r="44" spans="1:36">
      <c r="A44" t="s">
        <v>274</v>
      </c>
      <c r="B44" s="72">
        <v>50000</v>
      </c>
      <c r="C44" s="72">
        <v>200000</v>
      </c>
    </row>
    <row r="45" spans="1:36">
      <c r="A45" t="s">
        <v>277</v>
      </c>
      <c r="B45" s="72">
        <v>25000</v>
      </c>
      <c r="C45" s="72">
        <v>50000</v>
      </c>
    </row>
    <row r="46" spans="1:36">
      <c r="A46" t="s">
        <v>278</v>
      </c>
      <c r="B46" s="72">
        <v>6000</v>
      </c>
      <c r="C46" s="72">
        <v>12000</v>
      </c>
    </row>
    <row r="47" spans="1:36">
      <c r="A47" t="s">
        <v>279</v>
      </c>
      <c r="B47" s="72">
        <v>4500</v>
      </c>
      <c r="C47" s="72">
        <v>12000</v>
      </c>
    </row>
    <row r="48" spans="1:36">
      <c r="A48" t="s">
        <v>280</v>
      </c>
      <c r="B48" s="72">
        <v>20000</v>
      </c>
      <c r="C48" s="72">
        <v>20000</v>
      </c>
      <c r="D48" s="72"/>
    </row>
    <row r="50" spans="1:36">
      <c r="A50" s="3" t="s">
        <v>292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9"/>
      <c r="D52" s="12" t="s">
        <v>246</v>
      </c>
      <c r="E52" s="12" t="s">
        <v>246</v>
      </c>
      <c r="F52" s="12" t="s">
        <v>246</v>
      </c>
      <c r="G52" s="12" t="s">
        <v>293</v>
      </c>
      <c r="H52" s="12" t="s">
        <v>294</v>
      </c>
      <c r="I52" s="12" t="s">
        <v>295</v>
      </c>
      <c r="AJ52" s="12"/>
    </row>
    <row r="53" spans="1:36" customHeight="1" ht="30">
      <c r="A53" s="11" t="s">
        <v>296</v>
      </c>
      <c r="B53" s="11" t="s">
        <v>297</v>
      </c>
      <c r="C53" s="11" t="s">
        <v>298</v>
      </c>
      <c r="D53" s="10" t="s">
        <v>204</v>
      </c>
      <c r="E53" s="10" t="s">
        <v>163</v>
      </c>
      <c r="F53" s="10" t="s">
        <v>223</v>
      </c>
      <c r="G53" s="10" t="s">
        <v>299</v>
      </c>
      <c r="H53" s="10" t="s">
        <v>300</v>
      </c>
      <c r="I53" s="10" t="s">
        <v>300</v>
      </c>
      <c r="AJ53" s="12"/>
    </row>
    <row r="54" spans="1:36">
      <c r="A54">
        <v>8</v>
      </c>
      <c r="B54" s="12" t="s">
        <v>301</v>
      </c>
      <c r="C54" s="12" t="s">
        <v>302</v>
      </c>
      <c r="D54" s="90">
        <v>806.09046126288</v>
      </c>
      <c r="E54" s="90">
        <v>2</v>
      </c>
      <c r="F54" s="90">
        <v>4</v>
      </c>
      <c r="G54" s="7" t="s">
        <v>291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>
      <c r="A55">
        <v>3</v>
      </c>
      <c r="B55" s="12" t="s">
        <v>303</v>
      </c>
      <c r="C55" s="12" t="s">
        <v>302</v>
      </c>
      <c r="D55" s="90">
        <v>806.09046126288</v>
      </c>
      <c r="E55" s="90">
        <v>2</v>
      </c>
      <c r="F55" s="90">
        <v>4</v>
      </c>
      <c r="G55" s="7" t="s">
        <v>291</v>
      </c>
      <c r="H55" s="90">
        <f>I55</f>
        <v>16500000</v>
      </c>
      <c r="I55" s="90">
        <f>AVERAGE(3000000,30000000)</f>
        <v>16500000</v>
      </c>
      <c r="J55" s="7"/>
      <c r="AJ55" s="12"/>
    </row>
    <row r="56" spans="1:36">
      <c r="A56">
        <v>9</v>
      </c>
      <c r="B56" s="12" t="s">
        <v>304</v>
      </c>
      <c r="C56" s="12" t="s">
        <v>302</v>
      </c>
      <c r="D56" s="90">
        <v>806.09046126288</v>
      </c>
      <c r="E56" s="90">
        <v>2</v>
      </c>
      <c r="F56" s="90">
        <v>4</v>
      </c>
      <c r="G56" s="7" t="s">
        <v>291</v>
      </c>
      <c r="H56" s="90">
        <f>I56</f>
        <v>16500000</v>
      </c>
      <c r="I56" s="90">
        <f>AVERAGE(3000000,30000000)</f>
        <v>16500000</v>
      </c>
      <c r="J56" s="7"/>
      <c r="AJ56" s="12"/>
    </row>
    <row r="57" spans="1:36">
      <c r="A57">
        <v>10</v>
      </c>
      <c r="B57" s="12" t="s">
        <v>305</v>
      </c>
      <c r="C57" s="12" t="s">
        <v>302</v>
      </c>
      <c r="D57" s="90">
        <v>806.09046126288</v>
      </c>
      <c r="E57" s="90">
        <v>2</v>
      </c>
      <c r="F57" s="90">
        <v>4</v>
      </c>
      <c r="G57" s="7" t="s">
        <v>291</v>
      </c>
      <c r="H57" s="90">
        <f>I57</f>
        <v>16500000</v>
      </c>
      <c r="I57" s="90">
        <f>AVERAGE(3000000,30000000)</f>
        <v>16500000</v>
      </c>
      <c r="J57" s="7"/>
      <c r="AJ57" s="12"/>
    </row>
    <row r="58" spans="1:36">
      <c r="A58">
        <v>11</v>
      </c>
      <c r="B58" s="12" t="s">
        <v>306</v>
      </c>
      <c r="C58" s="12" t="s">
        <v>307</v>
      </c>
      <c r="D58" s="90">
        <v>806.09046126288</v>
      </c>
      <c r="E58" s="90">
        <v>2</v>
      </c>
      <c r="F58" s="90">
        <v>4</v>
      </c>
      <c r="G58" s="7" t="s">
        <v>290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>
      <c r="A59">
        <v>7</v>
      </c>
      <c r="B59" s="12" t="s">
        <v>308</v>
      </c>
      <c r="C59" s="12" t="s">
        <v>307</v>
      </c>
      <c r="D59" s="90">
        <v>806.09046126288</v>
      </c>
      <c r="E59" s="90">
        <v>1</v>
      </c>
      <c r="F59" s="90">
        <v>5</v>
      </c>
      <c r="G59" s="7" t="s">
        <v>290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>
      <c r="A60">
        <v>6</v>
      </c>
      <c r="B60" s="12" t="s">
        <v>309</v>
      </c>
      <c r="C60" s="12" t="s">
        <v>307</v>
      </c>
      <c r="D60" s="90">
        <v>806.09046126288</v>
      </c>
      <c r="E60" s="90">
        <v>2</v>
      </c>
      <c r="F60" s="90">
        <v>4</v>
      </c>
      <c r="G60" s="7" t="s">
        <v>291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>
      <c r="A61">
        <v>12</v>
      </c>
      <c r="B61" s="12" t="s">
        <v>310</v>
      </c>
      <c r="C61" s="12" t="s">
        <v>307</v>
      </c>
      <c r="D61" s="90">
        <v>268.69682042096</v>
      </c>
      <c r="E61" s="90">
        <v>2</v>
      </c>
      <c r="F61" s="90">
        <v>4</v>
      </c>
      <c r="G61" s="7" t="s">
        <v>291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>
      <c r="A62">
        <v>13</v>
      </c>
      <c r="B62" s="12" t="s">
        <v>311</v>
      </c>
      <c r="C62" s="12" t="s">
        <v>307</v>
      </c>
      <c r="D62" s="90">
        <v>806.09046126288</v>
      </c>
      <c r="E62" s="90">
        <v>2</v>
      </c>
      <c r="F62" s="90">
        <v>4</v>
      </c>
      <c r="G62" s="7" t="s">
        <v>290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>
      <c r="A63">
        <v>5</v>
      </c>
      <c r="B63" s="12" t="s">
        <v>312</v>
      </c>
      <c r="C63" s="12" t="s">
        <v>307</v>
      </c>
      <c r="D63" s="90">
        <v>806.09046126288</v>
      </c>
      <c r="E63" s="90">
        <v>2</v>
      </c>
      <c r="F63" s="90">
        <v>4</v>
      </c>
      <c r="G63" s="7" t="s">
        <v>290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>
      <c r="A64">
        <v>14</v>
      </c>
      <c r="B64" s="12" t="s">
        <v>313</v>
      </c>
      <c r="C64" s="12" t="s">
        <v>307</v>
      </c>
      <c r="D64" s="90">
        <v>1612.1809225258</v>
      </c>
      <c r="E64" s="90">
        <v>1</v>
      </c>
      <c r="F64" s="90">
        <v>6</v>
      </c>
      <c r="G64" s="7" t="s">
        <v>290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>
      <c r="A65">
        <v>15</v>
      </c>
      <c r="B65" s="12" t="s">
        <v>314</v>
      </c>
      <c r="C65" s="12" t="s">
        <v>307</v>
      </c>
      <c r="D65" s="90">
        <v>1612.1809225258</v>
      </c>
      <c r="E65" s="90">
        <v>1</v>
      </c>
      <c r="F65" s="90">
        <v>6</v>
      </c>
      <c r="G65" s="7" t="s">
        <v>291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>
      <c r="A66">
        <v>16</v>
      </c>
      <c r="B66" s="12" t="s">
        <v>315</v>
      </c>
      <c r="C66" s="12" t="s">
        <v>307</v>
      </c>
      <c r="D66" s="90">
        <v>806.09046126288</v>
      </c>
      <c r="E66" s="90">
        <v>2</v>
      </c>
      <c r="F66" s="90">
        <v>4</v>
      </c>
      <c r="G66" s="7" t="s">
        <v>291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>
      <c r="A67">
        <v>4</v>
      </c>
      <c r="B67" s="12" t="s">
        <v>316</v>
      </c>
      <c r="C67" s="12" t="s">
        <v>307</v>
      </c>
      <c r="D67" s="90">
        <v>806.09046126288</v>
      </c>
      <c r="E67" s="90">
        <v>2</v>
      </c>
      <c r="F67" s="90">
        <v>4</v>
      </c>
      <c r="G67" s="7" t="s">
        <v>291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>
      <c r="A68">
        <v>2</v>
      </c>
      <c r="B68" s="12" t="s">
        <v>317</v>
      </c>
      <c r="C68" s="12" t="s">
        <v>302</v>
      </c>
      <c r="D68" s="90">
        <v>806.09046126288</v>
      </c>
      <c r="E68" s="90">
        <v>2</v>
      </c>
      <c r="F68" s="90">
        <v>4</v>
      </c>
      <c r="G68" s="7" t="s">
        <v>291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>
      <c r="B69" s="12"/>
      <c r="AJ69" s="12"/>
    </row>
    <row r="70" spans="1:36">
      <c r="B70" s="12"/>
      <c r="AJ70" s="12"/>
    </row>
    <row r="71" spans="1:36">
      <c r="A71" s="3" t="s">
        <v>318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>
      <c r="A73" s="5" t="s">
        <v>319</v>
      </c>
      <c r="B73" s="11" t="s">
        <v>320</v>
      </c>
      <c r="C73" s="11" t="s">
        <v>321</v>
      </c>
      <c r="D73" s="11" t="s">
        <v>322</v>
      </c>
      <c r="E73" s="11" t="s">
        <v>77</v>
      </c>
      <c r="F73" s="11" t="s">
        <v>323</v>
      </c>
      <c r="G73" s="11" t="s">
        <v>324</v>
      </c>
      <c r="H73" s="11" t="s">
        <v>325</v>
      </c>
      <c r="I73" s="11" t="s">
        <v>200</v>
      </c>
      <c r="J73" s="11" t="s">
        <v>326</v>
      </c>
      <c r="K73" s="11" t="s">
        <v>153</v>
      </c>
      <c r="AJ73" s="12"/>
    </row>
    <row r="74" spans="1:36">
      <c r="A74" t="s">
        <v>291</v>
      </c>
      <c r="B74" s="177">
        <v>0</v>
      </c>
      <c r="C74" s="12" t="s">
        <v>327</v>
      </c>
      <c r="E74" s="12" t="s">
        <v>290</v>
      </c>
      <c r="F74" s="12" t="s">
        <v>290</v>
      </c>
      <c r="G74" s="12" t="s">
        <v>328</v>
      </c>
      <c r="H74" s="12" t="s">
        <v>294</v>
      </c>
      <c r="I74" s="12" t="s">
        <v>329</v>
      </c>
      <c r="J74" s="137" t="s">
        <v>330</v>
      </c>
      <c r="K74" s="12" t="s">
        <v>290</v>
      </c>
      <c r="AJ74" s="12"/>
    </row>
    <row r="75" spans="1:36">
      <c r="A75" t="s">
        <v>290</v>
      </c>
      <c r="B75" s="177">
        <v>5</v>
      </c>
      <c r="C75" s="135" t="s">
        <v>331</v>
      </c>
      <c r="D75" s="134"/>
      <c r="E75" s="12" t="s">
        <v>332</v>
      </c>
      <c r="F75" s="12" t="s">
        <v>333</v>
      </c>
      <c r="G75" s="12" t="s">
        <v>334</v>
      </c>
      <c r="H75" s="12" t="s">
        <v>295</v>
      </c>
      <c r="I75" s="12" t="s">
        <v>335</v>
      </c>
      <c r="J75" s="70" t="s">
        <v>336</v>
      </c>
      <c r="K75" s="12" t="s">
        <v>290</v>
      </c>
      <c r="AJ75" s="12"/>
    </row>
    <row r="76" spans="1:36">
      <c r="B76" s="177">
        <v>10</v>
      </c>
      <c r="C76" s="12" t="s">
        <v>337</v>
      </c>
      <c r="D76" s="12">
        <v>1</v>
      </c>
      <c r="E76" s="12" t="s">
        <v>338</v>
      </c>
      <c r="F76" s="12" t="s">
        <v>339</v>
      </c>
      <c r="G76" s="12" t="s">
        <v>340</v>
      </c>
      <c r="I76" s="12" t="s">
        <v>321</v>
      </c>
      <c r="J76" s="70" t="s">
        <v>341</v>
      </c>
      <c r="K76" s="12" t="s">
        <v>290</v>
      </c>
      <c r="AJ76" s="12"/>
    </row>
    <row r="77" spans="1:36">
      <c r="B77" s="177">
        <v>20</v>
      </c>
      <c r="C77" s="12" t="s">
        <v>342</v>
      </c>
      <c r="D77" s="12">
        <f>D76+1</f>
        <v>2</v>
      </c>
      <c r="E77" s="12" t="s">
        <v>343</v>
      </c>
      <c r="F77" s="12" t="s">
        <v>344</v>
      </c>
      <c r="J77" s="70" t="s">
        <v>345</v>
      </c>
      <c r="K77" s="12" t="s">
        <v>291</v>
      </c>
      <c r="AJ77" s="12"/>
    </row>
    <row r="78" spans="1:36">
      <c r="B78" s="177">
        <v>30</v>
      </c>
      <c r="C78" s="12" t="s">
        <v>346</v>
      </c>
      <c r="D78" s="12">
        <f>D77+1</f>
        <v>3</v>
      </c>
      <c r="J78" s="70" t="s">
        <v>347</v>
      </c>
      <c r="K78" s="12" t="s">
        <v>291</v>
      </c>
    </row>
    <row r="79" spans="1:36">
      <c r="B79" s="177">
        <v>40</v>
      </c>
      <c r="C79" s="12" t="s">
        <v>348</v>
      </c>
      <c r="D79" s="12">
        <f>D78+1</f>
        <v>4</v>
      </c>
      <c r="J79" s="70"/>
    </row>
    <row r="80" spans="1:36">
      <c r="B80" s="177">
        <v>50</v>
      </c>
      <c r="C80" s="12" t="s">
        <v>349</v>
      </c>
      <c r="D80" s="12">
        <f>D79+1</f>
        <v>5</v>
      </c>
    </row>
    <row r="81" spans="1:36">
      <c r="B81" s="177">
        <v>60</v>
      </c>
      <c r="C81" s="12" t="s">
        <v>350</v>
      </c>
      <c r="D81" s="12">
        <f>D80+1</f>
        <v>6</v>
      </c>
    </row>
    <row r="82" spans="1:36">
      <c r="B82" s="177">
        <v>70</v>
      </c>
      <c r="C82" s="12" t="s">
        <v>351</v>
      </c>
      <c r="D82" s="12">
        <f>D81+1</f>
        <v>7</v>
      </c>
    </row>
    <row r="83" spans="1:36">
      <c r="B83" s="177">
        <v>80</v>
      </c>
      <c r="C83" s="12" t="s">
        <v>352</v>
      </c>
      <c r="D83" s="12">
        <f>D82+1</f>
        <v>8</v>
      </c>
    </row>
    <row r="84" spans="1:36">
      <c r="B84" s="177">
        <v>90</v>
      </c>
      <c r="C84" s="12" t="s">
        <v>353</v>
      </c>
      <c r="D84" s="12">
        <f>D83+1</f>
        <v>9</v>
      </c>
    </row>
    <row r="85" spans="1:36">
      <c r="B85" s="177">
        <v>100</v>
      </c>
      <c r="C85" s="12" t="s">
        <v>354</v>
      </c>
      <c r="D85" s="12">
        <f>D84+1</f>
        <v>10</v>
      </c>
    </row>
    <row r="86" spans="1:36">
      <c r="C86" s="12" t="s">
        <v>355</v>
      </c>
      <c r="D86" s="12">
        <f>D85+1</f>
        <v>11</v>
      </c>
    </row>
    <row r="87" spans="1:36">
      <c r="C87" s="12" t="s">
        <v>356</v>
      </c>
      <c r="D87" s="12">
        <f>D86+1</f>
        <v>12</v>
      </c>
    </row>
    <row r="90" spans="1:36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2016-09-22T11:50:07+00:00</dcterms:modified>
  <dc:title/>
  <dc:description/>
  <dc:subject/>
  <cp:keywords/>
  <cp:category/>
</cp:coreProperties>
</file>