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<sst xmlns="http://schemas.openxmlformats.org/spreadsheetml/2006/main" uniqueCount="366">
  <si>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</si>
  <si>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</si>
  <si>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</si>
  <si>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</si>
  <si>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</si>
  <si>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</si>
  <si>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</si>
  <si>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</si>
  <si>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</si>
  <si>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</si>
  <si>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</si>
  <si>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</si>
  <si>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</si>
  <si>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</si>
  <si>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</si>
  <si>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</si>
  <si>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</si>
  <si>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</si>
  <si>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</si>
  <si>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</si>
  <si>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</si>
  <si>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</si>
  <si>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</si>
  <si>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</si>
  <si>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</si>
  <si>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</si>
  <si>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</si>
  <si>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</si>
  <si>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</si>
  <si>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</si>
  <si>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</si>
  <si>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</si>
  <si>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</si>
  <si>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</si>
  <si>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</si>
  <si>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</si>
  <si>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</si>
  <si>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</si>
  <si>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</si>
  <si>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</si>
  <si>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</si>
  <si>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</si>
  <si>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</si>
  <si>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</si>
  <si>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</si>
  <si>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</si>
  <si>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</si>
  <si>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</si>
  <si>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</si>
  <si>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</si>
  <si>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</si>
  <si>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</si>
  <si>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</si>
  <si>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</si>
  <si>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</si>
  <si>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</si>
  <si>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</si>
  <si>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</si>
  <si>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</si>
  <si>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</si>
  <si>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</si>
  <si>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</si>
  <si>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</si>
  <si>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</si>
  <si>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</si>
  <si>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</si>
  <si>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</si>
  <si>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</si>
  <si>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</si>
  <si>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</si>
  <si>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</si>
  <si>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</si>
  <si>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</si>
  <si>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</si>
  <si>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</si>
  <si>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</si>
  <si>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</si>
  <si>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</si>
  <si>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</si>
  <si>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</si>
  <si>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</si>
  <si>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</si>
  <si>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</si>
  <si>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</si>
  <si>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</si>
  <si>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</si>
  <si>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</si>
  <si>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</si>
  <si>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</si>
  <si>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</si>
  <si>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</si>
  <si>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only manure</t>
  </si>
  <si>
    <t>Yes</t>
  </si>
  <si>
    <t>Yes using a diesel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</si>
  <si>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</si>
  <si>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</si>
  <si>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</si>
  <si>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</si>
  <si>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</si>
  <si>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</si>
  <si>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</si>
  <si>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</si>
  <si>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</si>
  <si>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</si>
  <si>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</si>
  <si>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</si>
  <si>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</si>
  <si>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</si>
  <si>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</si>
  <si>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</si>
  <si>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</si>
  <si>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</si>
  <si>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</si>
  <si>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</si>
  <si>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digging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</si>
  <si>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</si>
  <si>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</si>
  <si>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</si>
  <si>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</si>
  <si>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</si>
  <si>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</si>
  <si>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</si>
  <si>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ynny</t>
  </si>
  <si>
    <t>February</t>
  </si>
  <si>
    <t>Assets and liabilities</t>
  </si>
  <si>
    <t>Is the land yours?</t>
  </si>
  <si>
    <t>No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</si>
  <si>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</si>
  <si>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</si>
  <si>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</si>
  <si>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</si>
  <si>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</si>
  <si>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</si>
  <si>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</si>
  <si>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</si>
  <si>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</si>
  <si>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</si>
  <si>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</si>
  <si>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</si>
  <si>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</si>
  <si>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</si>
  <si>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</si>
  <si>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</si>
  <si>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</si>
  <si>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</si>
  <si>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</si>
  <si>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</si>
  <si>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</si>
  <si>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</si>
  <si>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</si>
  <si>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June</t>
  </si>
  <si>
    <t>July</t>
  </si>
  <si>
    <t>Loan info</t>
  </si>
  <si>
    <t>Branch ID</t>
  </si>
  <si>
    <t>Submission date</t>
  </si>
  <si>
    <t>2016/11/16</t>
  </si>
  <si>
    <t>Loan terms</t>
  </si>
  <si>
    <t>Expected disbursement date</t>
  </si>
  <si>
    <t>Expected first repayment date</t>
  </si>
  <si>
    <t>2016/11/23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</si>
  <si>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</si>
  <si>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</si>
  <si>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</si>
  <si>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</si>
  <si>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</si>
  <si>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</si>
  <si>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</si>
  <si>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</si>
  <si>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</si>
  <si>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</si>
  <si>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</si>
  <si>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</si>
  <si>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</si>
  <si>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</si>
  <si>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</si>
  <si>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</si>
  <si>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</si>
  <si>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</si>
  <si>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</si>
  <si>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</si>
  <si>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</si>
  <si>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</si>
  <si>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</si>
  <si>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</si>
  <si>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</si>
  <si>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</si>
  <si>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</si>
  <si>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</si>
  <si>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</si>
  <si>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</si>
  <si>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</si>
  <si>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</si>
  <si>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</si>
  <si>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</si>
  <si>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</si>
  <si>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</si>
  <si>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</si>
  <si>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</si>
  <si>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</si>
  <si>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</si>
  <si>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</si>
  <si>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</si>
  <si>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</si>
  <si>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</si>
  <si>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</si>
  <si>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</si>
  <si>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</si>
  <si>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</si>
  <si>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</si>
  <si>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</si>
  <si>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</si>
  <si>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</si>
  <si>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</si>
  <si>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</si>
  <si>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</si>
  <si>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</si>
  <si>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</si>
  <si>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</si>
  <si>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</si>
  <si>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</si>
  <si>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</si>
  <si>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</si>
  <si>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</si>
  <si>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</si>
  <si>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</si>
  <si>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</si>
  <si>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</si>
  <si>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</si>
  <si>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</si>
  <si>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</si>
  <si>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</si>
  <si>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</si>
  <si>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</si>
  <si>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</si>
  <si>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</si>
  <si>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</si>
  <si>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</si>
  <si>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</si>
  <si>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</si>
  <si>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</si>
  <si>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</si>
  <si>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</si>
  <si>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</si>
  <si>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</si>
  <si>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</si>
  <si>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</si>
  <si>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</si>
  <si>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</si>
  <si>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</si>
  <si>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</si>
  <si>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</si>
  <si>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</si>
  <si>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</si>
  <si>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</si>
  <si>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</si>
  <si>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</si>
  <si>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</si>
  <si>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</si>
  <si>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</si>
  <si>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</si>
  <si>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</si>
  <si>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</si>
  <si>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</si>
  <si>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</si>
  <si>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</si>
  <si>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</si>
  <si>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</si>
  <si>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</si>
  <si>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</si>
  <si>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</si>
  <si>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</si>
  <si>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</si>
  <si>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</si>
  <si>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</si>
  <si>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</si>
  <si>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</si>
  <si>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</si>
  <si>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</si>
  <si>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</si>
  <si>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</si>
  <si>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</si>
  <si>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</si>
  <si>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</si>
  <si>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</si>
  <si>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</si>
  <si>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</si>
  <si>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</si>
  <si>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</si>
  <si>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</si>
  <si>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</si>
  <si>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</si>
  <si>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</si>
  <si>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</si>
  <si>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</si>
  <si>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</si>
  <si>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</si>
  <si>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</si>
  <si>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</si>
  <si>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</si>
  <si>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</si>
  <si>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</si>
  <si>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</si>
  <si>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</si>
  <si>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</si>
  <si>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</si>
  <si>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</si>
  <si>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</si>
  <si>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</si>
  <si>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</si>
  <si>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</si>
  <si>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</si>
  <si>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</si>
  <si>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</si>
  <si>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</si>
  <si>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</si>
  <si>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</si>
  <si>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</si>
  <si>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</si>
  <si>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</si>
  <si>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</si>
  <si>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</si>
  <si>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</si>
  <si>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</si>
  <si>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</si>
  <si>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</si>
  <si>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</si>
  <si>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</si>
  <si>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</si>
  <si>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</si>
  <si>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</si>
  <si>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</si>
  <si>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</si>
  <si>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</si>
  <si>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</si>
  <si>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</si>
  <si>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</si>
  <si>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</si>
  <si>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</si>
  <si>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</si>
  <si>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</si>
  <si>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</si>
  <si>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</si>
  <si>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</si>
  <si>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</si>
  <si>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</si>
  <si>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</si>
  <si>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</si>
  <si>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</si>
  <si>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</si>
  <si>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</si>
  <si>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</si>
  <si>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Sometimes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</si>
  <si>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</si>
  <si>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</si>
  <si>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</si>
  <si>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</si>
  <si>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</si>
  <si>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</si>
  <si>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</si>
  <si>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</si>
  <si>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May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</si>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</sst>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digging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0.046161558087281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2016</v>
      </c>
    </row>
    <row r="13" spans="1:7">
      <c r="B13" s="1" t="s">
        <v>8</v>
      </c>
      <c r="C13" s="67">
        <f>IFERROR(Output!B107/Output!B101,"")</f>
        <v>0.00043831686324514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68047.488584475</v>
      </c>
    </row>
    <row r="17" spans="1:7">
      <c r="B17" s="1" t="s">
        <v>11</v>
      </c>
      <c r="C17" s="36">
        <f>SUM(Output!B6:M6)</f>
        <v>12202253.796972</v>
      </c>
    </row>
    <row r="18" spans="1:7">
      <c r="B18" s="1" t="s">
        <v>12</v>
      </c>
      <c r="C18" s="36">
        <f>MIN(Output!B6:M6)</f>
        <v>983755.34461266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1055586.9548827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42675</v>
      </c>
      <c r="C5" s="17">
        <f>DATE(YEAR(B5),MONTH(B5)+1,DAY(B5))</f>
        <v>42705</v>
      </c>
      <c r="D5" s="17">
        <f>DATE(YEAR(C5),MONTH(C5)+1,DAY(C5))</f>
        <v>42736</v>
      </c>
      <c r="E5" s="17">
        <f>DATE(YEAR(D5),MONTH(D5)+1,DAY(D5))</f>
        <v>42767</v>
      </c>
      <c r="F5" s="17">
        <f>DATE(YEAR(E5),MONTH(E5)+1,DAY(E5))</f>
        <v>42795</v>
      </c>
      <c r="G5" s="17">
        <f>DATE(YEAR(F5),MONTH(F5)+1,DAY(F5))</f>
        <v>42826</v>
      </c>
      <c r="H5" s="17">
        <f>DATE(YEAR(G5),MONTH(G5)+1,DAY(G5))</f>
        <v>42856</v>
      </c>
      <c r="I5" s="17">
        <f>DATE(YEAR(H5),MONTH(H5)+1,DAY(H5))</f>
        <v>42887</v>
      </c>
      <c r="J5" s="17">
        <f>DATE(YEAR(I5),MONTH(I5)+1,DAY(I5))</f>
        <v>42917</v>
      </c>
      <c r="K5" s="17">
        <f>DATE(YEAR(J5),MONTH(J5)+1,DAY(J5))</f>
        <v>42948</v>
      </c>
      <c r="L5" s="17">
        <f>DATE(YEAR(K5),MONTH(K5)+1,DAY(K5))</f>
        <v>42979</v>
      </c>
      <c r="M5" s="17">
        <f>DATE(YEAR(L5),MONTH(L5)+1,DAY(L5))</f>
        <v>43009</v>
      </c>
      <c r="N5" s="17">
        <f>DATE(YEAR(M5),MONTH(M5)+1,DAY(M5))</f>
        <v>43040</v>
      </c>
      <c r="O5" s="17">
        <f>DATE(YEAR(N5),MONTH(N5)+1,DAY(N5))</f>
        <v>43070</v>
      </c>
      <c r="P5" s="17">
        <f>DATE(YEAR(O5),MONTH(O5)+1,DAY(O5))</f>
        <v>43101</v>
      </c>
      <c r="Q5" s="17">
        <f>DATE(YEAR(P5),MONTH(P5)+1,DAY(P5))</f>
        <v>43132</v>
      </c>
      <c r="R5" s="17">
        <f>DATE(YEAR(Q5),MONTH(Q5)+1,DAY(Q5))</f>
        <v>43160</v>
      </c>
      <c r="S5" s="17">
        <f>DATE(YEAR(R5),MONTH(R5)+1,DAY(R5))</f>
        <v>43191</v>
      </c>
      <c r="T5" s="17">
        <f>DATE(YEAR(S5),MONTH(S5)+1,DAY(S5))</f>
        <v>43221</v>
      </c>
      <c r="U5" s="17">
        <f>DATE(YEAR(T5),MONTH(T5)+1,DAY(T5))</f>
        <v>43252</v>
      </c>
      <c r="V5" s="17">
        <f>DATE(YEAR(U5),MONTH(U5)+1,DAY(U5))</f>
        <v>43282</v>
      </c>
      <c r="W5" s="17">
        <f>DATE(YEAR(V5),MONTH(V5)+1,DAY(V5))</f>
        <v>43313</v>
      </c>
      <c r="X5" s="17">
        <f>DATE(YEAR(W5),MONTH(W5)+1,DAY(W5))</f>
        <v>43344</v>
      </c>
      <c r="Y5" s="17">
        <f>DATE(YEAR(X5),MONTH(X5)+1,DAY(X5))</f>
        <v>43374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43405</v>
      </c>
    </row>
    <row r="6" spans="1:30" customHeight="1" ht="15.75">
      <c r="A6" s="50" t="s">
        <v>27</v>
      </c>
      <c r="B6" s="51">
        <f>B30-B88</f>
        <v>1055586.9548827</v>
      </c>
      <c r="C6" s="51">
        <f>C30-C88</f>
        <v>1055586.9548827</v>
      </c>
      <c r="D6" s="51">
        <f>D30-D88</f>
        <v>1036786.9548827</v>
      </c>
      <c r="E6" s="51">
        <f>E30-E88</f>
        <v>1040586.9548827</v>
      </c>
      <c r="F6" s="51">
        <f>F30-F88</f>
        <v>1055586.9548827</v>
      </c>
      <c r="G6" s="51">
        <f>G30-G88</f>
        <v>1055586.9548827</v>
      </c>
      <c r="H6" s="51">
        <f>H30-H88</f>
        <v>983755.34461266</v>
      </c>
      <c r="I6" s="51">
        <f>I30-I88</f>
        <v>983755.34461266</v>
      </c>
      <c r="J6" s="51">
        <f>J30-J88</f>
        <v>983755.34461266</v>
      </c>
      <c r="K6" s="51">
        <f>K30-K88</f>
        <v>983755.34461266</v>
      </c>
      <c r="L6" s="51">
        <f>L30-L88</f>
        <v>983755.34461266</v>
      </c>
      <c r="M6" s="51">
        <f>M30-M88</f>
        <v>983755.34461266</v>
      </c>
      <c r="N6" s="51">
        <f>N30-N88</f>
        <v>1055586.9548827</v>
      </c>
      <c r="O6" s="51">
        <f>O30-O88</f>
        <v>1055586.9548827</v>
      </c>
      <c r="P6" s="51">
        <f>P30-P88</f>
        <v>1036786.9548827</v>
      </c>
      <c r="Q6" s="51">
        <f>Q30-Q88</f>
        <v>1055586.9548827</v>
      </c>
      <c r="R6" s="51">
        <f>R30-R88</f>
        <v>1055586.9548827</v>
      </c>
      <c r="S6" s="51">
        <f>S30-S88</f>
        <v>1055586.9548827</v>
      </c>
      <c r="T6" s="51">
        <f>T30-T88</f>
        <v>983755.34461266</v>
      </c>
      <c r="U6" s="51">
        <f>U30-U88</f>
        <v>983755.34461266</v>
      </c>
      <c r="V6" s="51">
        <f>V30-V88</f>
        <v>983755.34461266</v>
      </c>
      <c r="W6" s="51">
        <f>W30-W88</f>
        <v>983755.34461266</v>
      </c>
      <c r="X6" s="51">
        <f>X30-X88</f>
        <v>983755.34461266</v>
      </c>
      <c r="Y6" s="51">
        <f>Y30-Y88</f>
        <v>983755.34461266</v>
      </c>
      <c r="Z6" s="51">
        <f>SUMIF($B$13:$Y$13,"Yes",B6:Y6)</f>
        <v>2111173.9097653</v>
      </c>
      <c r="AA6" s="51">
        <f>AA30-AA88</f>
        <v>12202253.796972</v>
      </c>
      <c r="AB6" s="51">
        <f>AB30-AB88</f>
        <v>24419507.593944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>
        <f>IF(ISERROR(VLOOKUP(MONTH(D5),Inputs!$D$66:$D$71,1,0)),"",INDEX(Inputs!$B$66:$B$71,MATCH(MONTH(Output!D5),Inputs!$D$66:$D$71,0))-INDEX(Inputs!$C$66:$C$71,MATCH(MONTH(Output!D5),Inputs!$D$66:$D$71,0)))</f>
        <v>95000</v>
      </c>
      <c r="E7" s="80">
        <f>IF(ISERROR(VLOOKUP(MONTH(E5),Inputs!$D$66:$D$71,1,0)),"",INDEX(Inputs!$B$66:$B$71,MATCH(MONTH(Output!E5),Inputs!$D$66:$D$71,0))-INDEX(Inputs!$C$66:$C$71,MATCH(MONTH(Output!E5),Inputs!$D$66:$D$71,0)))</f>
        <v>51000</v>
      </c>
      <c r="F7" s="80">
        <f>IF(ISERROR(VLOOKUP(MONTH(F5),Inputs!$D$66:$D$71,1,0)),"",INDEX(Inputs!$B$66:$B$71,MATCH(MONTH(Output!F5),Inputs!$D$66:$D$71,0))-INDEX(Inputs!$C$66:$C$71,MATCH(MONTH(Output!F5),Inputs!$D$66:$D$71,0)))</f>
        <v>140000</v>
      </c>
      <c r="G7" s="80">
        <f>IF(ISERROR(VLOOKUP(MONTH(G5),Inputs!$D$66:$D$71,1,0)),"",INDEX(Inputs!$B$66:$B$71,MATCH(MONTH(Output!G5),Inputs!$D$66:$D$71,0))-INDEX(Inputs!$C$66:$C$71,MATCH(MONTH(Output!G5),Inputs!$D$66:$D$71,0)))</f>
        <v>8200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31000</v>
      </c>
      <c r="J7" s="80">
        <f>IF(ISERROR(VLOOKUP(MONTH(J5),Inputs!$D$66:$D$71,1,0)),"",INDEX(Inputs!$B$66:$B$71,MATCH(MONTH(Output!J5),Inputs!$D$66:$D$71,0))-INDEX(Inputs!$C$66:$C$71,MATCH(MONTH(Output!J5),Inputs!$D$66:$D$71,0)))</f>
        <v>4500</v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>
        <f>IF(ISERROR(VLOOKUP(MONTH(P5),Inputs!$D$66:$D$71,1,0)),"",INDEX(Inputs!$B$66:$B$71,MATCH(MONTH(Output!P5),Inputs!$D$66:$D$71,0))-INDEX(Inputs!$C$66:$C$71,MATCH(MONTH(Output!P5),Inputs!$D$66:$D$71,0)))</f>
        <v>95000</v>
      </c>
      <c r="Q7" s="80">
        <f>IF(ISERROR(VLOOKUP(MONTH(Q5),Inputs!$D$66:$D$71,1,0)),"",INDEX(Inputs!$B$66:$B$71,MATCH(MONTH(Output!Q5),Inputs!$D$66:$D$71,0))-INDEX(Inputs!$C$66:$C$71,MATCH(MONTH(Output!Q5),Inputs!$D$66:$D$71,0)))</f>
        <v>51000</v>
      </c>
      <c r="R7" s="80">
        <f>IF(ISERROR(VLOOKUP(MONTH(R5),Inputs!$D$66:$D$71,1,0)),"",INDEX(Inputs!$B$66:$B$71,MATCH(MONTH(Output!R5),Inputs!$D$66:$D$71,0))-INDEX(Inputs!$C$66:$C$71,MATCH(MONTH(Output!R5),Inputs!$D$66:$D$71,0)))</f>
        <v>140000</v>
      </c>
      <c r="S7" s="80">
        <f>IF(ISERROR(VLOOKUP(MONTH(S5),Inputs!$D$66:$D$71,1,0)),"",INDEX(Inputs!$B$66:$B$71,MATCH(MONTH(Output!S5),Inputs!$D$66:$D$71,0))-INDEX(Inputs!$C$66:$C$71,MATCH(MONTH(Output!S5),Inputs!$D$66:$D$71,0)))</f>
        <v>8200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31000</v>
      </c>
      <c r="V7" s="80">
        <f>IF(ISERROR(VLOOKUP(MONTH(V5),Inputs!$D$66:$D$71,1,0)),"",INDEX(Inputs!$B$66:$B$71,MATCH(MONTH(Output!V5),Inputs!$D$66:$D$71,0))-INDEX(Inputs!$C$66:$C$71,MATCH(MONTH(Output!V5),Inputs!$D$66:$D$71,0)))</f>
        <v>4500</v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34023.744292237</v>
      </c>
      <c r="C10" s="37">
        <f>SUMPRODUCT((Calculations!$D$33:$D$84=Output!C5)+0,Calculations!$C$33:$C$84)</f>
        <v>68047.488584475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0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102071.23287671</v>
      </c>
      <c r="AA10" s="37">
        <f>SUM(B10:M10)</f>
        <v>102071.23287671</v>
      </c>
      <c r="AB10" s="37">
        <f>SUM(B10:Y10)</f>
        <v>102071.23287671</v>
      </c>
    </row>
    <row r="11" spans="1:30" customHeight="1" ht="15.75">
      <c r="A11" s="43" t="s">
        <v>31</v>
      </c>
      <c r="B11" s="80">
        <f>B6+B9-B10</f>
        <v>1121563.2105904</v>
      </c>
      <c r="C11" s="80">
        <f>C6+C9-C10</f>
        <v>987539.46629819</v>
      </c>
      <c r="D11" s="80">
        <f>D6+D9-D10</f>
        <v>1036786.9548827</v>
      </c>
      <c r="E11" s="80">
        <f>E6+E9-E10</f>
        <v>1040586.9548827</v>
      </c>
      <c r="F11" s="80">
        <f>F6+F9-F10</f>
        <v>1055586.9548827</v>
      </c>
      <c r="G11" s="80">
        <f>G6+G9-G10</f>
        <v>1055586.9548827</v>
      </c>
      <c r="H11" s="80">
        <f>H6+H9-H10</f>
        <v>983755.34461266</v>
      </c>
      <c r="I11" s="80">
        <f>I6+I9-I10</f>
        <v>983755.34461266</v>
      </c>
      <c r="J11" s="80">
        <f>J6+J9-J10</f>
        <v>983755.34461266</v>
      </c>
      <c r="K11" s="80">
        <f>K6+K9-K10</f>
        <v>983755.34461266</v>
      </c>
      <c r="L11" s="80">
        <f>L6+L9-L10</f>
        <v>983755.34461266</v>
      </c>
      <c r="M11" s="80">
        <f>M6+M9-M10</f>
        <v>983755.34461266</v>
      </c>
      <c r="N11" s="80">
        <f>N6+N9-N10</f>
        <v>1055586.9548827</v>
      </c>
      <c r="O11" s="80">
        <f>O6+O9-O10</f>
        <v>1055586.9548827</v>
      </c>
      <c r="P11" s="80">
        <f>P6+P9-P10</f>
        <v>1036786.9548827</v>
      </c>
      <c r="Q11" s="80">
        <f>Q6+Q9-Q10</f>
        <v>1055586.9548827</v>
      </c>
      <c r="R11" s="80">
        <f>R6+R9-R10</f>
        <v>1055586.9548827</v>
      </c>
      <c r="S11" s="80">
        <f>S6+S9-S10</f>
        <v>1055586.9548827</v>
      </c>
      <c r="T11" s="80">
        <f>T6+T9-T10</f>
        <v>983755.34461266</v>
      </c>
      <c r="U11" s="80">
        <f>U6+U9-U10</f>
        <v>983755.34461266</v>
      </c>
      <c r="V11" s="80">
        <f>V6+V9-V10</f>
        <v>983755.34461266</v>
      </c>
      <c r="W11" s="80">
        <f>W6+W9-W10</f>
        <v>983755.34461266</v>
      </c>
      <c r="X11" s="80">
        <f>X6+X9-X10</f>
        <v>983755.34461266</v>
      </c>
      <c r="Y11" s="80">
        <f>Y6+Y9-Y10</f>
        <v>983755.34461266</v>
      </c>
      <c r="Z11" s="85">
        <f>SUMIF($B$13:$Y$13,"Yes",B11:Y11)</f>
        <v>2109102.6768886</v>
      </c>
      <c r="AA11" s="80">
        <f>SUM(B11:M11)</f>
        <v>12200182.564095</v>
      </c>
      <c r="AB11" s="46">
        <f>SUM(B11:Y11)</f>
        <v>24417436.361067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0.029442824833283</v>
      </c>
      <c r="C12" s="82">
        <f>IF(C13="Yes",IF(SUM($B$10:C10)/(SUM($B$6:C6)+SUM($B$9:C9))&lt;0,999.99,SUM($B$10:C10)/(SUM($B$6:C6)+SUM($B$9:C9))),"")</f>
        <v>0.046161558087281</v>
      </c>
      <c r="D12" s="82" t="str">
        <f>IF(D13="Yes",IF(SUM($B$10:D10)/(SUM($B$6:D6)+SUM($B$9:D9))&lt;0,999.99,SUM($B$10:D10)/(SUM($B$6:D6)+SUM($B$9:D9))),"")</f>
        <v/>
      </c>
      <c r="E12" s="82" t="str">
        <f>IF(E13="Yes",IF(SUM($B$10:E10)/(SUM($B$6:E6)+SUM($B$9:E9))&lt;0,999.99,SUM($B$10:E10)/(SUM($B$6:E6)+SUM($B$9:E9))),"")</f>
        <v/>
      </c>
      <c r="F12" s="82" t="str">
        <f>IF(F13="Yes",IF(SUM($B$10:F10)/(SUM($B$6:F6)+SUM($B$9:F9))&lt;0,999.99,SUM($B$10:F10)/(SUM($B$6:F6)+SUM($B$9:F9))),"")</f>
        <v/>
      </c>
      <c r="G12" s="82" t="str">
        <f>IF(G13="Yes",IF(SUM($B$10:G10)/(SUM($B$6:G6)+SUM($B$9:G9))&lt;0,999.99,SUM($B$10:G10)/(SUM($B$6:G6)+SUM($B$9:G9))),"")</f>
        <v/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No</v>
      </c>
      <c r="E13" s="183" t="str">
        <f>IF(SUM(E9:$Y$10)&gt;0,"Yes","No")</f>
        <v>No</v>
      </c>
      <c r="F13" s="183" t="str">
        <f>IF(SUM(F9:$Y$10)&gt;0,"Yes","No")</f>
        <v>No</v>
      </c>
      <c r="G13" s="183" t="str">
        <f>IF(SUM(G9:$Y$10)&gt;0,"Yes","No")</f>
        <v>No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42675</v>
      </c>
      <c r="C17" s="17">
        <f>C5</f>
        <v>42705</v>
      </c>
      <c r="D17" s="17">
        <f>D5</f>
        <v>42736</v>
      </c>
      <c r="E17" s="17">
        <f>E5</f>
        <v>42767</v>
      </c>
      <c r="F17" s="17">
        <f>F5</f>
        <v>42795</v>
      </c>
      <c r="G17" s="17">
        <f>G5</f>
        <v>42826</v>
      </c>
      <c r="H17" s="17">
        <f>H5</f>
        <v>42856</v>
      </c>
      <c r="I17" s="17">
        <f>I5</f>
        <v>42887</v>
      </c>
      <c r="J17" s="17">
        <f>J5</f>
        <v>42917</v>
      </c>
      <c r="K17" s="17">
        <f>K5</f>
        <v>42948</v>
      </c>
      <c r="L17" s="17">
        <f>L5</f>
        <v>42979</v>
      </c>
      <c r="M17" s="17">
        <f>M5</f>
        <v>43009</v>
      </c>
      <c r="N17" s="17">
        <f>N5</f>
        <v>43040</v>
      </c>
      <c r="O17" s="17">
        <f>O5</f>
        <v>43070</v>
      </c>
      <c r="P17" s="17">
        <f>P5</f>
        <v>43101</v>
      </c>
      <c r="Q17" s="17">
        <f>Q5</f>
        <v>43132</v>
      </c>
      <c r="R17" s="17">
        <f>R5</f>
        <v>43160</v>
      </c>
      <c r="S17" s="17">
        <f>S5</f>
        <v>43191</v>
      </c>
      <c r="T17" s="17">
        <f>T5</f>
        <v>43221</v>
      </c>
      <c r="U17" s="17">
        <f>U5</f>
        <v>43252</v>
      </c>
      <c r="V17" s="17">
        <f>V5</f>
        <v>43282</v>
      </c>
      <c r="W17" s="17">
        <f>W5</f>
        <v>43313</v>
      </c>
      <c r="X17" s="17">
        <f>X5</f>
        <v>43344</v>
      </c>
      <c r="Y17" s="17">
        <f>Y5</f>
        <v>43374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71831.61027</v>
      </c>
      <c r="C18" s="36">
        <f>O18</f>
        <v>71831.61027</v>
      </c>
      <c r="D18" s="36">
        <f>P18</f>
        <v>71831.61027</v>
      </c>
      <c r="E18" s="36">
        <f>Q18</f>
        <v>71831.61027</v>
      </c>
      <c r="F18" s="36">
        <f>R18</f>
        <v>71831.61027</v>
      </c>
      <c r="G18" s="36">
        <f>S18</f>
        <v>71831.61027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71831.61027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71831.61027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71831.61027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71831.61027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71831.61027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71831.61027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143663.22054</v>
      </c>
      <c r="AA18" s="36">
        <f>SUM(B18:M18)</f>
        <v>430989.66162</v>
      </c>
      <c r="AB18" s="36">
        <f>SUM(B18:Y18)</f>
        <v>861979.32324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7000000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9775000</v>
      </c>
      <c r="C24" s="36">
        <f>IFERROR(Calculations!$P14/12,"")</f>
        <v>9775000</v>
      </c>
      <c r="D24" s="36">
        <f>IFERROR(Calculations!$P14/12,"")</f>
        <v>9775000</v>
      </c>
      <c r="E24" s="36">
        <f>IFERROR(Calculations!$P14/12,"")</f>
        <v>9775000</v>
      </c>
      <c r="F24" s="36">
        <f>IFERROR(Calculations!$P14/12,"")</f>
        <v>9775000</v>
      </c>
      <c r="G24" s="36">
        <f>IFERROR(Calculations!$P14/12,"")</f>
        <v>9775000</v>
      </c>
      <c r="H24" s="36">
        <f>IFERROR(Calculations!$P14/12,"")</f>
        <v>9775000</v>
      </c>
      <c r="I24" s="36">
        <f>IFERROR(Calculations!$P14/12,"")</f>
        <v>9775000</v>
      </c>
      <c r="J24" s="36">
        <f>IFERROR(Calculations!$P14/12,"")</f>
        <v>9775000</v>
      </c>
      <c r="K24" s="36">
        <f>IFERROR(Calculations!$P14/12,"")</f>
        <v>9775000</v>
      </c>
      <c r="L24" s="36">
        <f>IFERROR(Calculations!$P14/12,"")</f>
        <v>9775000</v>
      </c>
      <c r="M24" s="36">
        <f>IFERROR(Calculations!$P14/12,"")</f>
        <v>9775000</v>
      </c>
      <c r="N24" s="36">
        <f>IFERROR(Calculations!$P14/12,"")</f>
        <v>9775000</v>
      </c>
      <c r="O24" s="36">
        <f>IFERROR(Calculations!$P14/12,"")</f>
        <v>9775000</v>
      </c>
      <c r="P24" s="36">
        <f>IFERROR(Calculations!$P14/12,"")</f>
        <v>9775000</v>
      </c>
      <c r="Q24" s="36">
        <f>IFERROR(Calculations!$P14/12,"")</f>
        <v>9775000</v>
      </c>
      <c r="R24" s="36">
        <f>IFERROR(Calculations!$P14/12,"")</f>
        <v>9775000</v>
      </c>
      <c r="S24" s="36">
        <f>IFERROR(Calculations!$P14/12,"")</f>
        <v>9775000</v>
      </c>
      <c r="T24" s="36">
        <f>IFERROR(Calculations!$P14/12,"")</f>
        <v>9775000</v>
      </c>
      <c r="U24" s="36">
        <f>IFERROR(Calculations!$P14/12,"")</f>
        <v>9775000</v>
      </c>
      <c r="V24" s="36">
        <f>IFERROR(Calculations!$P14/12,"")</f>
        <v>9775000</v>
      </c>
      <c r="W24" s="36">
        <f>IFERROR(Calculations!$P14/12,"")</f>
        <v>9775000</v>
      </c>
      <c r="X24" s="36">
        <f>IFERROR(Calculations!$P14/12,"")</f>
        <v>9775000</v>
      </c>
      <c r="Y24" s="36">
        <f>IFERROR(Calculations!$P14/12,"")</f>
        <v>9775000</v>
      </c>
      <c r="Z24" s="36">
        <f>SUMIF($B$13:$Y$13,"Yes",B24:Y24)</f>
        <v>19550000</v>
      </c>
      <c r="AA24" s="36">
        <f>SUM(B24:M24)</f>
        <v>117300000</v>
      </c>
      <c r="AB24" s="46">
        <f>SUM(B24:Y24)</f>
        <v>234600000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100000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9896831.61027</v>
      </c>
      <c r="C30" s="19">
        <f>SUM(C18:C29)</f>
        <v>9896831.61027</v>
      </c>
      <c r="D30" s="19">
        <f>SUM(D18:D29)</f>
        <v>9896831.61027</v>
      </c>
      <c r="E30" s="19">
        <f>SUM(E18:E29)</f>
        <v>9896831.61027</v>
      </c>
      <c r="F30" s="19">
        <f>SUM(F18:F29)</f>
        <v>9896831.61027</v>
      </c>
      <c r="G30" s="19">
        <f>SUM(G18:G29)</f>
        <v>9896831.61027</v>
      </c>
      <c r="H30" s="19">
        <f>SUM(H18:H29)</f>
        <v>9825000</v>
      </c>
      <c r="I30" s="19">
        <f>SUM(I18:I29)</f>
        <v>9825000</v>
      </c>
      <c r="J30" s="19">
        <f>SUM(J18:J29)</f>
        <v>9825000</v>
      </c>
      <c r="K30" s="19">
        <f>SUM(K18:K29)</f>
        <v>9825000</v>
      </c>
      <c r="L30" s="19">
        <f>SUM(L18:L29)</f>
        <v>9825000</v>
      </c>
      <c r="M30" s="19">
        <f>SUM(M18:M29)</f>
        <v>9825000</v>
      </c>
      <c r="N30" s="19">
        <f>SUM(N18:N29)</f>
        <v>9896831.61027</v>
      </c>
      <c r="O30" s="19">
        <f>SUM(O18:O29)</f>
        <v>9896831.61027</v>
      </c>
      <c r="P30" s="19">
        <f>SUM(P18:P29)</f>
        <v>9896831.61027</v>
      </c>
      <c r="Q30" s="19">
        <f>SUM(Q18:Q29)</f>
        <v>9896831.61027</v>
      </c>
      <c r="R30" s="19">
        <f>SUM(R18:R29)</f>
        <v>9896831.61027</v>
      </c>
      <c r="S30" s="19">
        <f>SUM(S18:S29)</f>
        <v>9896831.61027</v>
      </c>
      <c r="T30" s="19">
        <f>SUM(T18:T29)</f>
        <v>9825000</v>
      </c>
      <c r="U30" s="19">
        <f>SUM(U18:U29)</f>
        <v>9825000</v>
      </c>
      <c r="V30" s="19">
        <f>SUM(V18:V29)</f>
        <v>9825000</v>
      </c>
      <c r="W30" s="19">
        <f>SUM(W18:W29)</f>
        <v>9825000</v>
      </c>
      <c r="X30" s="19">
        <f>SUM(X18:X29)</f>
        <v>9825000</v>
      </c>
      <c r="Y30" s="19">
        <f>SUM(Y18:Y29)</f>
        <v>9825000</v>
      </c>
      <c r="Z30" s="19">
        <f>SUMIF($B$13:$Y$13,"Yes",B30:Y30)</f>
        <v>19793663.22054</v>
      </c>
      <c r="AA30" s="19">
        <f>SUM(B30:M30)</f>
        <v>118330989.66162</v>
      </c>
      <c r="AB30" s="19">
        <f>SUM(B30:Y30)</f>
        <v>236661979.32324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42675</v>
      </c>
      <c r="C35" s="17">
        <f>C17</f>
        <v>42705</v>
      </c>
      <c r="D35" s="17">
        <f>D17</f>
        <v>42736</v>
      </c>
      <c r="E35" s="17">
        <f>E17</f>
        <v>42767</v>
      </c>
      <c r="F35" s="17">
        <f>F17</f>
        <v>42795</v>
      </c>
      <c r="G35" s="17">
        <f>G17</f>
        <v>42826</v>
      </c>
      <c r="H35" s="17">
        <f>H17</f>
        <v>42856</v>
      </c>
      <c r="I35" s="17">
        <f>I17</f>
        <v>42887</v>
      </c>
      <c r="J35" s="17">
        <f>J17</f>
        <v>42917</v>
      </c>
      <c r="K35" s="17">
        <f>K17</f>
        <v>42948</v>
      </c>
      <c r="L35" s="17">
        <f>L17</f>
        <v>42979</v>
      </c>
      <c r="M35" s="17">
        <f>M17</f>
        <v>43009</v>
      </c>
      <c r="N35" s="17">
        <f>N17</f>
        <v>43040</v>
      </c>
      <c r="O35" s="17">
        <f>O17</f>
        <v>43070</v>
      </c>
      <c r="P35" s="17">
        <f>P17</f>
        <v>43101</v>
      </c>
      <c r="Q35" s="17">
        <f>Q17</f>
        <v>43132</v>
      </c>
      <c r="R35" s="17">
        <f>R17</f>
        <v>43160</v>
      </c>
      <c r="S35" s="17">
        <f>S17</f>
        <v>43191</v>
      </c>
      <c r="T35" s="17">
        <f>T17</f>
        <v>43221</v>
      </c>
      <c r="U35" s="17">
        <f>U17</f>
        <v>43252</v>
      </c>
      <c r="V35" s="17">
        <f>V17</f>
        <v>43282</v>
      </c>
      <c r="W35" s="17">
        <f>W17</f>
        <v>43313</v>
      </c>
      <c r="X35" s="17">
        <f>X17</f>
        <v>43344</v>
      </c>
      <c r="Y35" s="17">
        <f>Y17</f>
        <v>43374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900</v>
      </c>
      <c r="C36" s="36">
        <f>O36</f>
        <v>900</v>
      </c>
      <c r="D36" s="36">
        <f>P36</f>
        <v>900</v>
      </c>
      <c r="E36" s="36">
        <f>Q36</f>
        <v>900</v>
      </c>
      <c r="F36" s="36">
        <f>R36</f>
        <v>900</v>
      </c>
      <c r="G36" s="36">
        <f>S36</f>
        <v>900</v>
      </c>
      <c r="H36" s="36">
        <f>T36</f>
        <v>900</v>
      </c>
      <c r="I36" s="36">
        <f>U36</f>
        <v>900</v>
      </c>
      <c r="J36" s="36">
        <f>V36</f>
        <v>900</v>
      </c>
      <c r="K36" s="36">
        <f>W36</f>
        <v>900</v>
      </c>
      <c r="L36" s="36">
        <f>X36</f>
        <v>900</v>
      </c>
      <c r="M36" s="36">
        <f>Y36</f>
        <v>900</v>
      </c>
      <c r="N36" s="36">
        <f>SUM(N37:N41)</f>
        <v>900</v>
      </c>
      <c r="O36" s="36">
        <f>SUM(O37:O41)</f>
        <v>900</v>
      </c>
      <c r="P36" s="36">
        <f>SUM(P37:P41)</f>
        <v>900</v>
      </c>
      <c r="Q36" s="36">
        <f>SUM(Q37:Q41)</f>
        <v>900</v>
      </c>
      <c r="R36" s="36">
        <f>SUM(R37:R41)</f>
        <v>900</v>
      </c>
      <c r="S36" s="36">
        <f>SUM(S37:S41)</f>
        <v>900</v>
      </c>
      <c r="T36" s="36">
        <f>SUM(T37:T41)</f>
        <v>900</v>
      </c>
      <c r="U36" s="36">
        <f>SUM(U37:U41)</f>
        <v>900</v>
      </c>
      <c r="V36" s="36">
        <f>SUM(V37:V41)</f>
        <v>900</v>
      </c>
      <c r="W36" s="36">
        <f>SUM(W37:W41)</f>
        <v>900</v>
      </c>
      <c r="X36" s="36">
        <f>SUM(X37:X41)</f>
        <v>900</v>
      </c>
      <c r="Y36" s="36">
        <f>SUM(Y37:Y41)</f>
        <v>900</v>
      </c>
      <c r="Z36" s="36">
        <f>SUMIF($B$13:$Y$13,"Yes",B36:Y36)</f>
        <v>1800</v>
      </c>
      <c r="AA36" s="36">
        <f>SUM(B36:M36)</f>
        <v>10800</v>
      </c>
      <c r="AB36" s="36">
        <f>SUM(B36:Y36)</f>
        <v>21600</v>
      </c>
      <c r="AC36" s="73"/>
    </row>
    <row r="37" spans="1:30" hidden="true" outlineLevel="1">
      <c r="A37" s="181" t="str">
        <f>Calculations!$A$4</f>
        <v>Bananas</v>
      </c>
      <c r="B37" s="36">
        <f>N37</f>
        <v>900</v>
      </c>
      <c r="C37" s="36">
        <f>O37</f>
        <v>900</v>
      </c>
      <c r="D37" s="36">
        <f>P37</f>
        <v>900</v>
      </c>
      <c r="E37" s="36">
        <f>Q37</f>
        <v>900</v>
      </c>
      <c r="F37" s="36">
        <f>R37</f>
        <v>900</v>
      </c>
      <c r="G37" s="36">
        <f>S37</f>
        <v>900</v>
      </c>
      <c r="H37" s="36">
        <f>T37</f>
        <v>900</v>
      </c>
      <c r="I37" s="36">
        <f>U37</f>
        <v>900</v>
      </c>
      <c r="J37" s="36">
        <f>V37</f>
        <v>900</v>
      </c>
      <c r="K37" s="36">
        <f>W37</f>
        <v>900</v>
      </c>
      <c r="L37" s="36">
        <f>X37</f>
        <v>900</v>
      </c>
      <c r="M37" s="36">
        <f>Y37</f>
        <v>900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900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900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900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900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900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900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900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900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900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900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900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900</v>
      </c>
      <c r="Z37" s="36">
        <f>SUMIF($B$13:$Y$13,"Yes",B37:Y37)</f>
        <v>1800</v>
      </c>
      <c r="AA37" s="36">
        <f>SUM(B37:M37)</f>
        <v>10800</v>
      </c>
      <c r="AB37" s="36">
        <f>SUM(B37:Y37)</f>
        <v>21600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10800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10800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10800</v>
      </c>
      <c r="AB48" s="46">
        <f>SUM(B48:Y48)</f>
        <v>21600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10800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10800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10800</v>
      </c>
      <c r="AB49" s="46">
        <f>SUM(B49:Y49)</f>
        <v>21600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3150</v>
      </c>
      <c r="C60" s="36">
        <f>O60</f>
        <v>3150</v>
      </c>
      <c r="D60" s="36">
        <f>P60</f>
        <v>3150</v>
      </c>
      <c r="E60" s="36">
        <f>Q60</f>
        <v>3150</v>
      </c>
      <c r="F60" s="36">
        <f>R60</f>
        <v>3150</v>
      </c>
      <c r="G60" s="36">
        <f>S60</f>
        <v>3150</v>
      </c>
      <c r="H60" s="36">
        <f>T60</f>
        <v>3150</v>
      </c>
      <c r="I60" s="36">
        <f>U60</f>
        <v>3150</v>
      </c>
      <c r="J60" s="36">
        <f>V60</f>
        <v>3150</v>
      </c>
      <c r="K60" s="36">
        <f>W60</f>
        <v>3150</v>
      </c>
      <c r="L60" s="36">
        <f>X60</f>
        <v>3150</v>
      </c>
      <c r="M60" s="36">
        <f>Y60</f>
        <v>3150</v>
      </c>
      <c r="N60" s="46">
        <f>SUM(N61:N65)</f>
        <v>3150</v>
      </c>
      <c r="O60" s="46">
        <f>SUM(O61:O65)</f>
        <v>3150</v>
      </c>
      <c r="P60" s="46">
        <f>SUM(P61:P65)</f>
        <v>3150</v>
      </c>
      <c r="Q60" s="46">
        <f>SUM(Q61:Q65)</f>
        <v>3150</v>
      </c>
      <c r="R60" s="46">
        <f>SUM(R61:R65)</f>
        <v>3150</v>
      </c>
      <c r="S60" s="46">
        <f>SUM(S61:S65)</f>
        <v>3150</v>
      </c>
      <c r="T60" s="46">
        <f>SUM(T61:T65)</f>
        <v>3150</v>
      </c>
      <c r="U60" s="46">
        <f>SUM(U61:U65)</f>
        <v>3150</v>
      </c>
      <c r="V60" s="46">
        <f>SUM(V61:V65)</f>
        <v>3150</v>
      </c>
      <c r="W60" s="46">
        <f>SUM(W61:W65)</f>
        <v>3150</v>
      </c>
      <c r="X60" s="46">
        <f>SUM(X61:X65)</f>
        <v>3150</v>
      </c>
      <c r="Y60" s="46">
        <f>SUM(Y61:Y65)</f>
        <v>3150</v>
      </c>
      <c r="Z60" s="46">
        <f>SUMIF($B$13:$Y$13,"Yes",B60:Y60)</f>
        <v>6300</v>
      </c>
      <c r="AA60" s="46">
        <f>SUM(B60:M60)</f>
        <v>37800</v>
      </c>
      <c r="AB60" s="46">
        <f>SUM(B60:Y60)</f>
        <v>75600</v>
      </c>
    </row>
    <row r="61" spans="1:30" hidden="true" outlineLevel="1">
      <c r="A61" s="181" t="str">
        <f>Calculations!$A$4</f>
        <v>Bananas</v>
      </c>
      <c r="B61" s="36">
        <f>N61</f>
        <v>3150</v>
      </c>
      <c r="C61" s="36">
        <f>O61</f>
        <v>3150</v>
      </c>
      <c r="D61" s="36">
        <f>P61</f>
        <v>3150</v>
      </c>
      <c r="E61" s="36">
        <f>Q61</f>
        <v>3150</v>
      </c>
      <c r="F61" s="36">
        <f>R61</f>
        <v>3150</v>
      </c>
      <c r="G61" s="36">
        <f>S61</f>
        <v>3150</v>
      </c>
      <c r="H61" s="36">
        <f>T61</f>
        <v>3150</v>
      </c>
      <c r="I61" s="36">
        <f>U61</f>
        <v>3150</v>
      </c>
      <c r="J61" s="36">
        <f>V61</f>
        <v>3150</v>
      </c>
      <c r="K61" s="36">
        <f>W61</f>
        <v>3150</v>
      </c>
      <c r="L61" s="36">
        <f>X61</f>
        <v>3150</v>
      </c>
      <c r="M61" s="36">
        <f>Y61</f>
        <v>3150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3150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3150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3150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3150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3150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3150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3150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3150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3150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3150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3150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3150</v>
      </c>
      <c r="Z61" s="46">
        <f>SUMIF($B$13:$Y$13,"Yes",B61:Y61)</f>
        <v>6300</v>
      </c>
      <c r="AA61" s="46">
        <f>SUM(B61:M61)</f>
        <v>37800</v>
      </c>
      <c r="AB61" s="46">
        <f>SUM(B61:Y61)</f>
        <v>75600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5625</v>
      </c>
      <c r="C66" s="36">
        <f>O66</f>
        <v>5625</v>
      </c>
      <c r="D66" s="36">
        <f>P66</f>
        <v>5625</v>
      </c>
      <c r="E66" s="36">
        <f>Q66</f>
        <v>5625</v>
      </c>
      <c r="F66" s="36">
        <f>R66</f>
        <v>5625</v>
      </c>
      <c r="G66" s="36">
        <f>S66</f>
        <v>5625</v>
      </c>
      <c r="H66" s="36">
        <f>T66</f>
        <v>5625</v>
      </c>
      <c r="I66" s="36">
        <f>U66</f>
        <v>5625</v>
      </c>
      <c r="J66" s="36">
        <f>V66</f>
        <v>5625</v>
      </c>
      <c r="K66" s="36">
        <f>W66</f>
        <v>5625</v>
      </c>
      <c r="L66" s="36">
        <f>X66</f>
        <v>5625</v>
      </c>
      <c r="M66" s="36">
        <f>Y66</f>
        <v>5625</v>
      </c>
      <c r="N66" s="46">
        <f>SUM(N67:N71)</f>
        <v>5625</v>
      </c>
      <c r="O66" s="46">
        <f>SUM(O67:O71)</f>
        <v>5625</v>
      </c>
      <c r="P66" s="46">
        <f>SUM(P67:P71)</f>
        <v>5625</v>
      </c>
      <c r="Q66" s="46">
        <f>SUM(Q67:Q71)</f>
        <v>5625</v>
      </c>
      <c r="R66" s="46">
        <f>SUM(R67:R71)</f>
        <v>5625</v>
      </c>
      <c r="S66" s="46">
        <f>SUM(S67:S71)</f>
        <v>5625</v>
      </c>
      <c r="T66" s="46">
        <f>SUM(T67:T71)</f>
        <v>5625</v>
      </c>
      <c r="U66" s="46">
        <f>SUM(U67:U71)</f>
        <v>5625</v>
      </c>
      <c r="V66" s="46">
        <f>SUM(V67:V71)</f>
        <v>5625</v>
      </c>
      <c r="W66" s="46">
        <f>SUM(W67:W71)</f>
        <v>5625</v>
      </c>
      <c r="X66" s="46">
        <f>SUM(X67:X71)</f>
        <v>5625</v>
      </c>
      <c r="Y66" s="46">
        <f>SUM(Y67:Y71)</f>
        <v>5625</v>
      </c>
      <c r="Z66" s="46">
        <f>SUMIF($B$13:$Y$13,"Yes",B66:Y66)</f>
        <v>11250</v>
      </c>
      <c r="AA66" s="46">
        <f>SUM(B66:M66)</f>
        <v>67500</v>
      </c>
      <c r="AB66" s="46">
        <f>SUM(B66:Y66)</f>
        <v>135000</v>
      </c>
    </row>
    <row r="67" spans="1:30" hidden="true" outlineLevel="1">
      <c r="A67" s="181" t="str">
        <f>Calculations!$A$4</f>
        <v>Bananas</v>
      </c>
      <c r="B67" s="36">
        <f>N67</f>
        <v>5625</v>
      </c>
      <c r="C67" s="36">
        <f>O67</f>
        <v>5625</v>
      </c>
      <c r="D67" s="36">
        <f>P67</f>
        <v>5625</v>
      </c>
      <c r="E67" s="36">
        <f>Q67</f>
        <v>5625</v>
      </c>
      <c r="F67" s="36">
        <f>R67</f>
        <v>5625</v>
      </c>
      <c r="G67" s="36">
        <f>S67</f>
        <v>5625</v>
      </c>
      <c r="H67" s="36">
        <f>T67</f>
        <v>5625</v>
      </c>
      <c r="I67" s="36">
        <f>U67</f>
        <v>5625</v>
      </c>
      <c r="J67" s="36">
        <f>V67</f>
        <v>5625</v>
      </c>
      <c r="K67" s="36">
        <f>W67</f>
        <v>5625</v>
      </c>
      <c r="L67" s="36">
        <f>X67</f>
        <v>5625</v>
      </c>
      <c r="M67" s="36">
        <f>Y67</f>
        <v>5625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5625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5625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5625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5625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5625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5625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5625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5625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5625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5625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5625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5625</v>
      </c>
      <c r="Z67" s="46">
        <f>SUMIF($B$13:$Y$13,"Yes",B67:Y67)</f>
        <v>11250</v>
      </c>
      <c r="AA67" s="46">
        <f>SUM(B67:M67)</f>
        <v>67500</v>
      </c>
      <c r="AB67" s="46">
        <f>SUM(B67:Y67)</f>
        <v>135000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8000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8000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8000</v>
      </c>
      <c r="AB72" s="46">
        <f>SUM(B72:Y72)</f>
        <v>16000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7604166.6666667</v>
      </c>
      <c r="C74" s="46">
        <f>SUM(Calculations!$Q$14:$Q$16)/12</f>
        <v>7604166.6666667</v>
      </c>
      <c r="D74" s="46">
        <f>SUM(Calculations!$Q$14:$Q$16)/12</f>
        <v>7604166.6666667</v>
      </c>
      <c r="E74" s="46">
        <f>SUM(Calculations!$Q$14:$Q$16)/12</f>
        <v>7604166.6666667</v>
      </c>
      <c r="F74" s="46">
        <f>SUM(Calculations!$Q$14:$Q$16)/12</f>
        <v>7604166.6666667</v>
      </c>
      <c r="G74" s="46">
        <f>SUM(Calculations!$Q$14:$Q$16)/12</f>
        <v>7604166.6666667</v>
      </c>
      <c r="H74" s="46">
        <f>SUM(Calculations!$Q$14:$Q$16)/12</f>
        <v>7604166.6666667</v>
      </c>
      <c r="I74" s="46">
        <f>SUM(Calculations!$Q$14:$Q$16)/12</f>
        <v>7604166.6666667</v>
      </c>
      <c r="J74" s="46">
        <f>SUM(Calculations!$Q$14:$Q$16)/12</f>
        <v>7604166.6666667</v>
      </c>
      <c r="K74" s="46">
        <f>SUM(Calculations!$Q$14:$Q$16)/12</f>
        <v>7604166.6666667</v>
      </c>
      <c r="L74" s="46">
        <f>SUM(Calculations!$Q$14:$Q$16)/12</f>
        <v>7604166.6666667</v>
      </c>
      <c r="M74" s="46">
        <f>SUM(Calculations!$Q$14:$Q$16)/12</f>
        <v>7604166.6666667</v>
      </c>
      <c r="N74" s="46">
        <f>SUM(Calculations!$Q$14:$Q$16)/12</f>
        <v>7604166.6666667</v>
      </c>
      <c r="O74" s="46">
        <f>SUM(Calculations!$Q$14:$Q$16)/12</f>
        <v>7604166.6666667</v>
      </c>
      <c r="P74" s="46">
        <f>SUM(Calculations!$Q$14:$Q$16)/12</f>
        <v>7604166.6666667</v>
      </c>
      <c r="Q74" s="46">
        <f>SUM(Calculations!$Q$14:$Q$16)/12</f>
        <v>7604166.6666667</v>
      </c>
      <c r="R74" s="46">
        <f>SUM(Calculations!$Q$14:$Q$16)/12</f>
        <v>7604166.6666667</v>
      </c>
      <c r="S74" s="46">
        <f>SUM(Calculations!$Q$14:$Q$16)/12</f>
        <v>7604166.6666667</v>
      </c>
      <c r="T74" s="46">
        <f>SUM(Calculations!$Q$14:$Q$16)/12</f>
        <v>7604166.6666667</v>
      </c>
      <c r="U74" s="46">
        <f>SUM(Calculations!$Q$14:$Q$16)/12</f>
        <v>7604166.6666667</v>
      </c>
      <c r="V74" s="46">
        <f>SUM(Calculations!$Q$14:$Q$16)/12</f>
        <v>7604166.6666667</v>
      </c>
      <c r="W74" s="46">
        <f>SUM(Calculations!$Q$14:$Q$16)/12</f>
        <v>7604166.6666667</v>
      </c>
      <c r="X74" s="46">
        <f>SUM(Calculations!$Q$14:$Q$16)/12</f>
        <v>7604166.6666667</v>
      </c>
      <c r="Y74" s="46">
        <f>SUM(Calculations!$Q$14:$Q$16)/12</f>
        <v>7604166.6666667</v>
      </c>
      <c r="Z74" s="46">
        <f>SUMIF($B$13:$Y$13,"Yes",B74:Y74)</f>
        <v>15208333.333333</v>
      </c>
      <c r="AA74" s="46">
        <f>SUM(B74:M74)</f>
        <v>91250000</v>
      </c>
      <c r="AB74" s="46">
        <f>SUM(B74:Y74)</f>
        <v>182500000</v>
      </c>
    </row>
    <row r="75" spans="1:30">
      <c r="A75" s="16" t="s">
        <v>47</v>
      </c>
      <c r="B75" s="46">
        <f>SUM(Calculations!$R$14:$R$16)/12</f>
        <v>250000</v>
      </c>
      <c r="C75" s="46">
        <f>SUM(Calculations!$R$14:$R$16)/12</f>
        <v>250000</v>
      </c>
      <c r="D75" s="46">
        <f>SUM(Calculations!$R$14:$R$16)/12</f>
        <v>250000</v>
      </c>
      <c r="E75" s="46">
        <f>SUM(Calculations!$R$14:$R$16)/12</f>
        <v>250000</v>
      </c>
      <c r="F75" s="46">
        <f>SUM(Calculations!$R$14:$R$16)/12</f>
        <v>250000</v>
      </c>
      <c r="G75" s="46">
        <f>SUM(Calculations!$R$14:$R$16)/12</f>
        <v>250000</v>
      </c>
      <c r="H75" s="46">
        <f>SUM(Calculations!$R$14:$R$16)/12</f>
        <v>250000</v>
      </c>
      <c r="I75" s="46">
        <f>SUM(Calculations!$R$14:$R$16)/12</f>
        <v>250000</v>
      </c>
      <c r="J75" s="46">
        <f>SUM(Calculations!$R$14:$R$16)/12</f>
        <v>250000</v>
      </c>
      <c r="K75" s="46">
        <f>SUM(Calculations!$R$14:$R$16)/12</f>
        <v>250000</v>
      </c>
      <c r="L75" s="46">
        <f>SUM(Calculations!$R$14:$R$16)/12</f>
        <v>250000</v>
      </c>
      <c r="M75" s="46">
        <f>SUM(Calculations!$R$14:$R$16)/12</f>
        <v>250000</v>
      </c>
      <c r="N75" s="46">
        <f>SUM(Calculations!$R$14:$R$16)/12</f>
        <v>250000</v>
      </c>
      <c r="O75" s="46">
        <f>SUM(Calculations!$R$14:$R$16)/12</f>
        <v>250000</v>
      </c>
      <c r="P75" s="46">
        <f>SUM(Calculations!$R$14:$R$16)/12</f>
        <v>250000</v>
      </c>
      <c r="Q75" s="46">
        <f>SUM(Calculations!$R$14:$R$16)/12</f>
        <v>250000</v>
      </c>
      <c r="R75" s="46">
        <f>SUM(Calculations!$R$14:$R$16)/12</f>
        <v>250000</v>
      </c>
      <c r="S75" s="46">
        <f>SUM(Calculations!$R$14:$R$16)/12</f>
        <v>250000</v>
      </c>
      <c r="T75" s="46">
        <f>SUM(Calculations!$R$14:$R$16)/12</f>
        <v>250000</v>
      </c>
      <c r="U75" s="46">
        <f>SUM(Calculations!$R$14:$R$16)/12</f>
        <v>250000</v>
      </c>
      <c r="V75" s="46">
        <f>SUM(Calculations!$R$14:$R$16)/12</f>
        <v>250000</v>
      </c>
      <c r="W75" s="46">
        <f>SUM(Calculations!$R$14:$R$16)/12</f>
        <v>250000</v>
      </c>
      <c r="X75" s="46">
        <f>SUM(Calculations!$R$14:$R$16)/12</f>
        <v>250000</v>
      </c>
      <c r="Y75" s="46">
        <f>SUM(Calculations!$R$14:$R$16)/12</f>
        <v>250000</v>
      </c>
      <c r="Z75" s="46">
        <f>SUMIF($B$13:$Y$13,"Yes",B75:Y75)</f>
        <v>500000</v>
      </c>
      <c r="AA75" s="46">
        <f>SUM(B75:M75)</f>
        <v>3000000</v>
      </c>
      <c r="AB75" s="46">
        <f>SUM(B75:Y75)</f>
        <v>6000000</v>
      </c>
    </row>
    <row r="76" spans="1:30">
      <c r="A76" s="16" t="s">
        <v>48</v>
      </c>
      <c r="B76" s="46">
        <f>SUM(Calculations!$S$14:$S$16)/12</f>
        <v>291666.66666667</v>
      </c>
      <c r="C76" s="46">
        <f>SUM(Calculations!$S$14:$S$16)/12</f>
        <v>291666.66666667</v>
      </c>
      <c r="D76" s="46">
        <f>SUM(Calculations!$S$14:$S$16)/12</f>
        <v>291666.66666667</v>
      </c>
      <c r="E76" s="46">
        <f>SUM(Calculations!$S$14:$S$16)/12</f>
        <v>291666.66666667</v>
      </c>
      <c r="F76" s="46">
        <f>SUM(Calculations!$S$14:$S$16)/12</f>
        <v>291666.66666667</v>
      </c>
      <c r="G76" s="46">
        <f>SUM(Calculations!$S$14:$S$16)/12</f>
        <v>291666.66666667</v>
      </c>
      <c r="H76" s="46">
        <f>SUM(Calculations!$S$14:$S$16)/12</f>
        <v>291666.66666667</v>
      </c>
      <c r="I76" s="46">
        <f>SUM(Calculations!$S$14:$S$16)/12</f>
        <v>291666.66666667</v>
      </c>
      <c r="J76" s="46">
        <f>SUM(Calculations!$S$14:$S$16)/12</f>
        <v>291666.66666667</v>
      </c>
      <c r="K76" s="46">
        <f>SUM(Calculations!$S$14:$S$16)/12</f>
        <v>291666.66666667</v>
      </c>
      <c r="L76" s="46">
        <f>SUM(Calculations!$S$14:$S$16)/12</f>
        <v>291666.66666667</v>
      </c>
      <c r="M76" s="46">
        <f>SUM(Calculations!$S$14:$S$16)/12</f>
        <v>291666.66666667</v>
      </c>
      <c r="N76" s="46">
        <f>SUM(Calculations!$S$14:$S$16)/12</f>
        <v>291666.66666667</v>
      </c>
      <c r="O76" s="46">
        <f>SUM(Calculations!$S$14:$S$16)/12</f>
        <v>291666.66666667</v>
      </c>
      <c r="P76" s="46">
        <f>SUM(Calculations!$S$14:$S$16)/12</f>
        <v>291666.66666667</v>
      </c>
      <c r="Q76" s="46">
        <f>SUM(Calculations!$S$14:$S$16)/12</f>
        <v>291666.66666667</v>
      </c>
      <c r="R76" s="46">
        <f>SUM(Calculations!$S$14:$S$16)/12</f>
        <v>291666.66666667</v>
      </c>
      <c r="S76" s="46">
        <f>SUM(Calculations!$S$14:$S$16)/12</f>
        <v>291666.66666667</v>
      </c>
      <c r="T76" s="46">
        <f>SUM(Calculations!$S$14:$S$16)/12</f>
        <v>291666.66666667</v>
      </c>
      <c r="U76" s="46">
        <f>SUM(Calculations!$S$14:$S$16)/12</f>
        <v>291666.66666667</v>
      </c>
      <c r="V76" s="46">
        <f>SUM(Calculations!$S$14:$S$16)/12</f>
        <v>291666.66666667</v>
      </c>
      <c r="W76" s="46">
        <f>SUM(Calculations!$S$14:$S$16)/12</f>
        <v>291666.66666667</v>
      </c>
      <c r="X76" s="46">
        <f>SUM(Calculations!$S$14:$S$16)/12</f>
        <v>291666.66666667</v>
      </c>
      <c r="Y76" s="46">
        <f>SUM(Calculations!$S$14:$S$16)/12</f>
        <v>291666.66666667</v>
      </c>
      <c r="Z76" s="46">
        <f>SUMIF($B$13:$Y$13,"Yes",B76:Y76)</f>
        <v>583333.33333333</v>
      </c>
      <c r="AA76" s="46">
        <f>SUM(B76:M76)</f>
        <v>3500000</v>
      </c>
      <c r="AB76" s="46">
        <f>SUM(B76:Y76)</f>
        <v>7000000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7000</v>
      </c>
      <c r="C79" s="46">
        <f>Inputs!$B$31</f>
        <v>7000</v>
      </c>
      <c r="D79" s="46">
        <f>Inputs!$B$31</f>
        <v>7000</v>
      </c>
      <c r="E79" s="46">
        <f>Inputs!$B$31</f>
        <v>7000</v>
      </c>
      <c r="F79" s="46">
        <f>Inputs!$B$31</f>
        <v>7000</v>
      </c>
      <c r="G79" s="46">
        <f>Inputs!$B$31</f>
        <v>7000</v>
      </c>
      <c r="H79" s="46">
        <f>Inputs!$B$31</f>
        <v>7000</v>
      </c>
      <c r="I79" s="46">
        <f>Inputs!$B$31</f>
        <v>7000</v>
      </c>
      <c r="J79" s="46">
        <f>Inputs!$B$31</f>
        <v>7000</v>
      </c>
      <c r="K79" s="46">
        <f>Inputs!$B$31</f>
        <v>7000</v>
      </c>
      <c r="L79" s="46">
        <f>Inputs!$B$31</f>
        <v>7000</v>
      </c>
      <c r="M79" s="46">
        <f>Inputs!$B$31</f>
        <v>7000</v>
      </c>
      <c r="N79" s="46">
        <f>Inputs!$B$31</f>
        <v>7000</v>
      </c>
      <c r="O79" s="46">
        <f>Inputs!$B$31</f>
        <v>7000</v>
      </c>
      <c r="P79" s="46">
        <f>Inputs!$B$31</f>
        <v>7000</v>
      </c>
      <c r="Q79" s="46">
        <f>Inputs!$B$31</f>
        <v>7000</v>
      </c>
      <c r="R79" s="46">
        <f>Inputs!$B$31</f>
        <v>7000</v>
      </c>
      <c r="S79" s="46">
        <f>Inputs!$B$31</f>
        <v>7000</v>
      </c>
      <c r="T79" s="46">
        <f>Inputs!$B$31</f>
        <v>7000</v>
      </c>
      <c r="U79" s="46">
        <f>Inputs!$B$31</f>
        <v>7000</v>
      </c>
      <c r="V79" s="46">
        <f>Inputs!$B$31</f>
        <v>7000</v>
      </c>
      <c r="W79" s="46">
        <f>Inputs!$B$31</f>
        <v>7000</v>
      </c>
      <c r="X79" s="46">
        <f>Inputs!$B$31</f>
        <v>7000</v>
      </c>
      <c r="Y79" s="46">
        <f>Inputs!$B$31</f>
        <v>7000</v>
      </c>
      <c r="Z79" s="46">
        <f>SUMIF($B$13:$Y$13,"Yes",B79:Y79)</f>
        <v>14000</v>
      </c>
      <c r="AA79" s="46">
        <f>SUM(B79:M79)</f>
        <v>84000</v>
      </c>
      <c r="AB79" s="46">
        <f>SUM(B79:Y79)</f>
        <v>168000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15000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15000</v>
      </c>
      <c r="AB80" s="46">
        <f>SUM(B80:Y80)</f>
        <v>15000</v>
      </c>
    </row>
    <row r="81" spans="1:30">
      <c r="A81" s="43" t="s">
        <v>51</v>
      </c>
      <c r="B81" s="46">
        <f>(SUM($AA$18:$AA$29)-SUM($AA$36,$AA$42,$AA$48,$AA$54,$AA$60,$AA$66,$AA$72:$AA$79))*Parameters!$B$37/12</f>
        <v>678736.322054</v>
      </c>
      <c r="C81" s="46">
        <f>(SUM($AA$18:$AA$29)-SUM($AA$36,$AA$42,$AA$48,$AA$54,$AA$60,$AA$66,$AA$72:$AA$79))*Parameters!$B$37/12</f>
        <v>678736.322054</v>
      </c>
      <c r="D81" s="46">
        <f>(SUM($AA$18:$AA$29)-SUM($AA$36,$AA$42,$AA$48,$AA$54,$AA$60,$AA$66,$AA$72:$AA$79))*Parameters!$B$37/12</f>
        <v>678736.322054</v>
      </c>
      <c r="E81" s="46">
        <f>(SUM($AA$18:$AA$29)-SUM($AA$36,$AA$42,$AA$48,$AA$54,$AA$60,$AA$66,$AA$72:$AA$79))*Parameters!$B$37/12</f>
        <v>678736.322054</v>
      </c>
      <c r="F81" s="46">
        <f>(SUM($AA$18:$AA$29)-SUM($AA$36,$AA$42,$AA$48,$AA$54,$AA$60,$AA$66,$AA$72:$AA$79))*Parameters!$B$37/12</f>
        <v>678736.322054</v>
      </c>
      <c r="G81" s="46">
        <f>(SUM($AA$18:$AA$29)-SUM($AA$36,$AA$42,$AA$48,$AA$54,$AA$60,$AA$66,$AA$72:$AA$79))*Parameters!$B$37/12</f>
        <v>678736.322054</v>
      </c>
      <c r="H81" s="46">
        <f>(SUM($AA$18:$AA$29)-SUM($AA$36,$AA$42,$AA$48,$AA$54,$AA$60,$AA$66,$AA$72:$AA$79))*Parameters!$B$37/12</f>
        <v>678736.322054</v>
      </c>
      <c r="I81" s="46">
        <f>(SUM($AA$18:$AA$29)-SUM($AA$36,$AA$42,$AA$48,$AA$54,$AA$60,$AA$66,$AA$72:$AA$79))*Parameters!$B$37/12</f>
        <v>678736.322054</v>
      </c>
      <c r="J81" s="46">
        <f>(SUM($AA$18:$AA$29)-SUM($AA$36,$AA$42,$AA$48,$AA$54,$AA$60,$AA$66,$AA$72:$AA$79))*Parameters!$B$37/12</f>
        <v>678736.322054</v>
      </c>
      <c r="K81" s="46">
        <f>(SUM($AA$18:$AA$29)-SUM($AA$36,$AA$42,$AA$48,$AA$54,$AA$60,$AA$66,$AA$72:$AA$79))*Parameters!$B$37/12</f>
        <v>678736.322054</v>
      </c>
      <c r="L81" s="46">
        <f>(SUM($AA$18:$AA$29)-SUM($AA$36,$AA$42,$AA$48,$AA$54,$AA$60,$AA$66,$AA$72:$AA$79))*Parameters!$B$37/12</f>
        <v>678736.322054</v>
      </c>
      <c r="M81" s="46">
        <f>(SUM($AA$18:$AA$29)-SUM($AA$36,$AA$42,$AA$48,$AA$54,$AA$60,$AA$66,$AA$72:$AA$79))*Parameters!$B$37/12</f>
        <v>678736.322054</v>
      </c>
      <c r="N81" s="46">
        <f>(SUM($AA$18:$AA$29)-SUM($AA$36,$AA$42,$AA$48,$AA$54,$AA$60,$AA$66,$AA$72:$AA$79))*Parameters!$B$37/12</f>
        <v>678736.322054</v>
      </c>
      <c r="O81" s="46">
        <f>(SUM($AA$18:$AA$29)-SUM($AA$36,$AA$42,$AA$48,$AA$54,$AA$60,$AA$66,$AA$72:$AA$79))*Parameters!$B$37/12</f>
        <v>678736.322054</v>
      </c>
      <c r="P81" s="46">
        <f>(SUM($AA$18:$AA$29)-SUM($AA$36,$AA$42,$AA$48,$AA$54,$AA$60,$AA$66,$AA$72:$AA$79))*Parameters!$B$37/12</f>
        <v>678736.322054</v>
      </c>
      <c r="Q81" s="46">
        <f>(SUM($AA$18:$AA$29)-SUM($AA$36,$AA$42,$AA$48,$AA$54,$AA$60,$AA$66,$AA$72:$AA$79))*Parameters!$B$37/12</f>
        <v>678736.322054</v>
      </c>
      <c r="R81" s="46">
        <f>(SUM($AA$18:$AA$29)-SUM($AA$36,$AA$42,$AA$48,$AA$54,$AA$60,$AA$66,$AA$72:$AA$79))*Parameters!$B$37/12</f>
        <v>678736.322054</v>
      </c>
      <c r="S81" s="46">
        <f>(SUM($AA$18:$AA$29)-SUM($AA$36,$AA$42,$AA$48,$AA$54,$AA$60,$AA$66,$AA$72:$AA$79))*Parameters!$B$37/12</f>
        <v>678736.322054</v>
      </c>
      <c r="T81" s="46">
        <f>(SUM($AA$18:$AA$29)-SUM($AA$36,$AA$42,$AA$48,$AA$54,$AA$60,$AA$66,$AA$72:$AA$79))*Parameters!$B$37/12</f>
        <v>678736.322054</v>
      </c>
      <c r="U81" s="46">
        <f>(SUM($AA$18:$AA$29)-SUM($AA$36,$AA$42,$AA$48,$AA$54,$AA$60,$AA$66,$AA$72:$AA$79))*Parameters!$B$37/12</f>
        <v>678736.322054</v>
      </c>
      <c r="V81" s="46">
        <f>(SUM($AA$18:$AA$29)-SUM($AA$36,$AA$42,$AA$48,$AA$54,$AA$60,$AA$66,$AA$72:$AA$79))*Parameters!$B$37/12</f>
        <v>678736.322054</v>
      </c>
      <c r="W81" s="46">
        <f>(SUM($AA$18:$AA$29)-SUM($AA$36,$AA$42,$AA$48,$AA$54,$AA$60,$AA$66,$AA$72:$AA$79))*Parameters!$B$37/12</f>
        <v>678736.322054</v>
      </c>
      <c r="X81" s="46">
        <f>(SUM($AA$18:$AA$29)-SUM($AA$36,$AA$42,$AA$48,$AA$54,$AA$60,$AA$66,$AA$72:$AA$79))*Parameters!$B$37/12</f>
        <v>678736.322054</v>
      </c>
      <c r="Y81" s="46">
        <f>(SUM($AA$18:$AA$29)-SUM($AA$36,$AA$42,$AA$48,$AA$54,$AA$60,$AA$66,$AA$72:$AA$79))*Parameters!$B$37/12</f>
        <v>678736.322054</v>
      </c>
      <c r="Z81" s="46">
        <f>SUMIF($B$13:$Y$13,"Yes",B81:Y81)</f>
        <v>1357472.644108</v>
      </c>
      <c r="AA81" s="46">
        <f>SUM(B81:M81)</f>
        <v>8144835.864648</v>
      </c>
      <c r="AB81" s="46">
        <f>SUM(B81:Y81)</f>
        <v>16289671.729296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8841244.6553873</v>
      </c>
      <c r="C88" s="19">
        <f>SUM(C72:C82,C66,C60,C54,C48,C42,C36)</f>
        <v>8841244.6553873</v>
      </c>
      <c r="D88" s="19">
        <f>SUM(D72:D82,D66,D60,D54,D48,D42,D36)</f>
        <v>8860044.6553873</v>
      </c>
      <c r="E88" s="19">
        <f>SUM(E72:E82,E66,E60,E54,E48,E42,E36)</f>
        <v>8856244.6553873</v>
      </c>
      <c r="F88" s="19">
        <f>SUM(F72:F82,F66,F60,F54,F48,F42,F36)</f>
        <v>8841244.6553873</v>
      </c>
      <c r="G88" s="19">
        <f>SUM(G72:G82,G66,G60,G54,G48,G42,G36)</f>
        <v>8841244.6553873</v>
      </c>
      <c r="H88" s="19">
        <f>SUM(H72:H82,H66,H60,H54,H48,H42,H36)</f>
        <v>8841244.6553873</v>
      </c>
      <c r="I88" s="19">
        <f>SUM(I72:I82,I66,I60,I54,I48,I42,I36)</f>
        <v>8841244.6553873</v>
      </c>
      <c r="J88" s="19">
        <f>SUM(J72:J82,J66,J60,J54,J48,J42,J36)</f>
        <v>8841244.6553873</v>
      </c>
      <c r="K88" s="19">
        <f>SUM(K72:K82,K66,K60,K54,K48,K42,K36)</f>
        <v>8841244.6553873</v>
      </c>
      <c r="L88" s="19">
        <f>SUM(L72:L82,L66,L60,L54,L48,L42,L36)</f>
        <v>8841244.6553873</v>
      </c>
      <c r="M88" s="19">
        <f>SUM(M72:M82,M66,M60,M54,M48,M42,M36)</f>
        <v>8841244.6553873</v>
      </c>
      <c r="N88" s="19">
        <f>SUM(N72:N82,N66,N60,N54,N48,N42,N36)</f>
        <v>8841244.6553873</v>
      </c>
      <c r="O88" s="19">
        <f>SUM(O72:O82,O66,O60,O54,O48,O42,O36)</f>
        <v>8841244.6553873</v>
      </c>
      <c r="P88" s="19">
        <f>SUM(P72:P82,P66,P60,P54,P48,P42,P36)</f>
        <v>8860044.6553873</v>
      </c>
      <c r="Q88" s="19">
        <f>SUM(Q72:Q82,Q66,Q60,Q54,Q48,Q42,Q36)</f>
        <v>8841244.6553873</v>
      </c>
      <c r="R88" s="19">
        <f>SUM(R72:R82,R66,R60,R54,R48,R42,R36)</f>
        <v>8841244.6553873</v>
      </c>
      <c r="S88" s="19">
        <f>SUM(S72:S82,S66,S60,S54,S48,S42,S36)</f>
        <v>8841244.6553873</v>
      </c>
      <c r="T88" s="19">
        <f>SUM(T72:T82,T66,T60,T54,T48,T42,T36)</f>
        <v>8841244.6553873</v>
      </c>
      <c r="U88" s="19">
        <f>SUM(U72:U82,U66,U60,U54,U48,U42,U36)</f>
        <v>8841244.6553873</v>
      </c>
      <c r="V88" s="19">
        <f>SUM(V72:V82,V66,V60,V54,V48,V42,V36)</f>
        <v>8841244.6553873</v>
      </c>
      <c r="W88" s="19">
        <f>SUM(W72:W82,W66,W60,W54,W48,W42,W36)</f>
        <v>8841244.6553873</v>
      </c>
      <c r="X88" s="19">
        <f>SUM(X72:X82,X66,X60,X54,X48,X42,X36)</f>
        <v>8841244.6553873</v>
      </c>
      <c r="Y88" s="19">
        <f>SUM(Y72:Y82,Y66,Y60,Y54,Y48,Y42,Y36)</f>
        <v>8841244.6553873</v>
      </c>
      <c r="Z88" s="19">
        <f>SUMIF($B$13:$Y$13,"Yes",B88:Y88)</f>
        <v>17682489.310775</v>
      </c>
      <c r="AA88" s="19">
        <f>SUM(B88:M88)</f>
        <v>106128735.86465</v>
      </c>
      <c r="AB88" s="19">
        <f>SUM(B88:Y88)</f>
        <v>212242471.7293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250000000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60000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250960000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5.4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5000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>
        <v>40</v>
      </c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50000</v>
      </c>
    </row>
    <row r="31" spans="1:48">
      <c r="A31" s="5" t="s">
        <v>116</v>
      </c>
      <c r="B31" s="158">
        <v>7000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 t="s">
        <v>122</v>
      </c>
      <c r="B35" s="159">
        <v>15000</v>
      </c>
      <c r="C35" s="145" t="s">
        <v>123</v>
      </c>
      <c r="D35" s="49">
        <f>IFERROR(VLOOKUP(C35,Parameters!$C$79:$D$90,2,0),"")</f>
        <v>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126</v>
      </c>
    </row>
    <row r="41" spans="1:48">
      <c r="A41" s="55" t="s">
        <v>127</v>
      </c>
      <c r="B41" s="140">
        <v>8000</v>
      </c>
    </row>
    <row r="42" spans="1:48">
      <c r="A42" s="55" t="s">
        <v>128</v>
      </c>
      <c r="B42" s="139" t="s">
        <v>94</v>
      </c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500000</v>
      </c>
    </row>
    <row r="46" spans="1:48" customHeight="1" ht="30">
      <c r="A46" s="57" t="s">
        <v>133</v>
      </c>
      <c r="B46" s="161">
        <v>60000</v>
      </c>
    </row>
    <row r="47" spans="1:48" customHeight="1" ht="30">
      <c r="A47" s="57" t="s">
        <v>134</v>
      </c>
      <c r="B47" s="161">
        <v>250000</v>
      </c>
    </row>
    <row r="48" spans="1:48" customHeight="1" ht="30">
      <c r="A48" s="57" t="s">
        <v>135</v>
      </c>
      <c r="B48" s="161">
        <v>100000</v>
      </c>
    </row>
    <row r="49" spans="1:48" customHeight="1" ht="30">
      <c r="A49" s="57" t="s">
        <v>136</v>
      </c>
      <c r="B49" s="161">
        <v>50000</v>
      </c>
    </row>
    <row r="50" spans="1:48">
      <c r="A50" s="43"/>
      <c r="B50" s="36"/>
    </row>
    <row r="51" spans="1:48">
      <c r="A51" s="58" t="s">
        <v>137</v>
      </c>
      <c r="B51" s="161">
        <v>10000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146</v>
      </c>
      <c r="C65" s="10" t="s">
        <v>147</v>
      </c>
    </row>
    <row r="66" spans="1:48">
      <c r="A66" s="142" t="s">
        <v>94</v>
      </c>
      <c r="B66" s="159">
        <v>100000</v>
      </c>
      <c r="C66" s="163">
        <v>5000</v>
      </c>
      <c r="D66" s="49">
        <f>INDEX(Parameters!$D$79:$D$90,MATCH(Inputs!A66,Parameters!$C$79:$C$90,0))</f>
        <v>1</v>
      </c>
    </row>
    <row r="67" spans="1:48">
      <c r="A67" s="143" t="s">
        <v>123</v>
      </c>
      <c r="B67" s="157">
        <v>60000</v>
      </c>
      <c r="C67" s="165">
        <v>9000</v>
      </c>
      <c r="D67" s="49">
        <f>INDEX(Parameters!$D$79:$D$90,MATCH(Inputs!A67,Parameters!$C$79:$C$90,0))</f>
        <v>2</v>
      </c>
    </row>
    <row r="68" spans="1:48">
      <c r="A68" s="143" t="s">
        <v>148</v>
      </c>
      <c r="B68" s="157">
        <v>200000</v>
      </c>
      <c r="C68" s="165">
        <v>60000</v>
      </c>
      <c r="D68" s="49">
        <f>INDEX(Parameters!$D$79:$D$90,MATCH(Inputs!A68,Parameters!$C$79:$C$90,0))</f>
        <v>3</v>
      </c>
    </row>
    <row r="69" spans="1:48">
      <c r="A69" s="143" t="s">
        <v>149</v>
      </c>
      <c r="B69" s="157">
        <v>9000</v>
      </c>
      <c r="C69" s="165">
        <v>800</v>
      </c>
      <c r="D69" s="49">
        <f>INDEX(Parameters!$D$79:$D$90,MATCH(Inputs!A69,Parameters!$C$79:$C$90,0))</f>
        <v>4</v>
      </c>
    </row>
    <row r="70" spans="1:48">
      <c r="A70" s="143" t="s">
        <v>150</v>
      </c>
      <c r="B70" s="157">
        <v>36000</v>
      </c>
      <c r="C70" s="165">
        <v>5000</v>
      </c>
      <c r="D70" s="49">
        <f>INDEX(Parameters!$D$79:$D$90,MATCH(Inputs!A70,Parameters!$C$79:$C$90,0))</f>
        <v>6</v>
      </c>
    </row>
    <row r="71" spans="1:48">
      <c r="A71" s="144" t="s">
        <v>151</v>
      </c>
      <c r="B71" s="158">
        <v>10500</v>
      </c>
      <c r="C71" s="167">
        <v>6000</v>
      </c>
      <c r="D71" s="49">
        <f>INDEX(Parameters!$D$79:$D$90,MATCH(Inputs!A71,Parameters!$C$79:$C$90,0))</f>
        <v>7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18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2</v>
      </c>
    </row>
    <row r="85" spans="1:48">
      <c r="A85" t="s">
        <v>165</v>
      </c>
      <c r="B85" s="169">
        <v>6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42675</v>
      </c>
      <c r="AD3" s="59">
        <f>Output!C5</f>
        <v>42705</v>
      </c>
      <c r="AE3" s="59">
        <f>Output!D5</f>
        <v>42736</v>
      </c>
      <c r="AF3" s="59">
        <f>Output!E5</f>
        <v>42767</v>
      </c>
      <c r="AG3" s="59">
        <f>Output!F5</f>
        <v>42795</v>
      </c>
      <c r="AH3" s="59">
        <f>Output!G5</f>
        <v>42826</v>
      </c>
      <c r="AI3" s="59">
        <f>Output!H5</f>
        <v>42856</v>
      </c>
      <c r="AJ3" s="59">
        <f>Output!I5</f>
        <v>42887</v>
      </c>
      <c r="AK3" s="59">
        <f>Output!J5</f>
        <v>42917</v>
      </c>
      <c r="AL3" s="59">
        <f>Output!K5</f>
        <v>42948</v>
      </c>
      <c r="AM3" s="59">
        <f>Output!L5</f>
        <v>42979</v>
      </c>
      <c r="AN3" s="59">
        <f>Output!M5</f>
        <v>43009</v>
      </c>
      <c r="AO3" s="59">
        <f>Output!N5</f>
        <v>43040</v>
      </c>
      <c r="AP3" s="59">
        <f>Output!O5</f>
        <v>43070</v>
      </c>
      <c r="AQ3" s="59">
        <f>Output!P5</f>
        <v>43101</v>
      </c>
      <c r="AR3" s="59">
        <f>Output!Q5</f>
        <v>43132</v>
      </c>
      <c r="AS3" s="59">
        <f>Output!R5</f>
        <v>43160</v>
      </c>
      <c r="AT3" s="59">
        <f>Output!S5</f>
        <v>43191</v>
      </c>
    </row>
    <row r="4" spans="1:46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42736</v>
      </c>
      <c r="C4" s="38">
        <f>IFERROR(DATE(YEAR(B4),MONTH(B4)+ROUND(T4/2,0),DAY(B4)),B4)</f>
        <v>42736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5.4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7601.2286</v>
      </c>
      <c r="M4" s="25">
        <f>L4*H4</f>
        <v>41046.63444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</v>
      </c>
      <c r="Q4" s="33">
        <f>M4*O4*(1-N4)*MAX(S4,1)</f>
        <v>861979.32324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10800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10800</v>
      </c>
      <c r="Z4" s="33">
        <f>IF(Inputs!I7=Parameters!$F$78,H4*INDEX(Parameters!$A$3:$AI$18,MATCH(Calculations!A4,Parameters!$A$3:$A$18,0),MATCH(Parameters!$Q$3,Parameters!$A$3:$AI$3,0)),0)</f>
        <v>37800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67500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46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5000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5.1</v>
      </c>
      <c r="H14" s="121">
        <f>IFERROR(IF(B14="meat",INDEX(Parameters!$A$22:$P$29,MATCH(Calculations!A14,Parameters!$A$22:$A$29,0),MATCH(Parameters!$I$22,Parameters!$A$22:$P$22,0))*G14,""),"")</f>
        <v>510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0.4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117300000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91250000</v>
      </c>
      <c r="R14" s="63">
        <f>IFERROR(D14*INDEX(Parameters!$A$22:$P$29,MATCH(Calculations!$A14,Parameters!$A$22:$A$29,0),MATCH(Parameters!$M$22,Parameters!$A$22:$P$22,0)),"")</f>
        <v>3000000</v>
      </c>
      <c r="S14" s="63">
        <f>IFERROR(D14*INDEX(Parameters!$A$22:$P$29,MATCH(Calculations!$A14,Parameters!$A$22:$A$29,0),MATCH(Parameters!$N$22,Parameters!$A$22:$P$22,0)),"")</f>
        <v>3500000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139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Matuu</v>
      </c>
    </row>
    <row r="33" spans="1:46">
      <c r="A33">
        <v>1</v>
      </c>
      <c r="B33" s="128">
        <f>G34</f>
        <v>42697</v>
      </c>
      <c r="C33" s="27">
        <f>IF(B33&lt;&gt;"",IF(COUNT($A$33:A33)&lt;=$G$39,0,$G$41)+IF(COUNT($A$33:A33)&lt;=$G$40,0,$G$42),0)</f>
        <v>34023.744292237</v>
      </c>
      <c r="D33" s="170">
        <f>IFERROR(DATE(YEAR(B33),MONTH(B33),1)," ")</f>
        <v>42675</v>
      </c>
      <c r="F33" t="s">
        <v>157</v>
      </c>
      <c r="G33" s="128">
        <f>IF(Inputs!B79="","",DATE(YEAR(Inputs!B79),MONTH(Inputs!B79),DAY(Inputs!B79)))</f>
        <v>42690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42711</v>
      </c>
      <c r="C34" s="27">
        <f>IF(B34&lt;&gt;"",IF(COUNT($A$33:A34)&lt;=$G$39,0,$G$41)+IF(COUNT($A$33:A34)&lt;=$G$40,0,$G$42),0)</f>
        <v>34023.744292237</v>
      </c>
      <c r="D34" s="170">
        <f>IFERROR(DATE(YEAR(B34),MONTH(B34),1)," ")</f>
        <v>42705</v>
      </c>
      <c r="F34" t="s">
        <v>158</v>
      </c>
      <c r="G34" s="128">
        <f>IF(Inputs!B80="","",DATE(YEAR(Inputs!B80),MONTH(Inputs!B80),DAY(Inputs!B80)))</f>
        <v>42697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42725</v>
      </c>
      <c r="C35" s="27">
        <f>IF(B35&lt;&gt;"",IF(COUNT($A$33:A35)&lt;=$G$39,0,$G$41)+IF(COUNT($A$33:A35)&lt;=$G$40,0,$G$42),0)</f>
        <v>34023.744292237</v>
      </c>
      <c r="D35" s="170">
        <f>IFERROR(DATE(YEAR(B35),MONTH(B35),1)," ")</f>
        <v>42705</v>
      </c>
      <c r="F35" t="s">
        <v>160</v>
      </c>
      <c r="G35" s="27">
        <f>Inputs!B81</f>
        <v>100000</v>
      </c>
    </row>
    <row r="36" spans="1:46">
      <c r="A36">
        <f>A35+1</f>
        <v>4</v>
      </c>
      <c r="B36" s="128" t="str">
        <f>IFERROR(IF(COUNT($A$33:A36)&lt;=$G$38,IF($G$37="Monthly",DATE(YEAR(B35),MONTH(B35)+1,MIN(DAY(B35),28)),B35+14),""),"")</f>
        <v/>
      </c>
      <c r="C36" s="27">
        <f>IF(B36&lt;&gt;"",IF(COUNT($A$33:A36)&lt;=$G$39,0,$G$41)+IF(COUNT($A$33:A36)&lt;=$G$40,0,$G$42),0)</f>
        <v>0</v>
      </c>
      <c r="D36" s="170" t="str">
        <f>IFERROR(DATE(YEAR(B36),MONTH(B36),1)," ")</f>
        <v> </v>
      </c>
      <c r="F36" t="s">
        <v>161</v>
      </c>
      <c r="G36" s="130">
        <f>Inputs!B82/100</f>
        <v>0.18</v>
      </c>
    </row>
    <row r="37" spans="1:46">
      <c r="A37">
        <f>A36+1</f>
        <v>5</v>
      </c>
      <c r="B37" s="128" t="str">
        <f>IFERROR(IF(COUNT($A$33:A37)&lt;=$G$38,IF($G$37="Monthly",DATE(YEAR(B36),MONTH(B36)+1,MIN(DAY(B36),28)),B36+14),""),"")</f>
        <v/>
      </c>
      <c r="C37" s="27">
        <f>IF(B37&lt;&gt;"",IF(COUNT($A$33:A37)&lt;=$G$39,0,$G$41)+IF(COUNT($A$33:A37)&lt;=$G$40,0,$G$42),0)</f>
        <v>0</v>
      </c>
      <c r="D37" s="170" t="str">
        <f>IFERROR(DATE(YEAR(B37),MONTH(B37),1)," ")</f>
        <v> 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8" t="str">
        <f>IFERROR(IF(COUNT($A$33:A38)&lt;=$G$38,IF($G$37="Monthly",DATE(YEAR(B37),MONTH(B37)+1,MIN(DAY(B37),28)),B37+14),""),"")</f>
        <v/>
      </c>
      <c r="C38" s="27">
        <f>IF(B38&lt;&gt;"",IF(COUNT($A$33:A38)&lt;=$G$39,0,$G$41)+IF(COUNT($A$33:A38)&lt;=$G$40,0,$G$42),0)</f>
        <v>0</v>
      </c>
      <c r="D38" s="170" t="str">
        <f>IFERROR(DATE(YEAR(B38),MONTH(B38),1)," ")</f>
        <v> </v>
      </c>
      <c r="F38" t="s">
        <v>223</v>
      </c>
      <c r="G38" s="27">
        <f>IFERROR(Inputs!B85/Inputs!B84,"")</f>
        <v>3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166</v>
      </c>
      <c r="G39" s="27">
        <f>IF(Inputs!B86="",0,Inputs!B86)</f>
        <v>0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167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224</v>
      </c>
      <c r="G41" s="73">
        <f>IFERROR(G35/(G38-G39),"")</f>
        <v>33333.333333333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225</v>
      </c>
      <c r="G42" s="73">
        <f>IFERROR(G35*G36*IF(G37="Monthly",G38/12,IF(G37="Fortnightly",G38/(365/14),G38/(365/28)))/(G38-G40),"")</f>
        <v>690.41095890411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89</v>
      </c>
      <c r="B4" s="94">
        <v>6609.764</v>
      </c>
      <c r="C4" s="95">
        <v>0.51291332035455</v>
      </c>
      <c r="D4" s="96">
        <v>0.1</v>
      </c>
      <c r="E4" s="96">
        <v>0.2</v>
      </c>
      <c r="F4" s="96">
        <v>0.15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</v>
      </c>
      <c r="Y4" s="96">
        <f>1/12</f>
        <v>0.083333333333333</v>
      </c>
      <c r="Z4" s="96">
        <f>1/12</f>
        <v>0.083333333333333</v>
      </c>
      <c r="AA4" s="96">
        <f>1/12</f>
        <v>0.083333333333333</v>
      </c>
      <c r="AB4" s="96">
        <f>1/12</f>
        <v>0.083333333333333</v>
      </c>
      <c r="AC4" s="96">
        <f>1/12</f>
        <v>0.083333333333333</v>
      </c>
      <c r="AD4" s="96">
        <f>1/12</f>
        <v>0.083333333333333</v>
      </c>
      <c r="AE4" s="96">
        <f>1/12</f>
        <v>0.083333333333333</v>
      </c>
      <c r="AF4" s="96">
        <f>1/12</f>
        <v>0.083333333333333</v>
      </c>
      <c r="AG4" s="96">
        <f>1/12</f>
        <v>0.083333333333333</v>
      </c>
      <c r="AH4" s="96">
        <f>1/12</f>
        <v>0.083333333333333</v>
      </c>
      <c r="AI4" s="96">
        <f>1/12</f>
        <v>0.083333333333333</v>
      </c>
    </row>
    <row r="5" spans="1:36" s="93" customFormat="1">
      <c r="A5" s="98" t="s">
        <v>260</v>
      </c>
      <c r="B5" s="99">
        <v>150</v>
      </c>
      <c r="C5" s="100">
        <v>1.0748881555995</v>
      </c>
      <c r="D5" s="101">
        <v>0.31984431374229</v>
      </c>
      <c r="E5" s="101">
        <v>0.67522688456706</v>
      </c>
      <c r="F5" s="101">
        <v>0.91796384131045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</v>
      </c>
      <c r="D6" s="96">
        <v>0.44189611030718</v>
      </c>
      <c r="E6" s="96">
        <v>0.77331819303757</v>
      </c>
      <c r="F6" s="96">
        <v>0.56469252326844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</v>
      </c>
      <c r="D7" s="96">
        <v>0.47226495803943</v>
      </c>
      <c r="E7" s="96">
        <v>0.70839743705914</v>
      </c>
      <c r="F7" s="96">
        <v>0.29602564190694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</v>
      </c>
      <c r="D8" s="96">
        <v>0.060879068533093</v>
      </c>
      <c r="E8" s="96">
        <v>0.12175813706619</v>
      </c>
      <c r="F8" s="96">
        <v>0.019780124605624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</v>
      </c>
      <c r="D9" s="96">
        <v>0.95680214690403</v>
      </c>
      <c r="E9" s="96">
        <v>1.5946702448401</v>
      </c>
      <c r="F9" s="96">
        <v>1.4216922285174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0.12820512820513</v>
      </c>
      <c r="Y9" s="96">
        <v>0.12820512820513</v>
      </c>
      <c r="Z9" s="96">
        <v>0.1025641025641</v>
      </c>
      <c r="AA9" s="96">
        <v>0.051282051282051</v>
      </c>
      <c r="AB9" s="96">
        <v>0</v>
      </c>
      <c r="AC9" s="96">
        <v>0.12820512820513</v>
      </c>
      <c r="AD9" s="96">
        <v>0.12820512820513</v>
      </c>
      <c r="AE9" s="96">
        <v>0.051282051282051</v>
      </c>
      <c r="AF9" s="96">
        <v>0</v>
      </c>
      <c r="AG9" s="96">
        <v>0.051282051282051</v>
      </c>
      <c r="AH9" s="96">
        <v>0.1025641025641</v>
      </c>
      <c r="AI9" s="96">
        <v>0.12820512820513</v>
      </c>
    </row>
    <row r="10" spans="1:36" s="21" customFormat="1">
      <c r="A10" s="21" t="s">
        <v>267</v>
      </c>
      <c r="B10" s="72">
        <v>400</v>
      </c>
      <c r="C10" s="105">
        <v>0.46268074827689</v>
      </c>
      <c r="D10" s="106">
        <v>0.61871944545544</v>
      </c>
      <c r="E10" s="106">
        <v>0.92807916818317</v>
      </c>
      <c r="F10" s="106">
        <v>0.39619525971885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0.17631626935148</v>
      </c>
      <c r="D11" s="96">
        <v>0.1648744131117</v>
      </c>
      <c r="E11" s="96">
        <v>0.32974882622341</v>
      </c>
      <c r="F11" s="96">
        <v>0.27860464059943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4.2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0.22900763358779</v>
      </c>
      <c r="Y11" s="96">
        <v>0.22900763358779</v>
      </c>
      <c r="Z11" s="96">
        <v>0.13740458015267</v>
      </c>
      <c r="AA11" s="96">
        <v>0.038167938931298</v>
      </c>
      <c r="AB11" s="96">
        <v>0.0076335877862595</v>
      </c>
      <c r="AC11" s="96">
        <v>0.0076335877862595</v>
      </c>
      <c r="AD11" s="96">
        <v>0.0076335877862595</v>
      </c>
      <c r="AE11" s="96">
        <v>0.0076335877862595</v>
      </c>
      <c r="AF11" s="96">
        <v>0.030534351145038</v>
      </c>
      <c r="AG11" s="96">
        <v>0.045801526717557</v>
      </c>
      <c r="AH11" s="96">
        <v>0.076335877862595</v>
      </c>
      <c r="AI11" s="96">
        <v>0.18320610687023</v>
      </c>
    </row>
    <row r="12" spans="1:36" s="93" customFormat="1">
      <c r="A12" s="93" t="s">
        <v>269</v>
      </c>
      <c r="B12" s="94">
        <v>1634.843</v>
      </c>
      <c r="C12" s="95">
        <v>0.60958552114631</v>
      </c>
      <c r="D12" s="96">
        <v>0.36227795775695</v>
      </c>
      <c r="E12" s="96">
        <v>0.7245559155139</v>
      </c>
      <c r="F12" s="96">
        <v>0.32215953522733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0.75274295119743</v>
      </c>
      <c r="D13" s="106">
        <v>0.37637147559871</v>
      </c>
      <c r="E13" s="106">
        <v>0.75274295119743</v>
      </c>
      <c r="F13" s="106">
        <v>0.6275470261119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0.05</v>
      </c>
      <c r="E14" s="96">
        <v>0.075</v>
      </c>
      <c r="F14" s="96">
        <v>0.05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</v>
      </c>
      <c r="D15" s="96">
        <v>0.62626844738571</v>
      </c>
      <c r="E15" s="96">
        <v>1.1272832052943</v>
      </c>
      <c r="F15" s="96">
        <v>0.11962273962856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</v>
      </c>
      <c r="V15" s="96">
        <v>0</v>
      </c>
      <c r="W15" s="94" t="s">
        <v>259</v>
      </c>
      <c r="X15" s="96">
        <v>0.083333333333333</v>
      </c>
      <c r="Y15" s="96">
        <v>0.083333333333333</v>
      </c>
      <c r="Z15" s="96">
        <v>0.083333333333333</v>
      </c>
      <c r="AA15" s="96">
        <v>0.083333333333333</v>
      </c>
      <c r="AB15" s="96">
        <v>0.083333333333333</v>
      </c>
      <c r="AC15" s="96">
        <v>0.083333333333333</v>
      </c>
      <c r="AD15" s="96">
        <v>0.083333333333333</v>
      </c>
      <c r="AE15" s="96">
        <v>0.083333333333333</v>
      </c>
      <c r="AF15" s="96">
        <v>0.083333333333333</v>
      </c>
      <c r="AG15" s="96">
        <v>0.083333333333333</v>
      </c>
      <c r="AH15" s="96">
        <v>0.083333333333333</v>
      </c>
      <c r="AI15" s="96">
        <v>0.083333333333333</v>
      </c>
    </row>
    <row r="16" spans="1:36" s="21" customFormat="1">
      <c r="A16" s="21" t="s">
        <v>273</v>
      </c>
      <c r="B16" s="72">
        <v>2651.467</v>
      </c>
      <c r="C16" s="95">
        <v>0.28556214186804</v>
      </c>
      <c r="D16" s="96">
        <v>0.093336373169867</v>
      </c>
      <c r="E16" s="96">
        <v>0.18667274633973</v>
      </c>
      <c r="F16" s="96">
        <v>0.48334093292467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</v>
      </c>
      <c r="D17" s="112">
        <v>0.18072831307447</v>
      </c>
      <c r="E17" s="112">
        <v>0.40663870441755</v>
      </c>
      <c r="F17" s="112">
        <v>0.3581339215066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16364.285714286</v>
      </c>
      <c r="P18" s="86">
        <f>AVERAGE(P4:P17)</f>
        <v>3039.2857142857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</v>
      </c>
      <c r="E23" s="106">
        <f>260/240-1</f>
        <v>0.083333333333333</v>
      </c>
      <c r="F23" s="106">
        <f>280/240-1</f>
        <v>0.16666666666667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</v>
      </c>
      <c r="F25" s="106">
        <f>9.5/D25-1</f>
        <v>2.1666666666667</v>
      </c>
      <c r="G25" s="22">
        <f>25/9.5-1</f>
        <v>1.6315789473684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294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126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130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126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126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126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126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126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126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126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341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222</v>
      </c>
      <c r="J76" s="11" t="s">
        <v>346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126</v>
      </c>
      <c r="F77" s="12" t="s">
        <v>126</v>
      </c>
      <c r="G77" s="12" t="s">
        <v>348</v>
      </c>
      <c r="H77" s="12" t="s">
        <v>130</v>
      </c>
      <c r="I77" s="12" t="s">
        <v>349</v>
      </c>
      <c r="J77" s="136" t="s">
        <v>90</v>
      </c>
      <c r="K77" s="12" t="s">
        <v>126</v>
      </c>
      <c r="AJ77" s="12"/>
    </row>
    <row r="78" spans="1:36">
      <c r="A78" t="s">
        <v>126</v>
      </c>
      <c r="B78" s="176">
        <v>5</v>
      </c>
      <c r="C78" s="134" t="s">
        <v>350</v>
      </c>
      <c r="D78" s="133"/>
      <c r="E78" s="12" t="s">
        <v>91</v>
      </c>
      <c r="F78" s="12" t="s">
        <v>93</v>
      </c>
      <c r="G78" s="12" t="s">
        <v>351</v>
      </c>
      <c r="H78" s="12" t="s">
        <v>312</v>
      </c>
      <c r="I78" s="12" t="s">
        <v>163</v>
      </c>
      <c r="J78" s="70" t="s">
        <v>352</v>
      </c>
      <c r="K78" s="12" t="s">
        <v>126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353</v>
      </c>
      <c r="F79" s="12" t="s">
        <v>354</v>
      </c>
      <c r="G79" s="12" t="s">
        <v>109</v>
      </c>
      <c r="I79" s="12" t="s">
        <v>341</v>
      </c>
      <c r="J79" s="70" t="s">
        <v>355</v>
      </c>
      <c r="K79" s="12" t="s">
        <v>126</v>
      </c>
      <c r="AJ79" s="12"/>
    </row>
    <row r="80" spans="1:36">
      <c r="B80" s="176">
        <v>20</v>
      </c>
      <c r="C80" s="12" t="s">
        <v>123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92</v>
      </c>
      <c r="AJ80" s="12"/>
    </row>
    <row r="81" spans="1:36">
      <c r="B81" s="176">
        <v>30</v>
      </c>
      <c r="C81" s="12" t="s">
        <v>148</v>
      </c>
      <c r="D81" s="12">
        <f>D80+1</f>
        <v>3</v>
      </c>
      <c r="J81" s="70" t="s">
        <v>359</v>
      </c>
      <c r="K81" s="12" t="s">
        <v>92</v>
      </c>
    </row>
    <row r="82" spans="1:36">
      <c r="B82" s="176">
        <v>40</v>
      </c>
      <c r="C82" s="12" t="s">
        <v>149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90</v>
      </c>
      <c r="C87" s="12" t="s">
        <v>362</v>
      </c>
      <c r="D87" s="12">
        <f>D86+1</f>
        <v>9</v>
      </c>
    </row>
    <row r="88" spans="1:36">
      <c r="B88" s="176">
        <v>100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