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<sst xmlns="http://schemas.openxmlformats.org/spreadsheetml/2006/main" uniqueCount="364">
  <si>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</si>
  <si>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</si>
  <si>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</si>
  <si>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</si>
  <si>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</si>
  <si>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</si>
  <si>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</si>
  <si>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</si>
  <si>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</si>
  <si>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</si>
  <si>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</si>
  <si>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</si>
  <si>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</si>
  <si>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</si>
  <si>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</si>
  <si>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</si>
  <si>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</si>
  <si>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</si>
  <si>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</si>
  <si>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</si>
  <si>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</si>
  <si>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</si>
  <si>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</si>
  <si>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</si>
  <si>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</si>
  <si>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</si>
  <si>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</si>
  <si>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</si>
  <si>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</si>
  <si>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</si>
  <si>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</si>
  <si>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</si>
  <si>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</si>
  <si>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</si>
  <si>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</si>
  <si>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</si>
  <si>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</si>
  <si>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</si>
  <si>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</si>
  <si>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</si>
  <si>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</si>
  <si>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</si>
  <si>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</si>
  <si>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</si>
  <si>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</si>
  <si>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</si>
  <si>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</si>
  <si>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</si>
  <si>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</si>
  <si>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</si>
  <si>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</si>
  <si>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</si>
  <si>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</si>
  <si>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</si>
  <si>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</si>
  <si>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</si>
  <si>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</si>
  <si>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</si>
  <si>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</si>
  <si>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</si>
  <si>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</si>
  <si>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</si>
  <si>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</si>
  <si>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</si>
  <si>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</si>
  <si>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</si>
  <si>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</si>
  <si>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</si>
  <si>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</si>
  <si>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</si>
  <si>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</si>
  <si>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</si>
  <si>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</si>
  <si>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</si>
  <si>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</si>
  <si>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</si>
  <si>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</si>
  <si>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</si>
  <si>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</si>
  <si>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</si>
  <si>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</si>
  <si>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</si>
  <si>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</si>
  <si>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</si>
  <si>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</si>
  <si>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</si>
  <si>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</si>
  <si>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</si>
  <si>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</si>
  <si>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Onions</t>
  </si>
  <si>
    <t>Other farmers</t>
  </si>
  <si>
    <t>Yes only manure</t>
  </si>
  <si>
    <t>Yes</t>
  </si>
  <si>
    <t>Yes using a solar pump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</si>
  <si>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</si>
  <si>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</si>
  <si>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</si>
  <si>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</si>
  <si>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</si>
  <si>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</si>
  <si>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</si>
  <si>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</si>
  <si>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</si>
  <si>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</si>
  <si>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</si>
  <si>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</si>
  <si>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</si>
  <si>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</si>
  <si>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</si>
  <si>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</si>
  <si>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</si>
  <si>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</si>
  <si>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</si>
  <si>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</si>
  <si>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</si>
  <si>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</si>
  <si>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</si>
  <si>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</si>
  <si>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</si>
  <si>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</si>
  <si>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</si>
  <si>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</si>
  <si>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</si>
  <si>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</si>
  <si>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</si>
  <si>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</si>
  <si>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</si>
  <si>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</si>
  <si>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</si>
  <si>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</si>
  <si>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</si>
  <si>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</si>
  <si>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</si>
  <si>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</si>
  <si>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</si>
  <si>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</si>
  <si>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</si>
  <si>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</si>
  <si>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</si>
  <si>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</si>
  <si>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</si>
  <si>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</si>
  <si>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</si>
  <si>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</si>
  <si>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</si>
  <si>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</si>
  <si>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</si>
  <si>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</si>
  <si>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</si>
  <si>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</si>
  <si>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2016/10/21</t>
  </si>
  <si>
    <t>Loan terms</t>
  </si>
  <si>
    <t>Expected disbursement date</t>
  </si>
  <si>
    <t>Expected first repayment date</t>
  </si>
  <si>
    <t>2016/10/28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</si>
  <si>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</si>
  <si>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</si>
  <si>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</si>
  <si>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</si>
  <si>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</si>
  <si>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</si>
  <si>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</si>
  <si>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</si>
  <si>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</si>
  <si>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</si>
  <si>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</si>
  <si>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</si>
  <si>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</si>
  <si>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</si>
  <si>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</si>
  <si>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</si>
  <si>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</si>
  <si>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</si>
  <si>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</si>
  <si>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</si>
  <si>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</si>
  <si>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</si>
  <si>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</si>
  <si>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</si>
  <si>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</si>
  <si>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</si>
  <si>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</si>
  <si>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</si>
  <si>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</si>
  <si>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</si>
  <si>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</si>
  <si>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</si>
  <si>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</si>
  <si>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</si>
  <si>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</si>
  <si>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</si>
  <si>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</si>
  <si>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</si>
  <si>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</si>
  <si>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</si>
  <si>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</si>
  <si>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</si>
  <si>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</si>
  <si>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</si>
  <si>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</si>
  <si>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</si>
  <si>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</si>
  <si>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</si>
  <si>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</si>
  <si>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</si>
  <si>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</si>
  <si>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</si>
  <si>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</si>
  <si>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</si>
  <si>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</si>
  <si>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</si>
  <si>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</si>
  <si>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</si>
  <si>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</si>
  <si>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</si>
  <si>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</si>
  <si>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</si>
  <si>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</si>
  <si>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</si>
  <si>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</si>
  <si>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</si>
  <si>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</si>
  <si>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</si>
  <si>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</si>
  <si>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</si>
  <si>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</si>
  <si>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</si>
  <si>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</si>
  <si>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</si>
  <si>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</si>
  <si>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</si>
  <si>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</si>
  <si>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</si>
  <si>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</si>
  <si>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</si>
  <si>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</si>
  <si>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</si>
  <si>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</si>
  <si>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</si>
  <si>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</si>
  <si>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</si>
  <si>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</si>
  <si>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</si>
  <si>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</si>
  <si>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</si>
  <si>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</si>
  <si>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</si>
  <si>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</si>
  <si>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</si>
  <si>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</si>
  <si>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</si>
  <si>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</si>
  <si>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</si>
  <si>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</si>
  <si>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</si>
  <si>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</si>
  <si>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</si>
  <si>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</si>
  <si>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</si>
  <si>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</si>
  <si>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</si>
  <si>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</si>
  <si>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</si>
  <si>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</si>
  <si>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</si>
  <si>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</si>
  <si>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</si>
  <si>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</si>
  <si>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</si>
  <si>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</si>
  <si>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</si>
  <si>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</si>
  <si>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</si>
  <si>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</si>
  <si>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</si>
  <si>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</si>
  <si>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</si>
  <si>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</si>
  <si>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</si>
  <si>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</si>
  <si>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</si>
  <si>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</si>
  <si>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</si>
  <si>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</si>
  <si>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</si>
  <si>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</si>
  <si>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</si>
  <si>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</si>
  <si>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</si>
  <si>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</si>
  <si>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</si>
  <si>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</si>
  <si>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</si>
  <si>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</si>
  <si>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</si>
  <si>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</si>
  <si>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</si>
  <si>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</si>
  <si>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</si>
  <si>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</si>
  <si>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</si>
  <si>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</si>
  <si>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</si>
  <si>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</si>
  <si>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</si>
  <si>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</si>
  <si>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</si>
  <si>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</si>
  <si>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</si>
  <si>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</si>
  <si>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</si>
  <si>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</si>
  <si>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</si>
  <si>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</si>
  <si>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</si>
  <si>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</si>
  <si>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</si>
  <si>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</si>
  <si>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</si>
  <si>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</si>
  <si>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</si>
  <si>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</si>
  <si>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</si>
  <si>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</si>
  <si>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</si>
  <si>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</si>
  <si>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</si>
  <si>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</si>
  <si>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</si>
  <si>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</si>
  <si>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</si>
  <si>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</si>
  <si>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</si>
  <si>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</si>
  <si>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</si>
  <si>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</si>
  <si>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</si>
  <si>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</si>
  <si>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</si>
  <si>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</si>
  <si>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</si>
  <si>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</si>
  <si>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</si>
  <si>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</si>
  <si>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</si>
  <si>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</si>
  <si>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</si>
  <si>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</si>
  <si>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</si>
  <si>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using a diesel pump</t>
  </si>
  <si>
    <t>Sometimes</t>
  </si>
  <si>
    <t>Yes inorganic fertilizers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</si>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</sst>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February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Onions,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1.0414246575342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0.55625514831893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46278.356164384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1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42644</v>
      </c>
      <c r="C5" s="17">
        <f>DATE(YEAR(B5),MONTH(B5)+1,DAY(B5))</f>
        <v>42675</v>
      </c>
      <c r="D5" s="17">
        <f>DATE(YEAR(C5),MONTH(C5)+1,DAY(C5))</f>
        <v>42705</v>
      </c>
      <c r="E5" s="17">
        <f>DATE(YEAR(D5),MONTH(D5)+1,DAY(D5))</f>
        <v>42736</v>
      </c>
      <c r="F5" s="17">
        <f>DATE(YEAR(E5),MONTH(E5)+1,DAY(E5))</f>
        <v>42767</v>
      </c>
      <c r="G5" s="17">
        <f>DATE(YEAR(F5),MONTH(F5)+1,DAY(F5))</f>
        <v>42795</v>
      </c>
      <c r="H5" s="17">
        <f>DATE(YEAR(G5),MONTH(G5)+1,DAY(G5))</f>
        <v>42826</v>
      </c>
      <c r="I5" s="17">
        <f>DATE(YEAR(H5),MONTH(H5)+1,DAY(H5))</f>
        <v>42856</v>
      </c>
      <c r="J5" s="17">
        <f>DATE(YEAR(I5),MONTH(I5)+1,DAY(I5))</f>
        <v>42887</v>
      </c>
      <c r="K5" s="17">
        <f>DATE(YEAR(J5),MONTH(J5)+1,DAY(J5))</f>
        <v>42917</v>
      </c>
      <c r="L5" s="17">
        <f>DATE(YEAR(K5),MONTH(K5)+1,DAY(K5))</f>
        <v>42948</v>
      </c>
      <c r="M5" s="17">
        <f>DATE(YEAR(L5),MONTH(L5)+1,DAY(L5))</f>
        <v>42979</v>
      </c>
      <c r="N5" s="17">
        <f>DATE(YEAR(M5),MONTH(M5)+1,DAY(M5))</f>
        <v>43009</v>
      </c>
      <c r="O5" s="17">
        <f>DATE(YEAR(N5),MONTH(N5)+1,DAY(N5))</f>
        <v>43040</v>
      </c>
      <c r="P5" s="17">
        <f>DATE(YEAR(O5),MONTH(O5)+1,DAY(O5))</f>
        <v>43070</v>
      </c>
      <c r="Q5" s="17">
        <f>DATE(YEAR(P5),MONTH(P5)+1,DAY(P5))</f>
        <v>43101</v>
      </c>
      <c r="R5" s="17">
        <f>DATE(YEAR(Q5),MONTH(Q5)+1,DAY(Q5))</f>
        <v>43132</v>
      </c>
      <c r="S5" s="17">
        <f>DATE(YEAR(R5),MONTH(R5)+1,DAY(R5))</f>
        <v>43160</v>
      </c>
      <c r="T5" s="17">
        <f>DATE(YEAR(S5),MONTH(S5)+1,DAY(S5))</f>
        <v>43191</v>
      </c>
      <c r="U5" s="17">
        <f>DATE(YEAR(T5),MONTH(T5)+1,DAY(T5))</f>
        <v>43221</v>
      </c>
      <c r="V5" s="17">
        <f>DATE(YEAR(U5),MONTH(U5)+1,DAY(U5))</f>
        <v>43252</v>
      </c>
      <c r="W5" s="17">
        <f>DATE(YEAR(V5),MONTH(V5)+1,DAY(V5))</f>
        <v>43282</v>
      </c>
      <c r="X5" s="17">
        <f>DATE(YEAR(W5),MONTH(W5)+1,DAY(W5))</f>
        <v>43313</v>
      </c>
      <c r="Y5" s="17">
        <f>DATE(YEAR(X5),MONTH(X5)+1,DAY(X5))</f>
        <v>43344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43374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>
        <f>IF(ISERROR(VLOOKUP(MONTH(E5),Inputs!$D$66:$D$71,1,0)),"",INDEX(Inputs!$B$66:$B$71,MATCH(MONTH(Output!E5),Inputs!$D$66:$D$71,0))-INDEX(Inputs!$C$66:$C$71,MATCH(MONTH(Output!E5),Inputs!$D$66:$D$71,0)))</f>
        <v>6890</v>
      </c>
      <c r="F7" s="80">
        <f>IF(ISERROR(VLOOKUP(MONTH(F5),Inputs!$D$66:$D$71,1,0)),"",INDEX(Inputs!$B$66:$B$71,MATCH(MONTH(Output!F5),Inputs!$D$66:$D$71,0))-INDEX(Inputs!$C$66:$C$71,MATCH(MONTH(Output!F5),Inputs!$D$66:$D$71,0)))</f>
        <v>784</v>
      </c>
      <c r="G7" s="80">
        <f>IF(ISERROR(VLOOKUP(MONTH(G5),Inputs!$D$66:$D$71,1,0)),"",INDEX(Inputs!$B$66:$B$71,MATCH(MONTH(Output!G5),Inputs!$D$66:$D$71,0))-INDEX(Inputs!$C$66:$C$71,MATCH(MONTH(Output!G5),Inputs!$D$66:$D$71,0)))</f>
        <v>1569</v>
      </c>
      <c r="H7" s="80">
        <f>IF(ISERROR(VLOOKUP(MONTH(H5),Inputs!$D$66:$D$71,1,0)),"",INDEX(Inputs!$B$66:$B$71,MATCH(MONTH(Output!H5),Inputs!$D$66:$D$71,0))-INDEX(Inputs!$C$66:$C$71,MATCH(MONTH(Output!H5),Inputs!$D$66:$D$71,0)))</f>
        <v>-1111</v>
      </c>
      <c r="I7" s="80">
        <f>IF(ISERROR(VLOOKUP(MONTH(I5),Inputs!$D$66:$D$71,1,0)),"",INDEX(Inputs!$B$66:$B$71,MATCH(MONTH(Output!I5),Inputs!$D$66:$D$71,0))-INDEX(Inputs!$C$66:$C$71,MATCH(MONTH(Output!I5),Inputs!$D$66:$D$71,0)))</f>
        <v>1111</v>
      </c>
      <c r="J7" s="80">
        <f>IF(ISERROR(VLOOKUP(MONTH(J5),Inputs!$D$66:$D$71,1,0)),"",INDEX(Inputs!$B$66:$B$71,MATCH(MONTH(Output!J5),Inputs!$D$66:$D$71,0))-INDEX(Inputs!$C$66:$C$71,MATCH(MONTH(Output!J5),Inputs!$D$66:$D$71,0)))</f>
        <v>1111</v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>
        <f>IF(ISERROR(VLOOKUP(MONTH(Q5),Inputs!$D$66:$D$71,1,0)),"",INDEX(Inputs!$B$66:$B$71,MATCH(MONTH(Output!Q5),Inputs!$D$66:$D$71,0))-INDEX(Inputs!$C$66:$C$71,MATCH(MONTH(Output!Q5),Inputs!$D$66:$D$71,0)))</f>
        <v>6890</v>
      </c>
      <c r="R7" s="80">
        <f>IF(ISERROR(VLOOKUP(MONTH(R5),Inputs!$D$66:$D$71,1,0)),"",INDEX(Inputs!$B$66:$B$71,MATCH(MONTH(Output!R5),Inputs!$D$66:$D$71,0))-INDEX(Inputs!$C$66:$C$71,MATCH(MONTH(Output!R5),Inputs!$D$66:$D$71,0)))</f>
        <v>784</v>
      </c>
      <c r="S7" s="80">
        <f>IF(ISERROR(VLOOKUP(MONTH(S5),Inputs!$D$66:$D$71,1,0)),"",INDEX(Inputs!$B$66:$B$71,MATCH(MONTH(Output!S5),Inputs!$D$66:$D$71,0))-INDEX(Inputs!$C$66:$C$71,MATCH(MONTH(Output!S5),Inputs!$D$66:$D$71,0)))</f>
        <v>1569</v>
      </c>
      <c r="T7" s="80">
        <f>IF(ISERROR(VLOOKUP(MONTH(T5),Inputs!$D$66:$D$71,1,0)),"",INDEX(Inputs!$B$66:$B$71,MATCH(MONTH(Output!T5),Inputs!$D$66:$D$71,0))-INDEX(Inputs!$C$66:$C$71,MATCH(MONTH(Output!T5),Inputs!$D$66:$D$71,0)))</f>
        <v>-1111</v>
      </c>
      <c r="U7" s="80">
        <f>IF(ISERROR(VLOOKUP(MONTH(U5),Inputs!$D$66:$D$71,1,0)),"",INDEX(Inputs!$B$66:$B$71,MATCH(MONTH(Output!U5),Inputs!$D$66:$D$71,0))-INDEX(Inputs!$C$66:$C$71,MATCH(MONTH(Output!U5),Inputs!$D$66:$D$71,0)))</f>
        <v>1111</v>
      </c>
      <c r="V7" s="80">
        <f>IF(ISERROR(VLOOKUP(MONTH(V5),Inputs!$D$66:$D$71,1,0)),"",INDEX(Inputs!$B$66:$B$71,MATCH(MONTH(Output!V5),Inputs!$D$66:$D$71,0))-INDEX(Inputs!$C$66:$C$71,MATCH(MONTH(Output!V5),Inputs!$D$66:$D$71,0)))</f>
        <v>1111</v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110000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110000</v>
      </c>
      <c r="AA9" s="75">
        <f>SUM(B9:M9)</f>
        <v>110000</v>
      </c>
      <c r="AB9" s="75">
        <f>SUM(B9:Y9)</f>
        <v>110000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45139.178082192</v>
      </c>
      <c r="D10" s="37">
        <f>SUMPRODUCT((Calculations!$D$33:$D$84=Output!D5)+0,Calculations!$C$33:$C$84)</f>
        <v>46278.356164384</v>
      </c>
      <c r="E10" s="37">
        <f>SUMPRODUCT((Calculations!$D$33:$D$84=Output!E5)+0,Calculations!$C$33:$C$84)</f>
        <v>23139.178082192</v>
      </c>
      <c r="F10" s="37">
        <f>SUMPRODUCT((Calculations!$D$33:$D$84=Output!F5)+0,Calculations!$C$33:$C$84)</f>
        <v>0</v>
      </c>
      <c r="G10" s="37">
        <f>SUMPRODUCT((Calculations!$D$33:$D$84=Output!G5)+0,Calculations!$C$33:$C$84)</f>
        <v>0</v>
      </c>
      <c r="H10" s="37">
        <f>SUMPRODUCT((Calculations!$D$33:$D$84=Output!H5)+0,Calculations!$C$33:$C$84)</f>
        <v>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114556.71232877</v>
      </c>
      <c r="AA10" s="37">
        <f>SUM(B10:M10)</f>
        <v>114556.71232877</v>
      </c>
      <c r="AB10" s="37">
        <f>SUM(B10:Y10)</f>
        <v>114556.71232877</v>
      </c>
    </row>
    <row r="11" spans="1:30" customHeight="1" ht="15.75">
      <c r="A11" s="43" t="s">
        <v>31</v>
      </c>
      <c r="B11" s="80">
        <f>B6+B9-B10</f>
        <v>110000</v>
      </c>
      <c r="C11" s="80">
        <f>C6+C9-C10</f>
        <v>-45139.178082192</v>
      </c>
      <c r="D11" s="80">
        <f>D6+D9-D10</f>
        <v>-46278.356164384</v>
      </c>
      <c r="E11" s="80">
        <f>E6+E9-E10</f>
        <v>-23139.178082192</v>
      </c>
      <c r="F11" s="80">
        <f>F6+F9-F10</f>
        <v>0</v>
      </c>
      <c r="G11" s="80">
        <f>G6+G9-G10</f>
        <v>0</v>
      </c>
      <c r="H11" s="80">
        <f>H6+H9-H10</f>
        <v>0</v>
      </c>
      <c r="I11" s="80">
        <f>I6+I9-I10</f>
        <v>0</v>
      </c>
      <c r="J11" s="80">
        <f>J6+J9-J10</f>
        <v>0</v>
      </c>
      <c r="K11" s="80">
        <f>K6+K9-K10</f>
        <v>0</v>
      </c>
      <c r="L11" s="80">
        <f>L6+L9-L10</f>
        <v>0</v>
      </c>
      <c r="M11" s="80">
        <f>M6+M9-M10</f>
        <v>0</v>
      </c>
      <c r="N11" s="80">
        <f>N6+N9-N10</f>
        <v>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-4556.7123287671</v>
      </c>
      <c r="AA11" s="80">
        <f>SUM(B11:M11)</f>
        <v>-4556.7123287671</v>
      </c>
      <c r="AB11" s="46">
        <f>SUM(B11:Y11)</f>
        <v>-4556.7123287671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0.41035616438356</v>
      </c>
      <c r="D12" s="82">
        <f>IF(D13="Yes",IF(SUM($B$10:D10)/(SUM($B$6:D6)+SUM($B$9:D9))&lt;0,999.99,SUM($B$10:D10)/(SUM($B$6:D6)+SUM($B$9:D9))),"")</f>
        <v>0.83106849315068</v>
      </c>
      <c r="E12" s="82">
        <f>IF(E13="Yes",IF(SUM($B$10:E10)/(SUM($B$6:E6)+SUM($B$9:E9))&lt;0,999.99,SUM($B$10:E10)/(SUM($B$6:E6)+SUM($B$9:E9))),"")</f>
        <v>1.0414246575342</v>
      </c>
      <c r="F12" s="82" t="str">
        <f>IF(F13="Yes",IF(SUM($B$10:F10)/(SUM($B$6:F6)+SUM($B$9:F9))&lt;0,999.99,SUM($B$10:F10)/(SUM($B$6:F6)+SUM($B$9:F9))),"")</f>
        <v/>
      </c>
      <c r="G12" s="82" t="str">
        <f>IF(G13="Yes",IF(SUM($B$10:G10)/(SUM($B$6:G6)+SUM($B$9:G9))&lt;0,999.99,SUM($B$10:G10)/(SUM($B$6:G6)+SUM($B$9:G9))),"")</f>
        <v/>
      </c>
      <c r="H12" s="82" t="str">
        <f>IF(H13="Yes",IF(SUM($B$10:H10)/(SUM($B$6:H6)+SUM($B$9:H9))&lt;0,999.99,SUM($B$10:H10)/(SUM($B$6:H6)+SUM($B$9:H9))),"")</f>
        <v/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No</v>
      </c>
      <c r="G13" s="183" t="str">
        <f>IF(SUM(G9:$Y$10)&gt;0,"Yes","No")</f>
        <v>No</v>
      </c>
      <c r="H13" s="183" t="str">
        <f>IF(SUM(H9:$Y$10)&gt;0,"Yes","No")</f>
        <v>No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42644</v>
      </c>
      <c r="C17" s="17">
        <f>C5</f>
        <v>42675</v>
      </c>
      <c r="D17" s="17">
        <f>D5</f>
        <v>42705</v>
      </c>
      <c r="E17" s="17">
        <f>E5</f>
        <v>42736</v>
      </c>
      <c r="F17" s="17">
        <f>F5</f>
        <v>42767</v>
      </c>
      <c r="G17" s="17">
        <f>G5</f>
        <v>42795</v>
      </c>
      <c r="H17" s="17">
        <f>H5</f>
        <v>42826</v>
      </c>
      <c r="I17" s="17">
        <f>I5</f>
        <v>42856</v>
      </c>
      <c r="J17" s="17">
        <f>J5</f>
        <v>42887</v>
      </c>
      <c r="K17" s="17">
        <f>K5</f>
        <v>42917</v>
      </c>
      <c r="L17" s="17">
        <f>L5</f>
        <v>42948</v>
      </c>
      <c r="M17" s="17">
        <f>M5</f>
        <v>42979</v>
      </c>
      <c r="N17" s="17">
        <f>N5</f>
        <v>43009</v>
      </c>
      <c r="O17" s="17">
        <f>O5</f>
        <v>43040</v>
      </c>
      <c r="P17" s="17">
        <f>P5</f>
        <v>43070</v>
      </c>
      <c r="Q17" s="17">
        <f>Q5</f>
        <v>43101</v>
      </c>
      <c r="R17" s="17">
        <f>R5</f>
        <v>43132</v>
      </c>
      <c r="S17" s="17">
        <f>S5</f>
        <v>43160</v>
      </c>
      <c r="T17" s="17">
        <f>T5</f>
        <v>43191</v>
      </c>
      <c r="U17" s="17">
        <f>U5</f>
        <v>43221</v>
      </c>
      <c r="V17" s="17">
        <f>V5</f>
        <v>43252</v>
      </c>
      <c r="W17" s="17">
        <f>W5</f>
        <v>43282</v>
      </c>
      <c r="X17" s="17">
        <f>X5</f>
        <v>43313</v>
      </c>
      <c r="Y17" s="17">
        <f>Y5</f>
        <v>43344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Onions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42644</v>
      </c>
      <c r="C35" s="17">
        <f>C17</f>
        <v>42675</v>
      </c>
      <c r="D35" s="17">
        <f>D17</f>
        <v>42705</v>
      </c>
      <c r="E35" s="17">
        <f>E17</f>
        <v>42736</v>
      </c>
      <c r="F35" s="17">
        <f>F17</f>
        <v>42767</v>
      </c>
      <c r="G35" s="17">
        <f>G17</f>
        <v>42795</v>
      </c>
      <c r="H35" s="17">
        <f>H17</f>
        <v>42826</v>
      </c>
      <c r="I35" s="17">
        <f>I17</f>
        <v>42856</v>
      </c>
      <c r="J35" s="17">
        <f>J17</f>
        <v>42887</v>
      </c>
      <c r="K35" s="17">
        <f>K17</f>
        <v>42917</v>
      </c>
      <c r="L35" s="17">
        <f>L17</f>
        <v>42948</v>
      </c>
      <c r="M35" s="17">
        <f>M17</f>
        <v>42979</v>
      </c>
      <c r="N35" s="17">
        <f>N17</f>
        <v>43009</v>
      </c>
      <c r="O35" s="17">
        <f>O17</f>
        <v>43040</v>
      </c>
      <c r="P35" s="17">
        <f>P17</f>
        <v>43070</v>
      </c>
      <c r="Q35" s="17">
        <f>Q17</f>
        <v>43101</v>
      </c>
      <c r="R35" s="17">
        <f>R17</f>
        <v>43132</v>
      </c>
      <c r="S35" s="17">
        <f>S17</f>
        <v>43160</v>
      </c>
      <c r="T35" s="17">
        <f>T17</f>
        <v>43191</v>
      </c>
      <c r="U35" s="17">
        <f>U17</f>
        <v>43221</v>
      </c>
      <c r="V35" s="17">
        <f>V17</f>
        <v>43252</v>
      </c>
      <c r="W35" s="17">
        <f>W17</f>
        <v>43282</v>
      </c>
      <c r="X35" s="17">
        <f>X17</f>
        <v>43313</v>
      </c>
      <c r="Y35" s="17">
        <f>Y17</f>
        <v>43344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Onions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Onions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Onions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Onions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Onions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Onions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1234</v>
      </c>
    </row>
    <row r="100" spans="1:30" customHeight="1" ht="15.75">
      <c r="A100" s="18" t="s">
        <v>66</v>
      </c>
      <c r="B100" s="37">
        <f>Inputs!B48</f>
        <v>85000</v>
      </c>
    </row>
    <row r="101" spans="1:30" customHeight="1" ht="15.75">
      <c r="A101" s="1" t="s">
        <v>67</v>
      </c>
      <c r="B101" s="19">
        <f>SUM(B94:B100)</f>
        <v>211234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7500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110000</v>
      </c>
    </row>
    <row r="107" spans="1:30" customHeight="1" ht="15.75">
      <c r="A107" s="1" t="s">
        <v>72</v>
      </c>
      <c r="B107" s="19">
        <f>SUM(B104:B106)</f>
        <v>117500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/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/>
      <c r="K7" s="137"/>
      <c r="L7" s="20"/>
      <c r="M7" s="163">
        <v>5</v>
      </c>
      <c r="N7" s="153">
        <v>3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20</v>
      </c>
    </row>
    <row r="27" spans="1:48">
      <c r="A27" s="14" t="s">
        <v>109</v>
      </c>
    </row>
    <row r="29" spans="1:48">
      <c r="A29" s="45" t="s">
        <v>110</v>
      </c>
      <c r="B29" s="156"/>
    </row>
    <row r="30" spans="1:48">
      <c r="A30" s="44" t="s">
        <v>111</v>
      </c>
      <c r="B30" s="157">
        <v>0</v>
      </c>
    </row>
    <row r="31" spans="1:48">
      <c r="A31" s="5" t="s">
        <v>112</v>
      </c>
      <c r="B31" s="158">
        <v>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92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92</v>
      </c>
    </row>
    <row r="45" spans="1:48">
      <c r="A45" s="56" t="s">
        <v>125</v>
      </c>
      <c r="B45" s="161">
        <v>0</v>
      </c>
    </row>
    <row r="46" spans="1:48" customHeight="1" ht="30">
      <c r="A46" s="57" t="s">
        <v>126</v>
      </c>
      <c r="B46" s="161">
        <v>1234</v>
      </c>
    </row>
    <row r="47" spans="1:48" customHeight="1" ht="30">
      <c r="A47" s="57" t="s">
        <v>127</v>
      </c>
      <c r="B47" s="161">
        <v>100000</v>
      </c>
    </row>
    <row r="48" spans="1:48" customHeight="1" ht="30">
      <c r="A48" s="57" t="s">
        <v>128</v>
      </c>
      <c r="B48" s="161">
        <v>85000</v>
      </c>
    </row>
    <row r="49" spans="1:48" customHeight="1" ht="30">
      <c r="A49" s="57" t="s">
        <v>129</v>
      </c>
      <c r="B49" s="161">
        <v>25000</v>
      </c>
    </row>
    <row r="50" spans="1:48">
      <c r="A50" s="43"/>
      <c r="B50" s="36"/>
    </row>
    <row r="51" spans="1:48">
      <c r="A51" s="58" t="s">
        <v>130</v>
      </c>
      <c r="B51" s="161">
        <v>7500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139</v>
      </c>
      <c r="C65" s="10" t="s">
        <v>140</v>
      </c>
    </row>
    <row r="66" spans="1:48">
      <c r="A66" s="142" t="s">
        <v>141</v>
      </c>
      <c r="B66" s="159">
        <v>7890</v>
      </c>
      <c r="C66" s="163">
        <v>1000</v>
      </c>
      <c r="D66" s="49">
        <f>INDEX(Parameters!$D$79:$D$90,MATCH(Inputs!A66,Parameters!$C$79:$C$90,0))</f>
        <v>1</v>
      </c>
    </row>
    <row r="67" spans="1:48">
      <c r="A67" s="143" t="s">
        <v>142</v>
      </c>
      <c r="B67" s="157">
        <v>1234</v>
      </c>
      <c r="C67" s="165">
        <v>450</v>
      </c>
      <c r="D67" s="49">
        <f>INDEX(Parameters!$D$79:$D$90,MATCH(Inputs!A67,Parameters!$C$79:$C$90,0))</f>
        <v>2</v>
      </c>
    </row>
    <row r="68" spans="1:48">
      <c r="A68" s="143" t="s">
        <v>143</v>
      </c>
      <c r="B68" s="157">
        <v>4569</v>
      </c>
      <c r="C68" s="165">
        <v>3000</v>
      </c>
      <c r="D68" s="49">
        <f>INDEX(Parameters!$D$79:$D$90,MATCH(Inputs!A68,Parameters!$C$79:$C$90,0))</f>
        <v>3</v>
      </c>
    </row>
    <row r="69" spans="1:48">
      <c r="A69" s="143" t="s">
        <v>144</v>
      </c>
      <c r="B69" s="157">
        <v>1111</v>
      </c>
      <c r="C69" s="165">
        <v>2222</v>
      </c>
      <c r="D69" s="49">
        <f>INDEX(Parameters!$D$79:$D$90,MATCH(Inputs!A69,Parameters!$C$79:$C$90,0))</f>
        <v>4</v>
      </c>
    </row>
    <row r="70" spans="1:48">
      <c r="A70" s="143" t="s">
        <v>145</v>
      </c>
      <c r="B70" s="157">
        <v>2222</v>
      </c>
      <c r="C70" s="165">
        <v>1111</v>
      </c>
      <c r="D70" s="49">
        <f>INDEX(Parameters!$D$79:$D$90,MATCH(Inputs!A70,Parameters!$C$79:$C$90,0))</f>
        <v>5</v>
      </c>
    </row>
    <row r="71" spans="1:48">
      <c r="A71" s="144" t="s">
        <v>146</v>
      </c>
      <c r="B71" s="158">
        <v>3333</v>
      </c>
      <c r="C71" s="167">
        <v>2222</v>
      </c>
      <c r="D71" s="49">
        <f>INDEX(Parameters!$D$79:$D$90,MATCH(Inputs!A71,Parameters!$C$79:$C$90,0))</f>
        <v>6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13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110000</v>
      </c>
    </row>
    <row r="82" spans="1:48">
      <c r="A82" t="s">
        <v>156</v>
      </c>
      <c r="B82" s="161">
        <v>18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2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>
        <v>1</v>
      </c>
    </row>
    <row r="87" spans="1:48">
      <c r="A87" t="s">
        <v>162</v>
      </c>
      <c r="B87" s="161"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42644</v>
      </c>
      <c r="AD3" s="59">
        <f>Output!C5</f>
        <v>42675</v>
      </c>
      <c r="AE3" s="59">
        <f>Output!D5</f>
        <v>42705</v>
      </c>
      <c r="AF3" s="59">
        <f>Output!E5</f>
        <v>42736</v>
      </c>
      <c r="AG3" s="59">
        <f>Output!F5</f>
        <v>42767</v>
      </c>
      <c r="AH3" s="59">
        <f>Output!G5</f>
        <v>42795</v>
      </c>
      <c r="AI3" s="59">
        <f>Output!H5</f>
        <v>42826</v>
      </c>
      <c r="AJ3" s="59">
        <f>Output!I5</f>
        <v>42856</v>
      </c>
      <c r="AK3" s="59">
        <f>Output!J5</f>
        <v>42887</v>
      </c>
      <c r="AL3" s="59">
        <f>Output!K5</f>
        <v>42917</v>
      </c>
      <c r="AM3" s="59">
        <f>Output!L5</f>
        <v>42948</v>
      </c>
      <c r="AN3" s="59">
        <f>Output!M5</f>
        <v>42979</v>
      </c>
      <c r="AO3" s="59">
        <f>Output!N5</f>
        <v>43009</v>
      </c>
      <c r="AP3" s="59">
        <f>Output!O5</f>
        <v>43040</v>
      </c>
      <c r="AQ3" s="59">
        <f>Output!P5</f>
        <v>43070</v>
      </c>
      <c r="AR3" s="59">
        <f>Output!Q5</f>
        <v>43101</v>
      </c>
      <c r="AS3" s="59">
        <f>Output!R5</f>
        <v>43132</v>
      </c>
      <c r="AT3" s="59">
        <f>Output!S5</f>
        <v>43160</v>
      </c>
    </row>
    <row r="4" spans="1:46" s="21" customFormat="1">
      <c r="A4" s="20" t="str">
        <f>Inputs!A7</f>
        <v>Onions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>No</v>
      </c>
      <c r="J4" s="26" t="str">
        <f>IFERROR(Inputs!G7/Calculations!H4,"")</f>
        <v/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2944.5954937069</v>
      </c>
      <c r="M4" s="25">
        <f>L4*H4</f>
        <v>0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56</v>
      </c>
      <c r="P4" s="22">
        <f>IFERROR(INDEX(Parameters!$A$3:$V$17,MATCH(Calculations!$A4,Parameters!$A$3:$A$17,0),MATCH($P$3,Parameters!$A$3:$V$3,0)),0)</f>
        <v>0</v>
      </c>
      <c r="Q4" s="33">
        <f>M4*O4*(1-N4)*MAX(S4,1)</f>
        <v>0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</v>
      </c>
      <c r="AD4" s="60">
        <f>IF($D4="",1/12,IFERROR(INDEX(Parameters!$X$2:$AI$17,MATCH(Calculations!$A4,Parameters!$A$2:$A$17,0),MATCH(MONTH(Calculations!AD$3),Parameters!$X$2:$AI$2,0)),1/12))</f>
        <v>0.083333333333333</v>
      </c>
      <c r="AE4" s="60">
        <f>IF($D4="",1/12,IFERROR(INDEX(Parameters!$X$2:$AI$17,MATCH(Calculations!$A4,Parameters!$A$2:$A$17,0),MATCH(MONTH(Calculations!AE$3),Parameters!$X$2:$AI$2,0)),1/12))</f>
        <v>0.083333333333333</v>
      </c>
      <c r="AF4" s="60">
        <f>IF($D4="",1/12,IFERROR(INDEX(Parameters!$X$2:$AI$17,MATCH(Calculations!$A4,Parameters!$A$2:$A$17,0),MATCH(MONTH(Calculations!AF$3),Parameters!$X$2:$AI$2,0)),1/12))</f>
        <v>0.083333333333333</v>
      </c>
      <c r="AG4" s="60">
        <f>IF($D4="",1/12,IFERROR(INDEX(Parameters!$X$2:$AI$17,MATCH(Calculations!$A4,Parameters!$A$2:$A$17,0),MATCH(MONTH(Calculations!AG$3),Parameters!$X$2:$AI$2,0)),1/12))</f>
        <v>0.083333333333333</v>
      </c>
      <c r="AH4" s="60">
        <f>IF($D4="",1/12,IFERROR(INDEX(Parameters!$X$2:$AI$17,MATCH(Calculations!$A4,Parameters!$A$2:$A$17,0),MATCH(MONTH(Calculations!AH$3),Parameters!$X$2:$AI$2,0)),1/12))</f>
        <v>0.083333333333333</v>
      </c>
      <c r="AI4" s="60">
        <f>IF($D4="",1/12,IFERROR(INDEX(Parameters!$X$2:$AI$17,MATCH(Calculations!$A4,Parameters!$A$2:$A$17,0),MATCH(MONTH(Calculations!AI$3),Parameters!$X$2:$AI$2,0)),1/12))</f>
        <v>0.083333333333333</v>
      </c>
      <c r="AJ4" s="60">
        <f>IF($D4="",1/12,IFERROR(INDEX(Parameters!$X$2:$AI$17,MATCH(Calculations!$A4,Parameters!$A$2:$A$17,0),MATCH(MONTH(Calculations!AJ$3),Parameters!$X$2:$AI$2,0)),1/12))</f>
        <v>0.083333333333333</v>
      </c>
      <c r="AK4" s="60">
        <f>IF($D4="",1/12,IFERROR(INDEX(Parameters!$X$2:$AI$17,MATCH(Calculations!$A4,Parameters!$A$2:$A$17,0),MATCH(MONTH(Calculations!AK$3),Parameters!$X$2:$AI$2,0)),1/12))</f>
        <v>0.083333333333333</v>
      </c>
      <c r="AL4" s="60">
        <f>IF($D4="",1/12,IFERROR(INDEX(Parameters!$X$2:$AI$17,MATCH(Calculations!$A4,Parameters!$A$2:$A$17,0),MATCH(MONTH(Calculations!AL$3),Parameters!$X$2:$AI$2,0)),1/12))</f>
        <v>0.083333333333333</v>
      </c>
      <c r="AM4" s="60">
        <f>IF($D4="",1/12,IFERROR(INDEX(Parameters!$X$2:$AI$17,MATCH(Calculations!$A4,Parameters!$A$2:$A$17,0),MATCH(MONTH(Calculations!AM$3),Parameters!$X$2:$AI$2,0)),1/12))</f>
        <v>0.083333333333333</v>
      </c>
      <c r="AN4" s="60">
        <f>IF($D4="",1/12,IFERROR(INDEX(Parameters!$X$2:$AI$17,MATCH(Calculations!$A4,Parameters!$A$2:$A$17,0),MATCH(MONTH(Calculations!AN$3),Parameters!$X$2:$AI$2,0)),1/12))</f>
        <v>0.083333333333333</v>
      </c>
      <c r="AO4" s="60">
        <f>IF($D4="",1/12,IFERROR(INDEX(Parameters!$X$2:$AI$17,MATCH(Calculations!$A4,Parameters!$A$2:$A$17,0),MATCH(MONTH(Calculations!AO$3),Parameters!$X$2:$AI$2,0)),1/12))</f>
        <v>0.083333333333333</v>
      </c>
      <c r="AP4" s="60">
        <f>IF($D4="",1/12,IFERROR(INDEX(Parameters!$X$2:$AI$17,MATCH(Calculations!$A4,Parameters!$A$2:$A$17,0),MATCH(MONTH(Calculations!AP$3),Parameters!$X$2:$AI$2,0)),1/12))</f>
        <v>0.083333333333333</v>
      </c>
      <c r="AQ4" s="60">
        <f>IF($D4="",1/12,IFERROR(INDEX(Parameters!$X$2:$AI$17,MATCH(Calculations!$A4,Parameters!$A$2:$A$17,0),MATCH(MONTH(Calculations!AQ$3),Parameters!$X$2:$AI$2,0)),1/12))</f>
        <v>0.083333333333333</v>
      </c>
      <c r="AR4" s="60">
        <f>IF($D4="",1/12,IFERROR(INDEX(Parameters!$X$2:$AI$17,MATCH(Calculations!$A4,Parameters!$A$2:$A$17,0),MATCH(MONTH(Calculations!AR$3),Parameters!$X$2:$AI$2,0)),1/12))</f>
        <v>0.083333333333333</v>
      </c>
      <c r="AS4" s="60">
        <f>IF($D4="",1/12,IFERROR(INDEX(Parameters!$X$2:$AI$17,MATCH(Calculations!$A4,Parameters!$A$2:$A$17,0),MATCH(MONTH(Calculations!AS$3),Parameters!$X$2:$AI$2,0)),1/12))</f>
        <v>0.083333333333333</v>
      </c>
      <c r="AT4" s="60">
        <f>IF($D4="",1/12,IFERROR(INDEX(Parameters!$X$2:$AI$17,MATCH(Calculations!$A4,Parameters!$A$2:$A$17,0),MATCH(MONTH(Calculations!AT$3),Parameters!$X$2:$AI$2,0)),1/12))</f>
        <v>0.083333333333333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</v>
      </c>
      <c r="AD5" s="22">
        <f>IF($D5="",1/12,IFERROR(INDEX(Parameters!$X$2:$AI$17,MATCH(Calculations!$A5,Parameters!$A$2:$A$17,0),MATCH(MONTH(Calculations!AD$3),Parameters!$X$2:$AI$2,0)),1/12))</f>
        <v>0.083333333333333</v>
      </c>
      <c r="AE5" s="22">
        <f>IF($D5="",1/12,IFERROR(INDEX(Parameters!$X$2:$AI$17,MATCH(Calculations!$A5,Parameters!$A$2:$A$17,0),MATCH(MONTH(Calculations!AE$3),Parameters!$X$2:$AI$2,0)),1/12))</f>
        <v>0.083333333333333</v>
      </c>
      <c r="AF5" s="22">
        <f>IF($D5="",1/12,IFERROR(INDEX(Parameters!$X$2:$AI$17,MATCH(Calculations!$A5,Parameters!$A$2:$A$17,0),MATCH(MONTH(Calculations!AF$3),Parameters!$X$2:$AI$2,0)),1/12))</f>
        <v>0.083333333333333</v>
      </c>
      <c r="AG5" s="22">
        <f>IF($D5="",1/12,IFERROR(INDEX(Parameters!$X$2:$AI$17,MATCH(Calculations!$A5,Parameters!$A$2:$A$17,0),MATCH(MONTH(Calculations!AG$3),Parameters!$X$2:$AI$2,0)),1/12))</f>
        <v>0.083333333333333</v>
      </c>
      <c r="AH5" s="22">
        <f>IF($D5="",1/12,IFERROR(INDEX(Parameters!$X$2:$AI$17,MATCH(Calculations!$A5,Parameters!$A$2:$A$17,0),MATCH(MONTH(Calculations!AH$3),Parameters!$X$2:$AI$2,0)),1/12))</f>
        <v>0.083333333333333</v>
      </c>
      <c r="AI5" s="22">
        <f>IF($D5="",1/12,IFERROR(INDEX(Parameters!$X$2:$AI$17,MATCH(Calculations!$A5,Parameters!$A$2:$A$17,0),MATCH(MONTH(Calculations!AI$3),Parameters!$X$2:$AI$2,0)),1/12))</f>
        <v>0.083333333333333</v>
      </c>
      <c r="AJ5" s="22">
        <f>IF($D5="",1/12,IFERROR(INDEX(Parameters!$X$2:$AI$17,MATCH(Calculations!$A5,Parameters!$A$2:$A$17,0),MATCH(MONTH(Calculations!AJ$3),Parameters!$X$2:$AI$2,0)),1/12))</f>
        <v>0.083333333333333</v>
      </c>
      <c r="AK5" s="22">
        <f>IF($D5="",1/12,IFERROR(INDEX(Parameters!$X$2:$AI$17,MATCH(Calculations!$A5,Parameters!$A$2:$A$17,0),MATCH(MONTH(Calculations!AK$3),Parameters!$X$2:$AI$2,0)),1/12))</f>
        <v>0.083333333333333</v>
      </c>
      <c r="AL5" s="22">
        <f>IF($D5="",1/12,IFERROR(INDEX(Parameters!$X$2:$AI$17,MATCH(Calculations!$A5,Parameters!$A$2:$A$17,0),MATCH(MONTH(Calculations!AL$3),Parameters!$X$2:$AI$2,0)),1/12))</f>
        <v>0.083333333333333</v>
      </c>
      <c r="AM5" s="22">
        <f>IF($D5="",1/12,IFERROR(INDEX(Parameters!$X$2:$AI$17,MATCH(Calculations!$A5,Parameters!$A$2:$A$17,0),MATCH(MONTH(Calculations!AM$3),Parameters!$X$2:$AI$2,0)),1/12))</f>
        <v>0.083333333333333</v>
      </c>
      <c r="AN5" s="22">
        <f>IF($D5="",1/12,IFERROR(INDEX(Parameters!$X$2:$AI$17,MATCH(Calculations!$A5,Parameters!$A$2:$A$17,0),MATCH(MONTH(Calculations!AN$3),Parameters!$X$2:$AI$2,0)),1/12))</f>
        <v>0.083333333333333</v>
      </c>
      <c r="AO5" s="22">
        <f>IF($D5="",1/12,IFERROR(INDEX(Parameters!$X$2:$AI$17,MATCH(Calculations!$A5,Parameters!$A$2:$A$17,0),MATCH(MONTH(Calculations!AO$3),Parameters!$X$2:$AI$2,0)),1/12))</f>
        <v>0.083333333333333</v>
      </c>
      <c r="AP5" s="22">
        <f>IF($D5="",1/12,IFERROR(INDEX(Parameters!$X$2:$AI$17,MATCH(Calculations!$A5,Parameters!$A$2:$A$17,0),MATCH(MONTH(Calculations!AP$3),Parameters!$X$2:$AI$2,0)),1/12))</f>
        <v>0.083333333333333</v>
      </c>
      <c r="AQ5" s="22">
        <f>IF($D5="",1/12,IFERROR(INDEX(Parameters!$X$2:$AI$17,MATCH(Calculations!$A5,Parameters!$A$2:$A$17,0),MATCH(MONTH(Calculations!AQ$3),Parameters!$X$2:$AI$2,0)),1/12))</f>
        <v>0.083333333333333</v>
      </c>
      <c r="AR5" s="22">
        <f>IF($D5="",1/12,IFERROR(INDEX(Parameters!$X$2:$AI$17,MATCH(Calculations!$A5,Parameters!$A$2:$A$17,0),MATCH(MONTH(Calculations!AR$3),Parameters!$X$2:$AI$2,0)),1/12))</f>
        <v>0.083333333333333</v>
      </c>
      <c r="AS5" s="22">
        <f>IF($D5="",1/12,IFERROR(INDEX(Parameters!$X$2:$AI$17,MATCH(Calculations!$A5,Parameters!$A$2:$A$17,0),MATCH(MONTH(Calculations!AS$3),Parameters!$X$2:$AI$2,0)),1/12))</f>
        <v>0.083333333333333</v>
      </c>
      <c r="AT5" s="22">
        <f>IF($D5="",1/12,IFERROR(INDEX(Parameters!$X$2:$AI$17,MATCH(Calculations!$A5,Parameters!$A$2:$A$17,0),MATCH(MONTH(Calculations!AT$3),Parameters!$X$2:$AI$2,0)),1/12))</f>
        <v>0.083333333333333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</v>
      </c>
      <c r="AD6" s="22">
        <f>IF($D6="",1/12,IFERROR(INDEX(Parameters!$X$2:$AI$17,MATCH(Calculations!$A6,Parameters!$A$2:$A$17,0),MATCH(MONTH(Calculations!AD$3),Parameters!$X$2:$AI$2,0)),1/12))</f>
        <v>0.083333333333333</v>
      </c>
      <c r="AE6" s="22">
        <f>IF($D6="",1/12,IFERROR(INDEX(Parameters!$X$2:$AI$17,MATCH(Calculations!$A6,Parameters!$A$2:$A$17,0),MATCH(MONTH(Calculations!AE$3),Parameters!$X$2:$AI$2,0)),1/12))</f>
        <v>0.083333333333333</v>
      </c>
      <c r="AF6" s="22">
        <f>IF($D6="",1/12,IFERROR(INDEX(Parameters!$X$2:$AI$17,MATCH(Calculations!$A6,Parameters!$A$2:$A$17,0),MATCH(MONTH(Calculations!AF$3),Parameters!$X$2:$AI$2,0)),1/12))</f>
        <v>0.083333333333333</v>
      </c>
      <c r="AG6" s="22">
        <f>IF($D6="",1/12,IFERROR(INDEX(Parameters!$X$2:$AI$17,MATCH(Calculations!$A6,Parameters!$A$2:$A$17,0),MATCH(MONTH(Calculations!AG$3),Parameters!$X$2:$AI$2,0)),1/12))</f>
        <v>0.083333333333333</v>
      </c>
      <c r="AH6" s="22">
        <f>IF($D6="",1/12,IFERROR(INDEX(Parameters!$X$2:$AI$17,MATCH(Calculations!$A6,Parameters!$A$2:$A$17,0),MATCH(MONTH(Calculations!AH$3),Parameters!$X$2:$AI$2,0)),1/12))</f>
        <v>0.083333333333333</v>
      </c>
      <c r="AI6" s="22">
        <f>IF($D6="",1/12,IFERROR(INDEX(Parameters!$X$2:$AI$17,MATCH(Calculations!$A6,Parameters!$A$2:$A$17,0),MATCH(MONTH(Calculations!AI$3),Parameters!$X$2:$AI$2,0)),1/12))</f>
        <v>0.083333333333333</v>
      </c>
      <c r="AJ6" s="22">
        <f>IF($D6="",1/12,IFERROR(INDEX(Parameters!$X$2:$AI$17,MATCH(Calculations!$A6,Parameters!$A$2:$A$17,0),MATCH(MONTH(Calculations!AJ$3),Parameters!$X$2:$AI$2,0)),1/12))</f>
        <v>0.083333333333333</v>
      </c>
      <c r="AK6" s="22">
        <f>IF($D6="",1/12,IFERROR(INDEX(Parameters!$X$2:$AI$17,MATCH(Calculations!$A6,Parameters!$A$2:$A$17,0),MATCH(MONTH(Calculations!AK$3),Parameters!$X$2:$AI$2,0)),1/12))</f>
        <v>0.083333333333333</v>
      </c>
      <c r="AL6" s="22">
        <f>IF($D6="",1/12,IFERROR(INDEX(Parameters!$X$2:$AI$17,MATCH(Calculations!$A6,Parameters!$A$2:$A$17,0),MATCH(MONTH(Calculations!AL$3),Parameters!$X$2:$AI$2,0)),1/12))</f>
        <v>0.083333333333333</v>
      </c>
      <c r="AM6" s="22">
        <f>IF($D6="",1/12,IFERROR(INDEX(Parameters!$X$2:$AI$17,MATCH(Calculations!$A6,Parameters!$A$2:$A$17,0),MATCH(MONTH(Calculations!AM$3),Parameters!$X$2:$AI$2,0)),1/12))</f>
        <v>0.083333333333333</v>
      </c>
      <c r="AN6" s="22">
        <f>IF($D6="",1/12,IFERROR(INDEX(Parameters!$X$2:$AI$17,MATCH(Calculations!$A6,Parameters!$A$2:$A$17,0),MATCH(MONTH(Calculations!AN$3),Parameters!$X$2:$AI$2,0)),1/12))</f>
        <v>0.083333333333333</v>
      </c>
      <c r="AO6" s="22">
        <f>IF($D6="",1/12,IFERROR(INDEX(Parameters!$X$2:$AI$17,MATCH(Calculations!$A6,Parameters!$A$2:$A$17,0),MATCH(MONTH(Calculations!AO$3),Parameters!$X$2:$AI$2,0)),1/12))</f>
        <v>0.083333333333333</v>
      </c>
      <c r="AP6" s="22">
        <f>IF($D6="",1/12,IFERROR(INDEX(Parameters!$X$2:$AI$17,MATCH(Calculations!$A6,Parameters!$A$2:$A$17,0),MATCH(MONTH(Calculations!AP$3),Parameters!$X$2:$AI$2,0)),1/12))</f>
        <v>0.083333333333333</v>
      </c>
      <c r="AQ6" s="22">
        <f>IF($D6="",1/12,IFERROR(INDEX(Parameters!$X$2:$AI$17,MATCH(Calculations!$A6,Parameters!$A$2:$A$17,0),MATCH(MONTH(Calculations!AQ$3),Parameters!$X$2:$AI$2,0)),1/12))</f>
        <v>0.083333333333333</v>
      </c>
      <c r="AR6" s="22">
        <f>IF($D6="",1/12,IFERROR(INDEX(Parameters!$X$2:$AI$17,MATCH(Calculations!$A6,Parameters!$A$2:$A$17,0),MATCH(MONTH(Calculations!AR$3),Parameters!$X$2:$AI$2,0)),1/12))</f>
        <v>0.083333333333333</v>
      </c>
      <c r="AS6" s="22">
        <f>IF($D6="",1/12,IFERROR(INDEX(Parameters!$X$2:$AI$17,MATCH(Calculations!$A6,Parameters!$A$2:$A$17,0),MATCH(MONTH(Calculations!AS$3),Parameters!$X$2:$AI$2,0)),1/12))</f>
        <v>0.083333333333333</v>
      </c>
      <c r="AT6" s="22">
        <f>IF($D6="",1/12,IFERROR(INDEX(Parameters!$X$2:$AI$17,MATCH(Calculations!$A6,Parameters!$A$2:$A$17,0),MATCH(MONTH(Calculations!AT$3),Parameters!$X$2:$AI$2,0)),1/12))</f>
        <v>0.083333333333333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</v>
      </c>
      <c r="AD7" s="22">
        <f>IF($D7="",1/12,IFERROR(INDEX(Parameters!$X$2:$AI$17,MATCH(Calculations!$A7,Parameters!$A$2:$A$17,0),MATCH(MONTH(Calculations!AD$3),Parameters!$X$2:$AI$2,0)),1/12))</f>
        <v>0.083333333333333</v>
      </c>
      <c r="AE7" s="22">
        <f>IF($D7="",1/12,IFERROR(INDEX(Parameters!$X$2:$AI$17,MATCH(Calculations!$A7,Parameters!$A$2:$A$17,0),MATCH(MONTH(Calculations!AE$3),Parameters!$X$2:$AI$2,0)),1/12))</f>
        <v>0.083333333333333</v>
      </c>
      <c r="AF7" s="22">
        <f>IF($D7="",1/12,IFERROR(INDEX(Parameters!$X$2:$AI$17,MATCH(Calculations!$A7,Parameters!$A$2:$A$17,0),MATCH(MONTH(Calculations!AF$3),Parameters!$X$2:$AI$2,0)),1/12))</f>
        <v>0.083333333333333</v>
      </c>
      <c r="AG7" s="22">
        <f>IF($D7="",1/12,IFERROR(INDEX(Parameters!$X$2:$AI$17,MATCH(Calculations!$A7,Parameters!$A$2:$A$17,0),MATCH(MONTH(Calculations!AG$3),Parameters!$X$2:$AI$2,0)),1/12))</f>
        <v>0.083333333333333</v>
      </c>
      <c r="AH7" s="22">
        <f>IF($D7="",1/12,IFERROR(INDEX(Parameters!$X$2:$AI$17,MATCH(Calculations!$A7,Parameters!$A$2:$A$17,0),MATCH(MONTH(Calculations!AH$3),Parameters!$X$2:$AI$2,0)),1/12))</f>
        <v>0.083333333333333</v>
      </c>
      <c r="AI7" s="22">
        <f>IF($D7="",1/12,IFERROR(INDEX(Parameters!$X$2:$AI$17,MATCH(Calculations!$A7,Parameters!$A$2:$A$17,0),MATCH(MONTH(Calculations!AI$3),Parameters!$X$2:$AI$2,0)),1/12))</f>
        <v>0.083333333333333</v>
      </c>
      <c r="AJ7" s="22">
        <f>IF($D7="",1/12,IFERROR(INDEX(Parameters!$X$2:$AI$17,MATCH(Calculations!$A7,Parameters!$A$2:$A$17,0),MATCH(MONTH(Calculations!AJ$3),Parameters!$X$2:$AI$2,0)),1/12))</f>
        <v>0.083333333333333</v>
      </c>
      <c r="AK7" s="22">
        <f>IF($D7="",1/12,IFERROR(INDEX(Parameters!$X$2:$AI$17,MATCH(Calculations!$A7,Parameters!$A$2:$A$17,0),MATCH(MONTH(Calculations!AK$3),Parameters!$X$2:$AI$2,0)),1/12))</f>
        <v>0.083333333333333</v>
      </c>
      <c r="AL7" s="22">
        <f>IF($D7="",1/12,IFERROR(INDEX(Parameters!$X$2:$AI$17,MATCH(Calculations!$A7,Parameters!$A$2:$A$17,0),MATCH(MONTH(Calculations!AL$3),Parameters!$X$2:$AI$2,0)),1/12))</f>
        <v>0.083333333333333</v>
      </c>
      <c r="AM7" s="22">
        <f>IF($D7="",1/12,IFERROR(INDEX(Parameters!$X$2:$AI$17,MATCH(Calculations!$A7,Parameters!$A$2:$A$17,0),MATCH(MONTH(Calculations!AM$3),Parameters!$X$2:$AI$2,0)),1/12))</f>
        <v>0.083333333333333</v>
      </c>
      <c r="AN7" s="22">
        <f>IF($D7="",1/12,IFERROR(INDEX(Parameters!$X$2:$AI$17,MATCH(Calculations!$A7,Parameters!$A$2:$A$17,0),MATCH(MONTH(Calculations!AN$3),Parameters!$X$2:$AI$2,0)),1/12))</f>
        <v>0.083333333333333</v>
      </c>
      <c r="AO7" s="22">
        <f>IF($D7="",1/12,IFERROR(INDEX(Parameters!$X$2:$AI$17,MATCH(Calculations!$A7,Parameters!$A$2:$A$17,0),MATCH(MONTH(Calculations!AO$3),Parameters!$X$2:$AI$2,0)),1/12))</f>
        <v>0.083333333333333</v>
      </c>
      <c r="AP7" s="22">
        <f>IF($D7="",1/12,IFERROR(INDEX(Parameters!$X$2:$AI$17,MATCH(Calculations!$A7,Parameters!$A$2:$A$17,0),MATCH(MONTH(Calculations!AP$3),Parameters!$X$2:$AI$2,0)),1/12))</f>
        <v>0.083333333333333</v>
      </c>
      <c r="AQ7" s="22">
        <f>IF($D7="",1/12,IFERROR(INDEX(Parameters!$X$2:$AI$17,MATCH(Calculations!$A7,Parameters!$A$2:$A$17,0),MATCH(MONTH(Calculations!AQ$3),Parameters!$X$2:$AI$2,0)),1/12))</f>
        <v>0.083333333333333</v>
      </c>
      <c r="AR7" s="22">
        <f>IF($D7="",1/12,IFERROR(INDEX(Parameters!$X$2:$AI$17,MATCH(Calculations!$A7,Parameters!$A$2:$A$17,0),MATCH(MONTH(Calculations!AR$3),Parameters!$X$2:$AI$2,0)),1/12))</f>
        <v>0.083333333333333</v>
      </c>
      <c r="AS7" s="22">
        <f>IF($D7="",1/12,IFERROR(INDEX(Parameters!$X$2:$AI$17,MATCH(Calculations!$A7,Parameters!$A$2:$A$17,0),MATCH(MONTH(Calculations!AS$3),Parameters!$X$2:$AI$2,0)),1/12))</f>
        <v>0.083333333333333</v>
      </c>
      <c r="AT7" s="22">
        <f>IF($D7="",1/12,IFERROR(INDEX(Parameters!$X$2:$AI$17,MATCH(Calculations!$A7,Parameters!$A$2:$A$17,0),MATCH(MONTH(Calculations!AT$3),Parameters!$X$2:$AI$2,0)),1/12))</f>
        <v>0.083333333333333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</v>
      </c>
      <c r="AD8" s="24">
        <f>IF($D8="",1/12,IFERROR(INDEX(Parameters!$X$2:$AI$17,MATCH(Calculations!$A8,Parameters!$A$2:$A$17,0),MATCH(MONTH(Calculations!AD$3),Parameters!$X$2:$AI$2,0)),1/12))</f>
        <v>0.083333333333333</v>
      </c>
      <c r="AE8" s="24">
        <f>IF($D8="",1/12,IFERROR(INDEX(Parameters!$X$2:$AI$17,MATCH(Calculations!$A8,Parameters!$A$2:$A$17,0),MATCH(MONTH(Calculations!AE$3),Parameters!$X$2:$AI$2,0)),1/12))</f>
        <v>0.083333333333333</v>
      </c>
      <c r="AF8" s="24">
        <f>IF($D8="",1/12,IFERROR(INDEX(Parameters!$X$2:$AI$17,MATCH(Calculations!$A8,Parameters!$A$2:$A$17,0),MATCH(MONTH(Calculations!AF$3),Parameters!$X$2:$AI$2,0)),1/12))</f>
        <v>0.083333333333333</v>
      </c>
      <c r="AG8" s="24">
        <f>IF($D8="",1/12,IFERROR(INDEX(Parameters!$X$2:$AI$17,MATCH(Calculations!$A8,Parameters!$A$2:$A$17,0),MATCH(MONTH(Calculations!AG$3),Parameters!$X$2:$AI$2,0)),1/12))</f>
        <v>0.083333333333333</v>
      </c>
      <c r="AH8" s="24">
        <f>IF($D8="",1/12,IFERROR(INDEX(Parameters!$X$2:$AI$17,MATCH(Calculations!$A8,Parameters!$A$2:$A$17,0),MATCH(MONTH(Calculations!AH$3),Parameters!$X$2:$AI$2,0)),1/12))</f>
        <v>0.083333333333333</v>
      </c>
      <c r="AI8" s="24">
        <f>IF($D8="",1/12,IFERROR(INDEX(Parameters!$X$2:$AI$17,MATCH(Calculations!$A8,Parameters!$A$2:$A$17,0),MATCH(MONTH(Calculations!AI$3),Parameters!$X$2:$AI$2,0)),1/12))</f>
        <v>0.083333333333333</v>
      </c>
      <c r="AJ8" s="24">
        <f>IF($D8="",1/12,IFERROR(INDEX(Parameters!$X$2:$AI$17,MATCH(Calculations!$A8,Parameters!$A$2:$A$17,0),MATCH(MONTH(Calculations!AJ$3),Parameters!$X$2:$AI$2,0)),1/12))</f>
        <v>0.083333333333333</v>
      </c>
      <c r="AK8" s="24">
        <f>IF($D8="",1/12,IFERROR(INDEX(Parameters!$X$2:$AI$17,MATCH(Calculations!$A8,Parameters!$A$2:$A$17,0),MATCH(MONTH(Calculations!AK$3),Parameters!$X$2:$AI$2,0)),1/12))</f>
        <v>0.083333333333333</v>
      </c>
      <c r="AL8" s="24">
        <f>IF($D8="",1/12,IFERROR(INDEX(Parameters!$X$2:$AI$17,MATCH(Calculations!$A8,Parameters!$A$2:$A$17,0),MATCH(MONTH(Calculations!AL$3),Parameters!$X$2:$AI$2,0)),1/12))</f>
        <v>0.083333333333333</v>
      </c>
      <c r="AM8" s="24">
        <f>IF($D8="",1/12,IFERROR(INDEX(Parameters!$X$2:$AI$17,MATCH(Calculations!$A8,Parameters!$A$2:$A$17,0),MATCH(MONTH(Calculations!AM$3),Parameters!$X$2:$AI$2,0)),1/12))</f>
        <v>0.083333333333333</v>
      </c>
      <c r="AN8" s="24">
        <f>IF($D8="",1/12,IFERROR(INDEX(Parameters!$X$2:$AI$17,MATCH(Calculations!$A8,Parameters!$A$2:$A$17,0),MATCH(MONTH(Calculations!AN$3),Parameters!$X$2:$AI$2,0)),1/12))</f>
        <v>0.083333333333333</v>
      </c>
      <c r="AO8" s="24">
        <f>IF($D8="",1/12,IFERROR(INDEX(Parameters!$X$2:$AI$17,MATCH(Calculations!$A8,Parameters!$A$2:$A$17,0),MATCH(MONTH(Calculations!AO$3),Parameters!$X$2:$AI$2,0)),1/12))</f>
        <v>0.083333333333333</v>
      </c>
      <c r="AP8" s="24">
        <f>IF($D8="",1/12,IFERROR(INDEX(Parameters!$X$2:$AI$17,MATCH(Calculations!$A8,Parameters!$A$2:$A$17,0),MATCH(MONTH(Calculations!AP$3),Parameters!$X$2:$AI$2,0)),1/12))</f>
        <v>0.083333333333333</v>
      </c>
      <c r="AQ8" s="24">
        <f>IF($D8="",1/12,IFERROR(INDEX(Parameters!$X$2:$AI$17,MATCH(Calculations!$A8,Parameters!$A$2:$A$17,0),MATCH(MONTH(Calculations!AQ$3),Parameters!$X$2:$AI$2,0)),1/12))</f>
        <v>0.083333333333333</v>
      </c>
      <c r="AR8" s="24">
        <f>IF($D8="",1/12,IFERROR(INDEX(Parameters!$X$2:$AI$17,MATCH(Calculations!$A8,Parameters!$A$2:$A$17,0),MATCH(MONTH(Calculations!AR$3),Parameters!$X$2:$AI$2,0)),1/12))</f>
        <v>0.083333333333333</v>
      </c>
      <c r="AS8" s="24">
        <f>IF($D8="",1/12,IFERROR(INDEX(Parameters!$X$2:$AI$17,MATCH(Calculations!$A8,Parameters!$A$2:$A$17,0),MATCH(MONTH(Calculations!AS$3),Parameters!$X$2:$AI$2,0)),1/12))</f>
        <v>0.083333333333333</v>
      </c>
      <c r="AT8" s="24">
        <f>IF($D8="",1/12,IFERROR(INDEX(Parameters!$X$2:$AI$17,MATCH(Calculations!$A8,Parameters!$A$2:$A$17,0),MATCH(MONTH(Calculations!AT$3),Parameters!$X$2:$AI$2,0)),1/12))</f>
        <v>0.083333333333333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95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132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Muranga</v>
      </c>
    </row>
    <row r="33" spans="1:46">
      <c r="A33">
        <v>1</v>
      </c>
      <c r="B33" s="128">
        <f>G34</f>
        <v>42671</v>
      </c>
      <c r="C33" s="27">
        <f>IF(B33&lt;&gt;"",IF(COUNT($A$33:A33)&lt;=$G$39,0,$G$41)+IF(COUNT($A$33:A33)&lt;=$G$40,0,$G$42),0)</f>
        <v>0</v>
      </c>
      <c r="D33" s="170">
        <f>IFERROR(DATE(YEAR(B33),MONTH(B33),1)," ")</f>
        <v>42644</v>
      </c>
      <c r="F33" t="s">
        <v>152</v>
      </c>
      <c r="G33" s="128">
        <f>IF(Inputs!B79="","",DATE(YEAR(Inputs!B79),MONTH(Inputs!B79),DAY(Inputs!B79)))</f>
        <v>42664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42685</v>
      </c>
      <c r="C34" s="27">
        <f>IF(B34&lt;&gt;"",IF(COUNT($A$33:A34)&lt;=$G$39,0,$G$41)+IF(COUNT($A$33:A34)&lt;=$G$40,0,$G$42),0)</f>
        <v>22000</v>
      </c>
      <c r="D34" s="170">
        <f>IFERROR(DATE(YEAR(B34),MONTH(B34),1)," ")</f>
        <v>42675</v>
      </c>
      <c r="F34" t="s">
        <v>153</v>
      </c>
      <c r="G34" s="128">
        <f>IF(Inputs!B80="","",DATE(YEAR(Inputs!B80),MONTH(Inputs!B80),DAY(Inputs!B80)))</f>
        <v>42671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42699</v>
      </c>
      <c r="C35" s="27">
        <f>IF(B35&lt;&gt;"",IF(COUNT($A$33:A35)&lt;=$G$39,0,$G$41)+IF(COUNT($A$33:A35)&lt;=$G$40,0,$G$42),0)</f>
        <v>23139.178082192</v>
      </c>
      <c r="D35" s="170">
        <f>IFERROR(DATE(YEAR(B35),MONTH(B35),1)," ")</f>
        <v>42675</v>
      </c>
      <c r="F35" t="s">
        <v>155</v>
      </c>
      <c r="G35" s="27">
        <f>Inputs!B81</f>
        <v>110000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42713</v>
      </c>
      <c r="C36" s="27">
        <f>IF(B36&lt;&gt;"",IF(COUNT($A$33:A36)&lt;=$G$39,0,$G$41)+IF(COUNT($A$33:A36)&lt;=$G$40,0,$G$42),0)</f>
        <v>23139.178082192</v>
      </c>
      <c r="D36" s="170">
        <f>IFERROR(DATE(YEAR(B36),MONTH(B36),1)," ")</f>
        <v>42705</v>
      </c>
      <c r="F36" t="s">
        <v>156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42727</v>
      </c>
      <c r="C37" s="27">
        <f>IF(B37&lt;&gt;"",IF(COUNT($A$33:A37)&lt;=$G$39,0,$G$41)+IF(COUNT($A$33:A37)&lt;=$G$40,0,$G$42),0)</f>
        <v>23139.178082192</v>
      </c>
      <c r="D37" s="170">
        <f>IFERROR(DATE(YEAR(B37),MONTH(B37),1)," ")</f>
        <v>42705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Fortnightly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42741</v>
      </c>
      <c r="C38" s="27">
        <f>IF(B38&lt;&gt;"",IF(COUNT($A$33:A38)&lt;=$G$39,0,$G$41)+IF(COUNT($A$33:A38)&lt;=$G$40,0,$G$42),0)</f>
        <v>23139.178082192</v>
      </c>
      <c r="D38" s="170">
        <f>IFERROR(DATE(YEAR(B38),MONTH(B38),1)," ")</f>
        <v>42736</v>
      </c>
      <c r="F38" t="s">
        <v>218</v>
      </c>
      <c r="G38" s="27">
        <f>IFERROR(Inputs!B85/Inputs!B84,"")</f>
        <v>6</v>
      </c>
    </row>
    <row r="39" spans="1:46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161</v>
      </c>
      <c r="G39" s="27">
        <f>IF(Inputs!B86="",0,Inputs!B86)</f>
        <v>1</v>
      </c>
    </row>
    <row r="40" spans="1:46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162</v>
      </c>
      <c r="G40" s="27">
        <f>IF(Inputs!B87="",0,Inputs!B87)</f>
        <v>2</v>
      </c>
    </row>
    <row r="41" spans="1:46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219</v>
      </c>
      <c r="G41" s="73">
        <f>IFERROR(G35/(G38-G39),"")</f>
        <v>22000</v>
      </c>
      <c r="H41" s="73"/>
    </row>
    <row r="42" spans="1:46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220</v>
      </c>
      <c r="G42" s="73">
        <f>IFERROR(G35*G36*IF(G37="Monthly",G38/12,IF(G37="Fortnightly",G38/(365/14),G38/(365/28)))/(G38-G40),"")</f>
        <v>1139.1780821918</v>
      </c>
    </row>
    <row r="43" spans="1:46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46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</v>
      </c>
      <c r="D4" s="96">
        <v>0.1</v>
      </c>
      <c r="E4" s="96">
        <v>0.2</v>
      </c>
      <c r="F4" s="96">
        <v>0.15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</v>
      </c>
      <c r="Y4" s="96">
        <f>1/12</f>
        <v>0.083333333333333</v>
      </c>
      <c r="Z4" s="96">
        <f>1/12</f>
        <v>0.083333333333333</v>
      </c>
      <c r="AA4" s="96">
        <f>1/12</f>
        <v>0.083333333333333</v>
      </c>
      <c r="AB4" s="96">
        <f>1/12</f>
        <v>0.083333333333333</v>
      </c>
      <c r="AC4" s="96">
        <f>1/12</f>
        <v>0.083333333333333</v>
      </c>
      <c r="AD4" s="96">
        <f>1/12</f>
        <v>0.083333333333333</v>
      </c>
      <c r="AE4" s="96">
        <f>1/12</f>
        <v>0.083333333333333</v>
      </c>
      <c r="AF4" s="96">
        <f>1/12</f>
        <v>0.083333333333333</v>
      </c>
      <c r="AG4" s="96">
        <f>1/12</f>
        <v>0.083333333333333</v>
      </c>
      <c r="AH4" s="96">
        <f>1/12</f>
        <v>0.083333333333333</v>
      </c>
      <c r="AI4" s="96">
        <f>1/12</f>
        <v>0.083333333333333</v>
      </c>
    </row>
    <row r="5" spans="1:36" s="93" customFormat="1">
      <c r="A5" s="98" t="s">
        <v>256</v>
      </c>
      <c r="B5" s="99">
        <v>150</v>
      </c>
      <c r="C5" s="100">
        <v>1.0748881555995</v>
      </c>
      <c r="D5" s="101">
        <v>0.31984431374229</v>
      </c>
      <c r="E5" s="101">
        <v>0.67522688456706</v>
      </c>
      <c r="F5" s="101">
        <v>0.91796384131045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</v>
      </c>
      <c r="D6" s="96">
        <v>0.44189611030718</v>
      </c>
      <c r="E6" s="96">
        <v>0.77331819303757</v>
      </c>
      <c r="F6" s="96">
        <v>0.56469252326844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</v>
      </c>
      <c r="D7" s="96">
        <v>0.47226495803943</v>
      </c>
      <c r="E7" s="96">
        <v>0.70839743705914</v>
      </c>
      <c r="F7" s="96">
        <v>0.29602564190694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</v>
      </c>
      <c r="D8" s="96">
        <v>0.060879068533093</v>
      </c>
      <c r="E8" s="96">
        <v>0.12175813706619</v>
      </c>
      <c r="F8" s="96">
        <v>0.019780124605624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</v>
      </c>
      <c r="D9" s="96">
        <v>0.95680214690403</v>
      </c>
      <c r="E9" s="96">
        <v>1.5946702448401</v>
      </c>
      <c r="F9" s="96">
        <v>1.4216922285174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0.12820512820513</v>
      </c>
      <c r="Y9" s="96">
        <v>0.12820512820513</v>
      </c>
      <c r="Z9" s="96">
        <v>0.1025641025641</v>
      </c>
      <c r="AA9" s="96">
        <v>0.051282051282051</v>
      </c>
      <c r="AB9" s="96">
        <v>0</v>
      </c>
      <c r="AC9" s="96">
        <v>0.12820512820513</v>
      </c>
      <c r="AD9" s="96">
        <v>0.12820512820513</v>
      </c>
      <c r="AE9" s="96">
        <v>0.051282051282051</v>
      </c>
      <c r="AF9" s="96">
        <v>0</v>
      </c>
      <c r="AG9" s="96">
        <v>0.051282051282051</v>
      </c>
      <c r="AH9" s="96">
        <v>0.1025641025641</v>
      </c>
      <c r="AI9" s="96">
        <v>0.12820512820513</v>
      </c>
    </row>
    <row r="10" spans="1:36" s="21" customFormat="1">
      <c r="A10" s="21" t="s">
        <v>263</v>
      </c>
      <c r="B10" s="72">
        <v>400</v>
      </c>
      <c r="C10" s="105">
        <v>0.46268074827689</v>
      </c>
      <c r="D10" s="106">
        <v>0.61871944545544</v>
      </c>
      <c r="E10" s="106">
        <v>0.92807916818317</v>
      </c>
      <c r="F10" s="106">
        <v>0.39619525971885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0.17631626935148</v>
      </c>
      <c r="D11" s="96">
        <v>0.1648744131117</v>
      </c>
      <c r="E11" s="96">
        <v>0.32974882622341</v>
      </c>
      <c r="F11" s="96">
        <v>0.27860464059943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4.2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0.22900763358779</v>
      </c>
      <c r="Y11" s="96">
        <v>0.22900763358779</v>
      </c>
      <c r="Z11" s="96">
        <v>0.13740458015267</v>
      </c>
      <c r="AA11" s="96">
        <v>0.038167938931298</v>
      </c>
      <c r="AB11" s="96">
        <v>0.0076335877862595</v>
      </c>
      <c r="AC11" s="96">
        <v>0.0076335877862595</v>
      </c>
      <c r="AD11" s="96">
        <v>0.0076335877862595</v>
      </c>
      <c r="AE11" s="96">
        <v>0.0076335877862595</v>
      </c>
      <c r="AF11" s="96">
        <v>0.030534351145038</v>
      </c>
      <c r="AG11" s="96">
        <v>0.045801526717557</v>
      </c>
      <c r="AH11" s="96">
        <v>0.076335877862595</v>
      </c>
      <c r="AI11" s="96">
        <v>0.18320610687023</v>
      </c>
    </row>
    <row r="12" spans="1:36" s="93" customFormat="1">
      <c r="A12" s="93" t="s">
        <v>89</v>
      </c>
      <c r="B12" s="94">
        <v>1634.843</v>
      </c>
      <c r="C12" s="95">
        <v>0.60958552114631</v>
      </c>
      <c r="D12" s="96">
        <v>0.36227795775695</v>
      </c>
      <c r="E12" s="96">
        <v>0.7245559155139</v>
      </c>
      <c r="F12" s="96">
        <v>0.32215953522733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0.75274295119743</v>
      </c>
      <c r="D13" s="106">
        <v>0.37637147559871</v>
      </c>
      <c r="E13" s="106">
        <v>0.75274295119743</v>
      </c>
      <c r="F13" s="106">
        <v>0.6275470261119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0.05</v>
      </c>
      <c r="E14" s="96">
        <v>0.075</v>
      </c>
      <c r="F14" s="96">
        <v>0.05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</v>
      </c>
      <c r="D15" s="96">
        <v>0.62626844738571</v>
      </c>
      <c r="E15" s="96">
        <v>1.1272832052943</v>
      </c>
      <c r="F15" s="96">
        <v>0.11962273962856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</v>
      </c>
      <c r="V15" s="96">
        <v>0</v>
      </c>
      <c r="W15" s="94" t="s">
        <v>255</v>
      </c>
      <c r="X15" s="96">
        <v>0.083333333333333</v>
      </c>
      <c r="Y15" s="96">
        <v>0.083333333333333</v>
      </c>
      <c r="Z15" s="96">
        <v>0.083333333333333</v>
      </c>
      <c r="AA15" s="96">
        <v>0.083333333333333</v>
      </c>
      <c r="AB15" s="96">
        <v>0.083333333333333</v>
      </c>
      <c r="AC15" s="96">
        <v>0.083333333333333</v>
      </c>
      <c r="AD15" s="96">
        <v>0.083333333333333</v>
      </c>
      <c r="AE15" s="96">
        <v>0.083333333333333</v>
      </c>
      <c r="AF15" s="96">
        <v>0.083333333333333</v>
      </c>
      <c r="AG15" s="96">
        <v>0.083333333333333</v>
      </c>
      <c r="AH15" s="96">
        <v>0.083333333333333</v>
      </c>
      <c r="AI15" s="96">
        <v>0.083333333333333</v>
      </c>
    </row>
    <row r="16" spans="1:36" s="21" customFormat="1">
      <c r="A16" s="21" t="s">
        <v>268</v>
      </c>
      <c r="B16" s="72">
        <v>2651.467</v>
      </c>
      <c r="C16" s="95">
        <v>0.28556214186804</v>
      </c>
      <c r="D16" s="96">
        <v>0.093336373169867</v>
      </c>
      <c r="E16" s="96">
        <v>0.18667274633973</v>
      </c>
      <c r="F16" s="96">
        <v>0.48334093292467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</v>
      </c>
      <c r="D17" s="112">
        <v>0.18072831307447</v>
      </c>
      <c r="E17" s="112">
        <v>0.40663870441755</v>
      </c>
      <c r="F17" s="112">
        <v>0.3581339215066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16364.285714286</v>
      </c>
      <c r="P18" s="86">
        <f>AVERAGE(P4:P17)</f>
        <v>3039.2857142857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193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</v>
      </c>
      <c r="E23" s="106">
        <f>260/240-1</f>
        <v>0.083333333333333</v>
      </c>
      <c r="F23" s="106">
        <f>280/240-1</f>
        <v>0.16666666666667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</v>
      </c>
      <c r="F25" s="106">
        <f>9.5/D25-1</f>
        <v>2.1666666666667</v>
      </c>
      <c r="G25" s="22">
        <f>25/9.5-1</f>
        <v>1.6315789473684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289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289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289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289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95</v>
      </c>
      <c r="B41" s="191" t="s">
        <v>306</v>
      </c>
      <c r="C41" s="191" t="s">
        <v>92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308</v>
      </c>
      <c r="H52" s="12" t="s">
        <v>123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221</v>
      </c>
      <c r="E53" s="10" t="s">
        <v>180</v>
      </c>
      <c r="F53" s="10" t="s">
        <v>240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306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306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306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306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306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306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306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338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217</v>
      </c>
      <c r="J76" s="11" t="s">
        <v>343</v>
      </c>
      <c r="K76" s="11" t="s">
        <v>170</v>
      </c>
      <c r="AJ76" s="12"/>
    </row>
    <row r="77" spans="1:36">
      <c r="A77" t="s">
        <v>92</v>
      </c>
      <c r="B77" s="176">
        <v>0</v>
      </c>
      <c r="C77" s="12" t="s">
        <v>344</v>
      </c>
      <c r="E77" s="12" t="s">
        <v>306</v>
      </c>
      <c r="F77" s="12" t="s">
        <v>306</v>
      </c>
      <c r="G77" s="12" t="s">
        <v>345</v>
      </c>
      <c r="H77" s="12" t="s">
        <v>123</v>
      </c>
      <c r="I77" s="12" t="s">
        <v>346</v>
      </c>
      <c r="J77" s="136" t="s">
        <v>347</v>
      </c>
      <c r="K77" s="12" t="s">
        <v>306</v>
      </c>
      <c r="AJ77" s="12"/>
    </row>
    <row r="78" spans="1:36">
      <c r="A78" t="s">
        <v>306</v>
      </c>
      <c r="B78" s="176">
        <v>5</v>
      </c>
      <c r="C78" s="134" t="s">
        <v>348</v>
      </c>
      <c r="D78" s="133"/>
      <c r="E78" s="12" t="s">
        <v>91</v>
      </c>
      <c r="F78" s="12" t="s">
        <v>349</v>
      </c>
      <c r="G78" s="12" t="s">
        <v>350</v>
      </c>
      <c r="H78" s="12" t="s">
        <v>309</v>
      </c>
      <c r="I78" s="12" t="s">
        <v>158</v>
      </c>
      <c r="J78" s="70" t="s">
        <v>90</v>
      </c>
      <c r="K78" s="12" t="s">
        <v>306</v>
      </c>
      <c r="AJ78" s="12"/>
    </row>
    <row r="79" spans="1:36">
      <c r="B79" s="176">
        <v>10</v>
      </c>
      <c r="C79" s="12" t="s">
        <v>141</v>
      </c>
      <c r="D79" s="12">
        <v>1</v>
      </c>
      <c r="E79" s="12" t="s">
        <v>351</v>
      </c>
      <c r="F79" s="12" t="s">
        <v>93</v>
      </c>
      <c r="G79" s="12" t="s">
        <v>352</v>
      </c>
      <c r="I79" s="12" t="s">
        <v>338</v>
      </c>
      <c r="J79" s="70" t="s">
        <v>353</v>
      </c>
      <c r="K79" s="12" t="s">
        <v>306</v>
      </c>
      <c r="AJ79" s="12"/>
    </row>
    <row r="80" spans="1:36">
      <c r="B80" s="176">
        <v>20</v>
      </c>
      <c r="C80" s="12" t="s">
        <v>142</v>
      </c>
      <c r="D80" s="12">
        <f>D79+1</f>
        <v>2</v>
      </c>
      <c r="E80" s="12" t="s">
        <v>354</v>
      </c>
      <c r="F80" s="12" t="s">
        <v>355</v>
      </c>
      <c r="J80" s="70" t="s">
        <v>356</v>
      </c>
      <c r="K80" s="12" t="s">
        <v>92</v>
      </c>
      <c r="AJ80" s="12"/>
    </row>
    <row r="81" spans="1:36">
      <c r="B81" s="176">
        <v>30</v>
      </c>
      <c r="C81" s="12" t="s">
        <v>143</v>
      </c>
      <c r="D81" s="12">
        <f>D80+1</f>
        <v>3</v>
      </c>
      <c r="J81" s="70" t="s">
        <v>357</v>
      </c>
      <c r="K81" s="12" t="s">
        <v>92</v>
      </c>
    </row>
    <row r="82" spans="1:36">
      <c r="B82" s="176">
        <v>40</v>
      </c>
      <c r="C82" s="12" t="s">
        <v>144</v>
      </c>
      <c r="D82" s="12">
        <f>D81+1</f>
        <v>4</v>
      </c>
      <c r="J82" s="70"/>
    </row>
    <row r="83" spans="1:36">
      <c r="B83" s="176">
        <v>50</v>
      </c>
      <c r="C83" s="12" t="s">
        <v>145</v>
      </c>
      <c r="D83" s="12">
        <f>D82+1</f>
        <v>5</v>
      </c>
    </row>
    <row r="84" spans="1:36">
      <c r="B84" s="176">
        <v>60</v>
      </c>
      <c r="C84" s="12" t="s">
        <v>146</v>
      </c>
      <c r="D84" s="12">
        <f>D83+1</f>
        <v>6</v>
      </c>
    </row>
    <row r="85" spans="1:36">
      <c r="B85" s="176">
        <v>70</v>
      </c>
      <c r="C85" s="12" t="s">
        <v>358</v>
      </c>
      <c r="D85" s="12">
        <f>D84+1</f>
        <v>7</v>
      </c>
    </row>
    <row r="86" spans="1:36">
      <c r="B86" s="176">
        <v>80</v>
      </c>
      <c r="C86" s="12" t="s">
        <v>359</v>
      </c>
      <c r="D86" s="12">
        <f>D85+1</f>
        <v>8</v>
      </c>
    </row>
    <row r="87" spans="1:36">
      <c r="B87" s="176">
        <v>90</v>
      </c>
      <c r="C87" s="12" t="s">
        <v>360</v>
      </c>
      <c r="D87" s="12">
        <f>D86+1</f>
        <v>9</v>
      </c>
    </row>
    <row r="88" spans="1:36">
      <c r="B88" s="176">
        <v>100</v>
      </c>
      <c r="C88" s="12" t="s">
        <v>361</v>
      </c>
      <c r="D88" s="12">
        <f>D87+1</f>
        <v>10</v>
      </c>
    </row>
    <row r="89" spans="1:36">
      <c r="C89" s="12" t="s">
        <v>362</v>
      </c>
      <c r="D89" s="12">
        <f>D88+1</f>
        <v>11</v>
      </c>
    </row>
    <row r="90" spans="1:36">
      <c r="C90" s="12" t="s">
        <v>363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