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<sst xmlns="http://schemas.openxmlformats.org/spreadsheetml/2006/main" uniqueCount="365">
  <si>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</si>
  <si>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</si>
  <si>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</si>
  <si>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</si>
  <si>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</si>
  <si>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</si>
  <si>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</si>
  <si>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</si>
  <si>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</si>
  <si>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</si>
  <si>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</si>
  <si>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</si>
  <si>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</si>
  <si>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</si>
  <si>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</si>
  <si>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</si>
  <si>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</si>
  <si>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</si>
  <si>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</si>
  <si>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</si>
  <si>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</si>
  <si>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</si>
  <si>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</si>
  <si>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</si>
  <si>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</si>
  <si>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</si>
  <si>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</si>
  <si>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</si>
  <si>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</si>
  <si>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</si>
  <si>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</si>
  <si>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</si>
  <si>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</si>
  <si>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</si>
  <si>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</si>
  <si>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</si>
  <si>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</si>
  <si>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</si>
  <si>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</si>
  <si>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</si>
  <si>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</si>
  <si>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</si>
  <si>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</si>
  <si>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</si>
  <si>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</si>
  <si>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</si>
  <si>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</si>
  <si>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</si>
  <si>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</si>
  <si>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</si>
  <si>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</si>
  <si>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</si>
  <si>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</si>
  <si>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</si>
  <si>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</si>
  <si>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</si>
  <si>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</si>
  <si>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</si>
  <si>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</si>
  <si>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</si>
  <si>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</si>
  <si>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</si>
  <si>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</si>
  <si>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</si>
  <si>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</si>
  <si>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</si>
  <si>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</si>
  <si>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</si>
  <si>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</si>
  <si>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</si>
  <si>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</si>
  <si>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</si>
  <si>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</si>
  <si>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</si>
  <si>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</si>
  <si>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</si>
  <si>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</si>
  <si>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</si>
  <si>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</si>
  <si>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</si>
  <si>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</si>
  <si>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</si>
  <si>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</si>
  <si>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</si>
  <si>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</si>
  <si>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</si>
  <si>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</si>
  <si>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</si>
  <si>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</si>
  <si>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</si>
  <si>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</si>
  <si>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</si>
  <si>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</si>
  <si>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</si>
  <si>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</si>
  <si>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</si>
  <si>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</si>
  <si>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</si>
  <si>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</si>
  <si>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</si>
  <si>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</si>
  <si>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</si>
  <si>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</si>
  <si>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No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</si>
  <si>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</si>
  <si>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</si>
  <si>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</si>
  <si>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</si>
  <si>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</si>
  <si>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</si>
  <si>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</si>
  <si>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</si>
  <si>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</si>
  <si>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</si>
  <si>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</si>
  <si>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</si>
  <si>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</si>
  <si>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</si>
  <si>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</si>
  <si>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</si>
  <si>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</si>
  <si>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</si>
  <si>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</si>
  <si>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</si>
  <si>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</si>
  <si>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</si>
  <si>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</si>
  <si>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</si>
  <si>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</si>
  <si>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</si>
  <si>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</si>
  <si>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</si>
  <si>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</si>
  <si>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</si>
  <si>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</si>
  <si>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</si>
  <si>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</si>
  <si>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12/16/2016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</si>
  <si>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</si>
  <si>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</si>
  <si>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</si>
  <si>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</si>
  <si>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</si>
  <si>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</si>
  <si>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</si>
  <si>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</si>
  <si>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</si>
  <si>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</si>
  <si>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</si>
  <si>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</si>
  <si>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2016/12/16</t>
  </si>
  <si>
    <t>Loan terms</t>
  </si>
  <si>
    <t>Expected disbursement date</t>
  </si>
  <si>
    <t>Expected first repayment date</t>
  </si>
  <si>
    <t>2017/1/16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</si>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</sst>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July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1.09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0.2050756216354781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101500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400000</v>
      </c>
    </row>
    <row r="25" spans="1:7">
      <c r="B25" s="1" t="s">
        <v>18</v>
      </c>
      <c r="C25" s="36">
        <f>MAX(Inputs!A56:A60)</f>
        <v>400000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50000</v>
      </c>
      <c r="D7" s="80">
        <f>IF(ISERROR(VLOOKUP(MONTH(D5),Inputs!$D$66:$D$71,1,0)),"",INDEX(Inputs!$B$66:$B$71,MATCH(MONTH(Output!D5),Inputs!$D$66:$D$71,0))-INDEX(Inputs!$C$66:$C$71,MATCH(MONTH(Output!D5),Inputs!$D$66:$D$71,0)))</f>
        <v>10000</v>
      </c>
      <c r="E7" s="80">
        <f>IF(ISERROR(VLOOKUP(MONTH(E5),Inputs!$D$66:$D$71,1,0)),"",INDEX(Inputs!$B$66:$B$71,MATCH(MONTH(Output!E5),Inputs!$D$66:$D$71,0))-INDEX(Inputs!$C$66:$C$71,MATCH(MONTH(Output!E5),Inputs!$D$66:$D$71,0)))</f>
        <v>10000</v>
      </c>
      <c r="F7" s="80">
        <f>IF(ISERROR(VLOOKUP(MONTH(F5),Inputs!$D$66:$D$71,1,0)),"",INDEX(Inputs!$B$66:$B$71,MATCH(MONTH(Output!F5),Inputs!$D$66:$D$71,0))-INDEX(Inputs!$C$66:$C$71,MATCH(MONTH(Output!F5),Inputs!$D$66:$D$71,0)))</f>
        <v>10000</v>
      </c>
      <c r="G7" s="80">
        <f>IF(ISERROR(VLOOKUP(MONTH(G5),Inputs!$D$66:$D$71,1,0)),"",INDEX(Inputs!$B$66:$B$71,MATCH(MONTH(Output!G5),Inputs!$D$66:$D$71,0))-INDEX(Inputs!$C$66:$C$71,MATCH(MONTH(Output!G5),Inputs!$D$66:$D$71,0)))</f>
        <v>5000</v>
      </c>
      <c r="H7" s="80">
        <f>IF(ISERROR(VLOOKUP(MONTH(H5),Inputs!$D$66:$D$71,1,0)),"",INDEX(Inputs!$B$66:$B$71,MATCH(MONTH(Output!H5),Inputs!$D$66:$D$71,0))-INDEX(Inputs!$C$66:$C$71,MATCH(MONTH(Output!H5),Inputs!$D$66:$D$71,0)))</f>
        <v>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50000</v>
      </c>
      <c r="P7" s="80">
        <f>IF(ISERROR(VLOOKUP(MONTH(P5),Inputs!$D$66:$D$71,1,0)),"",INDEX(Inputs!$B$66:$B$71,MATCH(MONTH(Output!P5),Inputs!$D$66:$D$71,0))-INDEX(Inputs!$C$66:$C$71,MATCH(MONTH(Output!P5),Inputs!$D$66:$D$71,0)))</f>
        <v>10000</v>
      </c>
      <c r="Q7" s="80">
        <f>IF(ISERROR(VLOOKUP(MONTH(Q5),Inputs!$D$66:$D$71,1,0)),"",INDEX(Inputs!$B$66:$B$71,MATCH(MONTH(Output!Q5),Inputs!$D$66:$D$71,0))-INDEX(Inputs!$C$66:$C$71,MATCH(MONTH(Output!Q5),Inputs!$D$66:$D$71,0)))</f>
        <v>10000</v>
      </c>
      <c r="R7" s="80">
        <f>IF(ISERROR(VLOOKUP(MONTH(R5),Inputs!$D$66:$D$71,1,0)),"",INDEX(Inputs!$B$66:$B$71,MATCH(MONTH(Output!R5),Inputs!$D$66:$D$71,0))-INDEX(Inputs!$C$66:$C$71,MATCH(MONTH(Output!R5),Inputs!$D$66:$D$71,0)))</f>
        <v>10000</v>
      </c>
      <c r="S7" s="80">
        <f>IF(ISERROR(VLOOKUP(MONTH(S5),Inputs!$D$66:$D$71,1,0)),"",INDEX(Inputs!$B$66:$B$71,MATCH(MONTH(Output!S5),Inputs!$D$66:$D$71,0))-INDEX(Inputs!$C$66:$C$71,MATCH(MONTH(Output!S5),Inputs!$D$66:$D$71,0)))</f>
        <v>5000</v>
      </c>
      <c r="T7" s="80">
        <f>IF(ISERROR(VLOOKUP(MONTH(T5),Inputs!$D$66:$D$71,1,0)),"",INDEX(Inputs!$B$66:$B$71,MATCH(MONTH(Output!T5),Inputs!$D$66:$D$71,0))-INDEX(Inputs!$C$66:$C$71,MATCH(MONTH(Output!T5),Inputs!$D$66:$D$71,0)))</f>
        <v>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101500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109000</v>
      </c>
      <c r="AA10" s="37">
        <f>SUM(B10:M10)</f>
        <v>109000</v>
      </c>
      <c r="AB10" s="37">
        <f>SUM(B10:Y10)</f>
        <v>109000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-1500</v>
      </c>
      <c r="D11" s="80">
        <f>D6+D9-D10</f>
        <v>-1500</v>
      </c>
      <c r="E11" s="80">
        <f>E6+E9-E10</f>
        <v>-1500</v>
      </c>
      <c r="F11" s="80">
        <f>F6+F9-F10</f>
        <v>-1500</v>
      </c>
      <c r="G11" s="80">
        <f>G6+G9-G10</f>
        <v>-1500</v>
      </c>
      <c r="H11" s="80">
        <f>H6+H9-H10</f>
        <v>-101500</v>
      </c>
      <c r="I11" s="80">
        <f>I6+I9-I10</f>
        <v>0</v>
      </c>
      <c r="J11" s="80">
        <f>J6+J9-J10</f>
        <v>0</v>
      </c>
      <c r="K11" s="80">
        <f>K6+K9-K10</f>
        <v>0</v>
      </c>
      <c r="L11" s="80">
        <f>L6+L9-L10</f>
        <v>0</v>
      </c>
      <c r="M11" s="80">
        <f>M6+M9-M10</f>
        <v>0</v>
      </c>
      <c r="N11" s="80">
        <f>N6+N9-N10</f>
        <v>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-9000</v>
      </c>
      <c r="AA11" s="80">
        <f>SUM(B11:M11)</f>
        <v>-9000</v>
      </c>
      <c r="AB11" s="46">
        <f>SUM(B11:Y11)</f>
        <v>-9000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0.015</v>
      </c>
      <c r="D12" s="82">
        <f>IF(D13="Yes",IF(SUM($B$10:D10)/(SUM($B$6:D6)+SUM($B$9:D9))&lt;0,999.99,SUM($B$10:D10)/(SUM($B$6:D6)+SUM($B$9:D9))),"")</f>
        <v>0.03</v>
      </c>
      <c r="E12" s="82">
        <f>IF(E13="Yes",IF(SUM($B$10:E10)/(SUM($B$6:E6)+SUM($B$9:E9))&lt;0,999.99,SUM($B$10:E10)/(SUM($B$6:E6)+SUM($B$9:E9))),"")</f>
        <v>0.045</v>
      </c>
      <c r="F12" s="82">
        <f>IF(F13="Yes",IF(SUM($B$10:F10)/(SUM($B$6:F6)+SUM($B$9:F9))&lt;0,999.99,SUM($B$10:F10)/(SUM($B$6:F6)+SUM($B$9:F9))),"")</f>
        <v>0.06</v>
      </c>
      <c r="G12" s="82">
        <f>IF(G13="Yes",IF(SUM($B$10:G10)/(SUM($B$6:G6)+SUM($B$9:G9))&lt;0,999.99,SUM($B$10:G10)/(SUM($B$6:G6)+SUM($B$9:G9))),"")</f>
        <v>0.075</v>
      </c>
      <c r="H12" s="82">
        <f>IF(H13="Yes",IF(SUM($B$10:H10)/(SUM($B$6:H6)+SUM($B$9:H9))&lt;0,999.99,SUM($B$10:H10)/(SUM($B$6:H6)+SUM($B$9:H9))),"")</f>
        <v>1.09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1000000</v>
      </c>
    </row>
    <row r="100" spans="1:30" customHeight="1" ht="15.75">
      <c r="A100" s="18" t="s">
        <v>66</v>
      </c>
      <c r="B100" s="37">
        <f>Inputs!B48</f>
        <v>450000</v>
      </c>
    </row>
    <row r="101" spans="1:30" customHeight="1" ht="15.75">
      <c r="A101" s="1" t="s">
        <v>67</v>
      </c>
      <c r="B101" s="19">
        <f>SUM(B94:B100)</f>
        <v>1950500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100000</v>
      </c>
    </row>
    <row r="105" spans="1:30">
      <c r="A105" t="s">
        <v>70</v>
      </c>
      <c r="B105" s="36">
        <f>SUM(Inputs!B56:B60)</f>
        <v>200000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400000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0</v>
      </c>
      <c r="D19" s="145">
        <v>0</v>
      </c>
      <c r="E19" s="20"/>
      <c r="F19" s="145" t="s">
        <v>103</v>
      </c>
      <c r="G19" s="20"/>
      <c r="H19" s="20"/>
      <c r="I19" s="145" t="s">
        <v>104</v>
      </c>
      <c r="J19" s="145">
        <v>0</v>
      </c>
      <c r="K19" s="145">
        <v>5</v>
      </c>
      <c r="L19" s="25">
        <v>0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118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/>
    </row>
    <row r="46" spans="1:48" customHeight="1" ht="30">
      <c r="A46" s="57" t="s">
        <v>125</v>
      </c>
      <c r="B46" s="161">
        <v>1000000</v>
      </c>
    </row>
    <row r="47" spans="1:48" customHeight="1" ht="30">
      <c r="A47" s="57" t="s">
        <v>126</v>
      </c>
      <c r="B47" s="161">
        <v>500000</v>
      </c>
    </row>
    <row r="48" spans="1:48" customHeight="1" ht="30">
      <c r="A48" s="57" t="s">
        <v>127</v>
      </c>
      <c r="B48" s="161">
        <v>450000</v>
      </c>
    </row>
    <row r="49" spans="1:48" customHeight="1" ht="30">
      <c r="A49" s="57" t="s">
        <v>128</v>
      </c>
      <c r="B49" s="161">
        <v>500</v>
      </c>
    </row>
    <row r="50" spans="1:48">
      <c r="A50" s="43"/>
      <c r="B50" s="36"/>
    </row>
    <row r="51" spans="1:48">
      <c r="A51" s="58" t="s">
        <v>129</v>
      </c>
      <c r="B51" s="161">
        <v>100000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400000</v>
      </c>
      <c r="B56" s="159">
        <v>200000</v>
      </c>
      <c r="C56" s="162" t="s">
        <v>137</v>
      </c>
      <c r="D56" s="163"/>
      <c r="E56" s="163" t="s">
        <v>118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139</v>
      </c>
      <c r="C65" s="10" t="s">
        <v>140</v>
      </c>
    </row>
    <row r="66" spans="1:48">
      <c r="A66" s="142" t="s">
        <v>141</v>
      </c>
      <c r="B66" s="159">
        <v>250000</v>
      </c>
      <c r="C66" s="163">
        <v>200000</v>
      </c>
      <c r="D66" s="49">
        <f>INDEX(Parameters!$D$79:$D$90,MATCH(Inputs!A66,Parameters!$C$79:$C$90,0))</f>
        <v>1</v>
      </c>
    </row>
    <row r="67" spans="1:48">
      <c r="A67" s="143" t="s">
        <v>142</v>
      </c>
      <c r="B67" s="157">
        <v>50000</v>
      </c>
      <c r="C67" s="165">
        <v>40000</v>
      </c>
      <c r="D67" s="49">
        <f>INDEX(Parameters!$D$79:$D$90,MATCH(Inputs!A67,Parameters!$C$79:$C$90,0))</f>
        <v>2</v>
      </c>
    </row>
    <row r="68" spans="1:48">
      <c r="A68" s="143" t="s">
        <v>143</v>
      </c>
      <c r="B68" s="157">
        <v>60000</v>
      </c>
      <c r="C68" s="165">
        <v>50000</v>
      </c>
      <c r="D68" s="49">
        <f>INDEX(Parameters!$D$79:$D$90,MATCH(Inputs!A68,Parameters!$C$79:$C$90,0))</f>
        <v>3</v>
      </c>
    </row>
    <row r="69" spans="1:48">
      <c r="A69" s="143" t="s">
        <v>144</v>
      </c>
      <c r="B69" s="157">
        <v>90000</v>
      </c>
      <c r="C69" s="165">
        <v>80000</v>
      </c>
      <c r="D69" s="49">
        <f>INDEX(Parameters!$D$79:$D$90,MATCH(Inputs!A69,Parameters!$C$79:$C$90,0))</f>
        <v>4</v>
      </c>
    </row>
    <row r="70" spans="1:48">
      <c r="A70" s="143" t="s">
        <v>145</v>
      </c>
      <c r="B70" s="157">
        <v>45000</v>
      </c>
      <c r="C70" s="165">
        <v>40000</v>
      </c>
      <c r="D70" s="49">
        <f>INDEX(Parameters!$D$79:$D$90,MATCH(Inputs!A70,Parameters!$C$79:$C$90,0))</f>
        <v>5</v>
      </c>
    </row>
    <row r="71" spans="1:48">
      <c r="A71" s="144" t="s">
        <v>146</v>
      </c>
      <c r="B71" s="158">
        <v>50000</v>
      </c>
      <c r="C71" s="167">
        <v>50000</v>
      </c>
      <c r="D71" s="49">
        <f>INDEX(Parameters!$D$79:$D$90,MATCH(Inputs!A71,Parameters!$C$79:$C$90,0))</f>
        <v>6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10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18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6</v>
      </c>
    </row>
    <row r="86" spans="1:48">
      <c r="A86" t="s">
        <v>161</v>
      </c>
      <c r="B86" s="161">
        <v>5</v>
      </c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0</v>
      </c>
      <c r="E14" s="16">
        <f>Inputs!D19</f>
        <v>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43252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131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46">
      <c r="A23" s="75">
        <f>Inputs!A56</f>
        <v>400000</v>
      </c>
      <c r="B23" s="75">
        <f>SUM(C23:D23)</f>
        <v>7333.333333333333</v>
      </c>
      <c r="C23" s="75" t="str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7333.333333333333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Kawangware</v>
      </c>
    </row>
    <row r="33" spans="1:46">
      <c r="A33">
        <v>1</v>
      </c>
      <c r="B33" s="128">
        <f>G34</f>
        <v>42751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152</v>
      </c>
      <c r="G33" s="128">
        <f>IF(Inputs!B79="","",DATE(YEAR(Inputs!B79),MONTH(Inputs!B79),DAY(Inputs!B79)))</f>
        <v>42720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42782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153</v>
      </c>
      <c r="G34" s="128">
        <f>IF(Inputs!B80="","",DATE(YEAR(Inputs!B80),MONTH(Inputs!B80),DAY(Inputs!B80)))</f>
        <v>42751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42810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155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42841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156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42871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42902</v>
      </c>
      <c r="C38" s="27">
        <f>IF(B38&lt;&gt;"",IF(COUNT($A$33:A38)&lt;=$G$39,0,$G$41)+IF(COUNT($A$33:A38)&lt;=$G$40,0,$G$42),0)</f>
        <v>101500</v>
      </c>
      <c r="D38" s="170">
        <f>IFERROR(DATE(YEAR(B38),MONTH(B38),1)," ")</f>
        <v>42887</v>
      </c>
      <c r="F38" t="s">
        <v>218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161</v>
      </c>
      <c r="G39" s="27">
        <f>IF(Inputs!B86="",0,Inputs!B86)</f>
        <v>5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162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219</v>
      </c>
      <c r="G41" s="73">
        <f>IFERROR(G35/(G38-G39),"")</f>
        <v>100000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220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102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103</v>
      </c>
      <c r="C41" s="191" t="s">
        <v>118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122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118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118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118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118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118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118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118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118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118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118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118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118</v>
      </c>
      <c r="B77" s="176">
        <v>0</v>
      </c>
      <c r="C77" s="12" t="s">
        <v>342</v>
      </c>
      <c r="E77" s="12" t="s">
        <v>103</v>
      </c>
      <c r="F77" s="12" t="s">
        <v>103</v>
      </c>
      <c r="G77" s="12" t="s">
        <v>343</v>
      </c>
      <c r="H77" s="12" t="s">
        <v>122</v>
      </c>
      <c r="I77" s="12" t="s">
        <v>344</v>
      </c>
      <c r="J77" s="136" t="s">
        <v>345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308</v>
      </c>
      <c r="I78" s="12" t="s">
        <v>350</v>
      </c>
      <c r="J78" s="70" t="s">
        <v>351</v>
      </c>
      <c r="K78" s="12" t="s">
        <v>103</v>
      </c>
      <c r="AJ78" s="12"/>
    </row>
    <row r="79" spans="1:36">
      <c r="B79" s="176">
        <v>10</v>
      </c>
      <c r="C79" s="12" t="s">
        <v>141</v>
      </c>
      <c r="D79" s="12">
        <v>1</v>
      </c>
      <c r="E79" s="12" t="s">
        <v>352</v>
      </c>
      <c r="F79" s="12" t="s">
        <v>353</v>
      </c>
      <c r="G79" s="12" t="s">
        <v>104</v>
      </c>
      <c r="I79" s="12" t="s">
        <v>158</v>
      </c>
      <c r="J79" s="70" t="s">
        <v>354</v>
      </c>
      <c r="K79" s="12" t="s">
        <v>103</v>
      </c>
      <c r="AJ79" s="12"/>
    </row>
    <row r="80" spans="1:36">
      <c r="B80" s="176">
        <v>20</v>
      </c>
      <c r="C80" s="12" t="s">
        <v>142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118</v>
      </c>
      <c r="AJ80" s="12"/>
    </row>
    <row r="81" spans="1:36">
      <c r="B81" s="176">
        <v>30</v>
      </c>
      <c r="C81" s="12" t="s">
        <v>143</v>
      </c>
      <c r="D81" s="12">
        <f>D80+1</f>
        <v>3</v>
      </c>
      <c r="J81" s="70" t="s">
        <v>358</v>
      </c>
      <c r="K81" s="12" t="s">
        <v>118</v>
      </c>
    </row>
    <row r="82" spans="1:36">
      <c r="B82" s="176">
        <v>40</v>
      </c>
      <c r="C82" s="12" t="s">
        <v>144</v>
      </c>
      <c r="D82" s="12">
        <f>D81+1</f>
        <v>4</v>
      </c>
      <c r="J82" s="70"/>
    </row>
    <row r="83" spans="1:36">
      <c r="B83" s="176">
        <v>50</v>
      </c>
      <c r="C83" s="12" t="s">
        <v>145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359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