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<sst xmlns="http://schemas.openxmlformats.org/spreadsheetml/2006/main" uniqueCount="368">
  <si>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</si>
  <si>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</si>
  <si>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</si>
  <si>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</si>
  <si>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</si>
  <si>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</si>
  <si>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</si>
  <si>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</si>
  <si>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</si>
  <si>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</si>
  <si>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</si>
  <si>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</si>
  <si>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</si>
  <si>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</si>
  <si>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</si>
  <si>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</si>
  <si>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</si>
  <si>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</si>
  <si>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</si>
  <si>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</si>
  <si>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</si>
  <si>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</si>
  <si>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</si>
  <si>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</si>
  <si>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</si>
  <si>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</si>
  <si>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</si>
  <si>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</si>
  <si>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</si>
  <si>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</si>
  <si>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</si>
  <si>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</si>
  <si>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</si>
  <si>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</si>
  <si>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</si>
  <si>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</si>
  <si>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</si>
  <si>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</si>
  <si>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</si>
  <si>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</si>
  <si>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</si>
  <si>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</si>
  <si>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</si>
  <si>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</si>
  <si>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</si>
  <si>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</si>
  <si>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</si>
  <si>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</si>
  <si>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</si>
  <si>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</si>
  <si>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</si>
  <si>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</si>
  <si>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</si>
  <si>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</si>
  <si>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</si>
  <si>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</si>
  <si>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</si>
  <si>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</si>
  <si>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</si>
  <si>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</si>
  <si>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</si>
  <si>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</si>
  <si>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</si>
  <si>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</si>
  <si>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</si>
  <si>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</si>
  <si>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</si>
  <si>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</si>
  <si>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</si>
  <si>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</si>
  <si>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</si>
  <si>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</si>
  <si>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</si>
  <si>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</si>
  <si>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</si>
  <si>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</si>
  <si>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</si>
  <si>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</si>
  <si>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</si>
  <si>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</si>
  <si>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</si>
  <si>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</si>
  <si>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</si>
  <si>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</si>
  <si>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</si>
  <si>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</si>
  <si>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</si>
  <si>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</si>
  <si>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</si>
  <si>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</si>
  <si>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</si>
  <si>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Yes both manure and inorganic</t>
  </si>
  <si>
    <t>Yes</t>
  </si>
  <si>
    <t>Yes using a diesel pump</t>
  </si>
  <si>
    <t>Cabbages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</si>
  <si>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</si>
  <si>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</si>
  <si>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</si>
  <si>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</si>
  <si>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</si>
  <si>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</si>
  <si>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</si>
  <si>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</si>
  <si>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</si>
  <si>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</si>
  <si>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</si>
  <si>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</si>
  <si>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</si>
  <si>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</si>
  <si>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</si>
  <si>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</si>
  <si>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</si>
  <si>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</si>
  <si>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</si>
  <si>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</si>
  <si>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Cake baking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</si>
  <si>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</si>
  <si>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</si>
  <si>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</si>
  <si>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</si>
  <si>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</si>
  <si>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</si>
  <si>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</si>
  <si>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</si>
  <si>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</si>
  <si>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</si>
  <si>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</si>
  <si>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</si>
  <si>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</si>
  <si>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</si>
  <si>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</si>
  <si>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</si>
  <si>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</si>
  <si>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</si>
  <si>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</si>
  <si>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</si>
  <si>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</si>
  <si>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</si>
  <si>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</si>
  <si>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</si>
  <si>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</si>
  <si>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</si>
  <si>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</si>
  <si>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2/16/2015</t>
  </si>
  <si>
    <t>Murata sacco</t>
  </si>
  <si>
    <t>No</t>
  </si>
  <si>
    <t>Two installments fell into arrears due to delayed payments by the customers.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</si>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</sst>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Cake baking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0.2772566667863098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0.02997025852207733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312592.4270870495</v>
      </c>
    </row>
    <row r="18" spans="1:7">
      <c r="B18" s="1" t="s">
        <v>12</v>
      </c>
      <c r="C18" s="36">
        <f>MIN(Output!B6:M6)</f>
        <v>1203.435166813135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105436.4195449009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6770.120930706595</v>
      </c>
      <c r="C6" s="51">
        <f>C30-C88</f>
        <v>105436.4195449009</v>
      </c>
      <c r="D6" s="51">
        <f>D30-D88</f>
        <v>15320.12093070659</v>
      </c>
      <c r="E6" s="51">
        <f>E30-E88</f>
        <v>15320.12093070659</v>
      </c>
      <c r="F6" s="51">
        <f>F30-F88</f>
        <v>6964.120930706595</v>
      </c>
      <c r="G6" s="51">
        <f>G30-G88</f>
        <v>9570.120930706595</v>
      </c>
      <c r="H6" s="51">
        <f>H30-H88</f>
        <v>1203.435166813135</v>
      </c>
      <c r="I6" s="51">
        <f>I30-I88</f>
        <v>102156.7292967025</v>
      </c>
      <c r="J6" s="51">
        <f>J30-J88</f>
        <v>15989.30960627502</v>
      </c>
      <c r="K6" s="51">
        <f>K30-K88</f>
        <v>15989.30960627502</v>
      </c>
      <c r="L6" s="51">
        <f>L30-L88</f>
        <v>7633.309606275019</v>
      </c>
      <c r="M6" s="51">
        <f>M30-M88</f>
        <v>10239.30960627502</v>
      </c>
      <c r="N6" s="51">
        <f>N30-N88</f>
        <v>13005.99537016848</v>
      </c>
      <c r="O6" s="51">
        <f>O30-O88</f>
        <v>111672.2939843628</v>
      </c>
      <c r="P6" s="51">
        <f>P30-P88</f>
        <v>21555.99537016848</v>
      </c>
      <c r="Q6" s="51">
        <f>Q30-Q88</f>
        <v>21555.99537016848</v>
      </c>
      <c r="R6" s="51">
        <f>R30-R88</f>
        <v>13199.99537016848</v>
      </c>
      <c r="S6" s="51">
        <f>S30-S88</f>
        <v>15805.99537016848</v>
      </c>
      <c r="T6" s="51">
        <f>T30-T88</f>
        <v>7439.309606275019</v>
      </c>
      <c r="U6" s="51">
        <f>U30-U88</f>
        <v>106105.6082204694</v>
      </c>
      <c r="V6" s="51">
        <f>V30-V88</f>
        <v>15989.30960627502</v>
      </c>
      <c r="W6" s="51">
        <f>W30-W88</f>
        <v>15989.30960627502</v>
      </c>
      <c r="X6" s="51">
        <f>X30-X88</f>
        <v>7633.309606275019</v>
      </c>
      <c r="Y6" s="51">
        <f>Y30-Y88</f>
        <v>10239.30960627502</v>
      </c>
      <c r="Z6" s="51">
        <f>SUMIF($B$13:$Y$13,"Yes",B6:Y6)</f>
        <v>325598.422457218</v>
      </c>
      <c r="AA6" s="51">
        <f>AA30-AA88</f>
        <v>312592.4270870497</v>
      </c>
      <c r="AB6" s="51">
        <f>AB30-AB88</f>
        <v>672784.8541740996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-168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-1000</v>
      </c>
      <c r="J7" s="80">
        <f>IF(ISERROR(VLOOKUP(MONTH(J5),Inputs!$D$66:$D$71,1,0)),"",INDEX(Inputs!$B$66:$B$71,MATCH(MONTH(Output!J5),Inputs!$D$66:$D$71,0))-INDEX(Inputs!$C$66:$C$71,MATCH(MONTH(Output!J5),Inputs!$D$66:$D$71,0)))</f>
        <v>10060</v>
      </c>
      <c r="K7" s="80">
        <f>IF(ISERROR(VLOOKUP(MONTH(K5),Inputs!$D$66:$D$71,1,0)),"",INDEX(Inputs!$B$66:$B$71,MATCH(MONTH(Output!K5),Inputs!$D$66:$D$71,0))-INDEX(Inputs!$C$66:$C$71,MATCH(MONTH(Output!K5),Inputs!$D$66:$D$71,0)))</f>
        <v>11882</v>
      </c>
      <c r="L7" s="80">
        <f>IF(ISERROR(VLOOKUP(MONTH(L5),Inputs!$D$66:$D$71,1,0)),"",INDEX(Inputs!$B$66:$B$71,MATCH(MONTH(Output!L5),Inputs!$D$66:$D$71,0))-INDEX(Inputs!$C$66:$C$71,MATCH(MONTH(Output!L5),Inputs!$D$66:$D$71,0)))</f>
        <v>-858</v>
      </c>
      <c r="M7" s="80">
        <f>IF(ISERROR(VLOOKUP(MONTH(M5),Inputs!$D$66:$D$71,1,0)),"",INDEX(Inputs!$B$66:$B$71,MATCH(MONTH(Output!M5),Inputs!$D$66:$D$71,0))-INDEX(Inputs!$C$66:$C$71,MATCH(MONTH(Output!M5),Inputs!$D$66:$D$71,0)))</f>
        <v>-960</v>
      </c>
      <c r="N7" s="80">
        <f>IF(ISERROR(VLOOKUP(MONTH(N5),Inputs!$D$66:$D$71,1,0)),"",INDEX(Inputs!$B$66:$B$71,MATCH(MONTH(Output!N5),Inputs!$D$66:$D$71,0))-INDEX(Inputs!$C$66:$C$71,MATCH(MONTH(Output!N5),Inputs!$D$66:$D$71,0)))</f>
        <v>-168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-1000</v>
      </c>
      <c r="V7" s="80">
        <f>IF(ISERROR(VLOOKUP(MONTH(V5),Inputs!$D$66:$D$71,1,0)),"",INDEX(Inputs!$B$66:$B$71,MATCH(MONTH(Output!V5),Inputs!$D$66:$D$71,0))-INDEX(Inputs!$C$66:$C$71,MATCH(MONTH(Output!V5),Inputs!$D$66:$D$71,0)))</f>
        <v>10060</v>
      </c>
      <c r="W7" s="80">
        <f>IF(ISERROR(VLOOKUP(MONTH(W5),Inputs!$D$66:$D$71,1,0)),"",INDEX(Inputs!$B$66:$B$71,MATCH(MONTH(Output!W5),Inputs!$D$66:$D$71,0))-INDEX(Inputs!$C$66:$C$71,MATCH(MONTH(Output!W5),Inputs!$D$66:$D$71,0)))</f>
        <v>11882</v>
      </c>
      <c r="X7" s="80">
        <f>IF(ISERROR(VLOOKUP(MONTH(X5),Inputs!$D$66:$D$71,1,0)),"",INDEX(Inputs!$B$66:$B$71,MATCH(MONTH(Output!X5),Inputs!$D$66:$D$71,0))-INDEX(Inputs!$C$66:$C$71,MATCH(MONTH(Output!X5),Inputs!$D$66:$D$71,0)))</f>
        <v>-858</v>
      </c>
      <c r="Y7" s="80">
        <f>IF(ISERROR(VLOOKUP(MONTH(Y5),Inputs!$D$66:$D$71,1,0)),"",INDEX(Inputs!$B$66:$B$71,MATCH(MONTH(Output!Y5),Inputs!$D$66:$D$71,0))-INDEX(Inputs!$C$66:$C$71,MATCH(MONTH(Output!Y5),Inputs!$D$66:$D$71,0)))</f>
        <v>-960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106770.1209307066</v>
      </c>
      <c r="C11" s="80">
        <f>C6+C9-C10</f>
        <v>103936.4195449009</v>
      </c>
      <c r="D11" s="80">
        <f>D6+D9-D10</f>
        <v>13820.12093070659</v>
      </c>
      <c r="E11" s="80">
        <f>E6+E9-E10</f>
        <v>13820.12093070659</v>
      </c>
      <c r="F11" s="80">
        <f>F6+F9-F10</f>
        <v>5464.120930706595</v>
      </c>
      <c r="G11" s="80">
        <f>G6+G9-G10</f>
        <v>8070.120930706595</v>
      </c>
      <c r="H11" s="80">
        <f>H6+H9-H10</f>
        <v>-14582.27911890115</v>
      </c>
      <c r="I11" s="80">
        <f>I6+I9-I10</f>
        <v>86371.01501098824</v>
      </c>
      <c r="J11" s="80">
        <f>J6+J9-J10</f>
        <v>203.5953205607329</v>
      </c>
      <c r="K11" s="80">
        <f>K6+K9-K10</f>
        <v>203.5953205607329</v>
      </c>
      <c r="L11" s="80">
        <f>L6+L9-L10</f>
        <v>-8152.404679439267</v>
      </c>
      <c r="M11" s="80">
        <f>M6+M9-M10</f>
        <v>-5546.404679439267</v>
      </c>
      <c r="N11" s="80">
        <f>N6+N9-N10</f>
        <v>-2779.718915545807</v>
      </c>
      <c r="O11" s="80">
        <f>O6+O9-O10</f>
        <v>111672.2939843628</v>
      </c>
      <c r="P11" s="80">
        <f>P6+P9-P10</f>
        <v>21555.99537016848</v>
      </c>
      <c r="Q11" s="80">
        <f>Q6+Q9-Q10</f>
        <v>21555.99537016848</v>
      </c>
      <c r="R11" s="80">
        <f>R6+R9-R10</f>
        <v>13199.99537016848</v>
      </c>
      <c r="S11" s="80">
        <f>S6+S9-S10</f>
        <v>15805.99537016848</v>
      </c>
      <c r="T11" s="80">
        <f>T6+T9-T10</f>
        <v>7439.309606275019</v>
      </c>
      <c r="U11" s="80">
        <f>U6+U9-U10</f>
        <v>106105.6082204694</v>
      </c>
      <c r="V11" s="80">
        <f>V6+V9-V10</f>
        <v>15989.30960627502</v>
      </c>
      <c r="W11" s="80">
        <f>W6+W9-W10</f>
        <v>15989.30960627502</v>
      </c>
      <c r="X11" s="80">
        <f>X6+X9-X10</f>
        <v>7633.309606275019</v>
      </c>
      <c r="Y11" s="80">
        <f>Y6+Y9-Y10</f>
        <v>10239.30960627502</v>
      </c>
      <c r="Z11" s="85">
        <f>SUMIF($B$13:$Y$13,"Yes",B11:Y11)</f>
        <v>307598.4224572181</v>
      </c>
      <c r="AA11" s="80">
        <f>SUM(B11:M11)</f>
        <v>310378.1413727639</v>
      </c>
      <c r="AB11" s="46">
        <f>SUM(B11:Y11)</f>
        <v>654784.8541740994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0.007068585146518707</v>
      </c>
      <c r="D12" s="82">
        <f>IF(D13="Yes",IF(SUM($B$10:D10)/(SUM($B$6:D6)+SUM($B$9:D9))&lt;0,999.99,SUM($B$10:D10)/(SUM($B$6:D6)+SUM($B$9:D9))),"")</f>
        <v>0.01318526796577321</v>
      </c>
      <c r="E12" s="82">
        <f>IF(E13="Yes",IF(SUM($B$10:E10)/(SUM($B$6:E6)+SUM($B$9:E9))&lt;0,999.99,SUM($B$10:E10)/(SUM($B$6:E6)+SUM($B$9:E9))),"")</f>
        <v>0.01853020228102071</v>
      </c>
      <c r="F12" s="82">
        <f>IF(F13="Yes",IF(SUM($B$10:F10)/(SUM($B$6:F6)+SUM($B$9:F9))&lt;0,999.99,SUM($B$10:F10)/(SUM($B$6:F6)+SUM($B$9:F9))),"")</f>
        <v>0.0240181670276004</v>
      </c>
      <c r="G12" s="82">
        <f>IF(G13="Yes",IF(SUM($B$10:G10)/(SUM($B$6:G6)+SUM($B$9:G9))&lt;0,999.99,SUM($B$10:G10)/(SUM($B$6:G6)+SUM($B$9:G9))),"")</f>
        <v>0.0289149910760715</v>
      </c>
      <c r="H12" s="82">
        <f>IF(H13="Yes",IF(SUM($B$10:H10)/(SUM($B$6:H6)+SUM($B$9:H9))&lt;0,999.99,SUM($B$10:H10)/(SUM($B$6:H6)+SUM($B$9:H9))),"")</f>
        <v>0.08935956634726237</v>
      </c>
      <c r="I12" s="82">
        <f>IF(I13="Yes",IF(SUM($B$10:I10)/(SUM($B$6:I6)+SUM($B$9:I9))&lt;0,999.99,SUM($B$10:I10)/(SUM($B$6:I6)+SUM($B$9:I9))),"")</f>
        <v>0.1077115855399606</v>
      </c>
      <c r="J12" s="82">
        <f>IF(J13="Yes",IF(SUM($B$10:J10)/(SUM($B$6:J6)+SUM($B$9:J9))&lt;0,999.99,SUM($B$10:J10)/(SUM($B$6:J6)+SUM($B$9:J9))),"")</f>
        <v>0.1448447988952079</v>
      </c>
      <c r="K12" s="82">
        <f>IF(K13="Yes",IF(SUM($B$10:K10)/(SUM($B$6:K6)+SUM($B$9:K9))&lt;0,999.99,SUM($B$10:K10)/(SUM($B$6:K6)+SUM($B$9:K9))),"")</f>
        <v>0.1789696279070898</v>
      </c>
      <c r="L12" s="82">
        <f>IF(L13="Yes",IF(SUM($B$10:L10)/(SUM($B$6:L6)+SUM($B$9:L9))&lt;0,999.99,SUM($B$10:L10)/(SUM($B$6:L6)+SUM($B$9:L9))),"")</f>
        <v>0.2148077588405941</v>
      </c>
      <c r="M12" s="82">
        <f>IF(M13="Yes",IF(SUM($B$10:M10)/(SUM($B$6:M6)+SUM($B$9:M9))&lt;0,999.99,SUM($B$10:M10)/(SUM($B$6:M6)+SUM($B$9:M9))),"")</f>
        <v>0.2477366985039703</v>
      </c>
      <c r="N12" s="82">
        <f>IF(N13="Yes",IF(SUM($B$10:N10)/(SUM($B$6:N6)+SUM($B$9:N9))&lt;0,999.99,SUM($B$10:N10)/(SUM($B$6:N6)+SUM($B$9:N9))),"")</f>
        <v>0.2772566667863098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5566.685763893463</v>
      </c>
      <c r="C18" s="36">
        <f>O18</f>
        <v>5566.685763893463</v>
      </c>
      <c r="D18" s="36">
        <f>P18</f>
        <v>5566.685763893463</v>
      </c>
      <c r="E18" s="36">
        <f>Q18</f>
        <v>5566.685763893463</v>
      </c>
      <c r="F18" s="36">
        <f>R18</f>
        <v>5566.685763893463</v>
      </c>
      <c r="G18" s="36">
        <f>S18</f>
        <v>5566.685763893463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5566.685763893463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5566.685763893463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5566.685763893463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5566.685763893463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5566.685763893463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5566.685763893463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38966.80034725425</v>
      </c>
      <c r="AA18" s="36">
        <f>SUM(B18:M18)</f>
        <v>33400.11458336078</v>
      </c>
      <c r="AB18" s="36">
        <f>SUM(B18:Y18)</f>
        <v>66800.22916672155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95866.29861419431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95866.29861419431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95866.29861419431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95866.29861419431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191732.5972283886</v>
      </c>
      <c r="AA19" s="36">
        <f>SUM(B19:M19)</f>
        <v>191732.5972283886</v>
      </c>
      <c r="AB19" s="36">
        <f>SUM(B19:Y19)</f>
        <v>383465.1944567772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57504.18576389346</v>
      </c>
      <c r="C30" s="19">
        <f>SUM(C18:C29)</f>
        <v>153370.4843780878</v>
      </c>
      <c r="D30" s="19">
        <f>SUM(D18:D29)</f>
        <v>57504.18576389346</v>
      </c>
      <c r="E30" s="19">
        <f>SUM(E18:E29)</f>
        <v>57504.18576389346</v>
      </c>
      <c r="F30" s="19">
        <f>SUM(F18:F29)</f>
        <v>57504.18576389346</v>
      </c>
      <c r="G30" s="19">
        <f>SUM(G18:G29)</f>
        <v>57504.18576389346</v>
      </c>
      <c r="H30" s="19">
        <f>SUM(H18:H29)</f>
        <v>51937.5</v>
      </c>
      <c r="I30" s="19">
        <f>SUM(I18:I29)</f>
        <v>147803.7986141943</v>
      </c>
      <c r="J30" s="19">
        <f>SUM(J18:J29)</f>
        <v>51937.5</v>
      </c>
      <c r="K30" s="19">
        <f>SUM(K18:K29)</f>
        <v>51937.5</v>
      </c>
      <c r="L30" s="19">
        <f>SUM(L18:L29)</f>
        <v>51937.5</v>
      </c>
      <c r="M30" s="19">
        <f>SUM(M18:M29)</f>
        <v>51937.5</v>
      </c>
      <c r="N30" s="19">
        <f>SUM(N18:N29)</f>
        <v>57504.18576389346</v>
      </c>
      <c r="O30" s="19">
        <f>SUM(O18:O29)</f>
        <v>153370.4843780878</v>
      </c>
      <c r="P30" s="19">
        <f>SUM(P18:P29)</f>
        <v>57504.18576389346</v>
      </c>
      <c r="Q30" s="19">
        <f>SUM(Q18:Q29)</f>
        <v>57504.18576389346</v>
      </c>
      <c r="R30" s="19">
        <f>SUM(R18:R29)</f>
        <v>57504.18576389346</v>
      </c>
      <c r="S30" s="19">
        <f>SUM(S18:S29)</f>
        <v>57504.18576389346</v>
      </c>
      <c r="T30" s="19">
        <f>SUM(T18:T29)</f>
        <v>51937.5</v>
      </c>
      <c r="U30" s="19">
        <f>SUM(U18:U29)</f>
        <v>147803.7986141943</v>
      </c>
      <c r="V30" s="19">
        <f>SUM(V18:V29)</f>
        <v>51937.5</v>
      </c>
      <c r="W30" s="19">
        <f>SUM(W18:W29)</f>
        <v>51937.5</v>
      </c>
      <c r="X30" s="19">
        <f>SUM(X18:X29)</f>
        <v>51937.5</v>
      </c>
      <c r="Y30" s="19">
        <f>SUM(Y18:Y29)</f>
        <v>51937.5</v>
      </c>
      <c r="Z30" s="19">
        <f>SUMIF($B$13:$Y$13,"Yes",B30:Y30)</f>
        <v>905886.8975756429</v>
      </c>
      <c r="AA30" s="19">
        <f>SUM(B30:M30)</f>
        <v>848382.7118117495</v>
      </c>
      <c r="AB30" s="19">
        <f>SUM(B30:Y30)</f>
        <v>1696765.423623499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750</v>
      </c>
      <c r="C36" s="36">
        <f>O36</f>
        <v>750</v>
      </c>
      <c r="D36" s="36">
        <f>P36</f>
        <v>750</v>
      </c>
      <c r="E36" s="36">
        <f>Q36</f>
        <v>750</v>
      </c>
      <c r="F36" s="36">
        <f>R36</f>
        <v>2750</v>
      </c>
      <c r="G36" s="36">
        <f>S36</f>
        <v>750</v>
      </c>
      <c r="H36" s="36">
        <f>T36</f>
        <v>750</v>
      </c>
      <c r="I36" s="36">
        <f>U36</f>
        <v>750</v>
      </c>
      <c r="J36" s="36">
        <f>V36</f>
        <v>750</v>
      </c>
      <c r="K36" s="36">
        <f>W36</f>
        <v>750</v>
      </c>
      <c r="L36" s="36">
        <f>X36</f>
        <v>2750</v>
      </c>
      <c r="M36" s="36">
        <f>Y36</f>
        <v>750</v>
      </c>
      <c r="N36" s="36">
        <f>SUM(N37:N41)</f>
        <v>750</v>
      </c>
      <c r="O36" s="36">
        <f>SUM(O37:O41)</f>
        <v>750</v>
      </c>
      <c r="P36" s="36">
        <f>SUM(P37:P41)</f>
        <v>750</v>
      </c>
      <c r="Q36" s="36">
        <f>SUM(Q37:Q41)</f>
        <v>750</v>
      </c>
      <c r="R36" s="36">
        <f>SUM(R37:R41)</f>
        <v>2750</v>
      </c>
      <c r="S36" s="36">
        <f>SUM(S37:S41)</f>
        <v>750</v>
      </c>
      <c r="T36" s="36">
        <f>SUM(T37:T41)</f>
        <v>750</v>
      </c>
      <c r="U36" s="36">
        <f>SUM(U37:U41)</f>
        <v>750</v>
      </c>
      <c r="V36" s="36">
        <f>SUM(V37:V41)</f>
        <v>750</v>
      </c>
      <c r="W36" s="36">
        <f>SUM(W37:W41)</f>
        <v>750</v>
      </c>
      <c r="X36" s="36">
        <f>SUM(X37:X41)</f>
        <v>2750</v>
      </c>
      <c r="Y36" s="36">
        <f>SUM(Y37:Y41)</f>
        <v>750</v>
      </c>
      <c r="Z36" s="36">
        <f>SUMIF($B$13:$Y$13,"Yes",B36:Y36)</f>
        <v>13750</v>
      </c>
      <c r="AA36" s="36">
        <f>SUM(B36:M36)</f>
        <v>13000</v>
      </c>
      <c r="AB36" s="36">
        <f>SUM(B36:Y36)</f>
        <v>26000</v>
      </c>
      <c r="AC36" s="73"/>
    </row>
    <row r="37" spans="1:30" hidden="true" outlineLevel="1">
      <c r="A37" s="181" t="str">
        <f>Calculations!$A$4</f>
        <v>Coffee</v>
      </c>
      <c r="B37" s="36">
        <f>N37</f>
        <v>750</v>
      </c>
      <c r="C37" s="36">
        <f>O37</f>
        <v>750</v>
      </c>
      <c r="D37" s="36">
        <f>P37</f>
        <v>750</v>
      </c>
      <c r="E37" s="36">
        <f>Q37</f>
        <v>750</v>
      </c>
      <c r="F37" s="36">
        <f>R37</f>
        <v>750</v>
      </c>
      <c r="G37" s="36">
        <f>S37</f>
        <v>750</v>
      </c>
      <c r="H37" s="36">
        <f>T37</f>
        <v>750</v>
      </c>
      <c r="I37" s="36">
        <f>U37</f>
        <v>750</v>
      </c>
      <c r="J37" s="36">
        <f>V37</f>
        <v>750</v>
      </c>
      <c r="K37" s="36">
        <f>W37</f>
        <v>750</v>
      </c>
      <c r="L37" s="36">
        <f>X37</f>
        <v>750</v>
      </c>
      <c r="M37" s="36">
        <f>Y37</f>
        <v>750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750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750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750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750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750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750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750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750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750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750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750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750</v>
      </c>
      <c r="Z37" s="36">
        <f>SUMIF($B$13:$Y$13,"Yes",B37:Y37)</f>
        <v>9750</v>
      </c>
      <c r="AA37" s="36">
        <f>SUM(B37:M37)</f>
        <v>9000</v>
      </c>
      <c r="AB37" s="36">
        <f>SUM(B37:Y37)</f>
        <v>18000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2000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2000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2000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2000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606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606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606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606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606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606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606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606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2800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2800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2800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2800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8400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2800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2800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2800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2800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8400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3250</v>
      </c>
      <c r="C60" s="36">
        <f>O60</f>
        <v>3250</v>
      </c>
      <c r="D60" s="36">
        <f>P60</f>
        <v>1250</v>
      </c>
      <c r="E60" s="36">
        <f>Q60</f>
        <v>1250</v>
      </c>
      <c r="F60" s="36">
        <f>R60</f>
        <v>3250</v>
      </c>
      <c r="G60" s="36">
        <f>S60</f>
        <v>3250</v>
      </c>
      <c r="H60" s="36">
        <f>T60</f>
        <v>3250</v>
      </c>
      <c r="I60" s="36">
        <f>U60</f>
        <v>3250</v>
      </c>
      <c r="J60" s="36">
        <f>V60</f>
        <v>1250</v>
      </c>
      <c r="K60" s="36">
        <f>W60</f>
        <v>1250</v>
      </c>
      <c r="L60" s="36">
        <f>X60</f>
        <v>3250</v>
      </c>
      <c r="M60" s="36">
        <f>Y60</f>
        <v>3250</v>
      </c>
      <c r="N60" s="46">
        <f>SUM(N61:N65)</f>
        <v>3250</v>
      </c>
      <c r="O60" s="46">
        <f>SUM(O61:O65)</f>
        <v>3250</v>
      </c>
      <c r="P60" s="46">
        <f>SUM(P61:P65)</f>
        <v>1250</v>
      </c>
      <c r="Q60" s="46">
        <f>SUM(Q61:Q65)</f>
        <v>1250</v>
      </c>
      <c r="R60" s="46">
        <f>SUM(R61:R65)</f>
        <v>3250</v>
      </c>
      <c r="S60" s="46">
        <f>SUM(S61:S65)</f>
        <v>3250</v>
      </c>
      <c r="T60" s="46">
        <f>SUM(T61:T65)</f>
        <v>3250</v>
      </c>
      <c r="U60" s="46">
        <f>SUM(U61:U65)</f>
        <v>3250</v>
      </c>
      <c r="V60" s="46">
        <f>SUM(V61:V65)</f>
        <v>1250</v>
      </c>
      <c r="W60" s="46">
        <f>SUM(W61:W65)</f>
        <v>1250</v>
      </c>
      <c r="X60" s="46">
        <f>SUM(X61:X65)</f>
        <v>3250</v>
      </c>
      <c r="Y60" s="46">
        <f>SUM(Y61:Y65)</f>
        <v>3250</v>
      </c>
      <c r="Z60" s="46">
        <f>SUMIF($B$13:$Y$13,"Yes",B60:Y60)</f>
        <v>34250</v>
      </c>
      <c r="AA60" s="46">
        <f>SUM(B60:M60)</f>
        <v>31000</v>
      </c>
      <c r="AB60" s="46">
        <f>SUM(B60:Y60)</f>
        <v>62000</v>
      </c>
    </row>
    <row r="61" spans="1:30" hidden="true" outlineLevel="1">
      <c r="A61" s="181" t="str">
        <f>Calculations!$A$4</f>
        <v>Coffee</v>
      </c>
      <c r="B61" s="36">
        <f>N61</f>
        <v>1250</v>
      </c>
      <c r="C61" s="36">
        <f>O61</f>
        <v>1250</v>
      </c>
      <c r="D61" s="36">
        <f>P61</f>
        <v>1250</v>
      </c>
      <c r="E61" s="36">
        <f>Q61</f>
        <v>1250</v>
      </c>
      <c r="F61" s="36">
        <f>R61</f>
        <v>1250</v>
      </c>
      <c r="G61" s="36">
        <f>S61</f>
        <v>1250</v>
      </c>
      <c r="H61" s="36">
        <f>T61</f>
        <v>1250</v>
      </c>
      <c r="I61" s="36">
        <f>U61</f>
        <v>1250</v>
      </c>
      <c r="J61" s="36">
        <f>V61</f>
        <v>1250</v>
      </c>
      <c r="K61" s="36">
        <f>W61</f>
        <v>1250</v>
      </c>
      <c r="L61" s="36">
        <f>X61</f>
        <v>1250</v>
      </c>
      <c r="M61" s="36">
        <f>Y61</f>
        <v>1250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1250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1250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1250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1250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1250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1250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1250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1250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1250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1250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1250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1250</v>
      </c>
      <c r="Z61" s="46">
        <f>SUMIF($B$13:$Y$13,"Yes",B61:Y61)</f>
        <v>16250</v>
      </c>
      <c r="AA61" s="46">
        <f>SUM(B61:M61)</f>
        <v>15000</v>
      </c>
      <c r="AB61" s="46">
        <f>SUM(B61:Y61)</f>
        <v>30000</v>
      </c>
    </row>
    <row r="62" spans="1:30" hidden="true" outlineLevel="1">
      <c r="A62" s="181" t="str">
        <f>Calculations!$A$5</f>
        <v>Cabbages</v>
      </c>
      <c r="B62" s="36">
        <f>N62</f>
        <v>2000</v>
      </c>
      <c r="C62" s="36">
        <f>O62</f>
        <v>2000</v>
      </c>
      <c r="D62" s="36">
        <f>P62</f>
        <v>0</v>
      </c>
      <c r="E62" s="36">
        <f>Q62</f>
        <v>0</v>
      </c>
      <c r="F62" s="36">
        <f>R62</f>
        <v>2000</v>
      </c>
      <c r="G62" s="36">
        <f>S62</f>
        <v>2000</v>
      </c>
      <c r="H62" s="36">
        <f>T62</f>
        <v>2000</v>
      </c>
      <c r="I62" s="36">
        <f>U62</f>
        <v>2000</v>
      </c>
      <c r="J62" s="36">
        <f>V62</f>
        <v>0</v>
      </c>
      <c r="K62" s="36">
        <f>W62</f>
        <v>0</v>
      </c>
      <c r="L62" s="36">
        <f>X62</f>
        <v>2000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18000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10000</v>
      </c>
      <c r="C66" s="36">
        <f>O66</f>
        <v>10000</v>
      </c>
      <c r="D66" s="36">
        <f>P66</f>
        <v>6250</v>
      </c>
      <c r="E66" s="36">
        <f>Q66</f>
        <v>6250</v>
      </c>
      <c r="F66" s="36">
        <f>R66</f>
        <v>10000</v>
      </c>
      <c r="G66" s="36">
        <f>S66</f>
        <v>10000</v>
      </c>
      <c r="H66" s="36">
        <f>T66</f>
        <v>10000</v>
      </c>
      <c r="I66" s="36">
        <f>U66</f>
        <v>10000</v>
      </c>
      <c r="J66" s="36">
        <f>V66</f>
        <v>6250</v>
      </c>
      <c r="K66" s="36">
        <f>W66</f>
        <v>6250</v>
      </c>
      <c r="L66" s="36">
        <f>X66</f>
        <v>10000</v>
      </c>
      <c r="M66" s="36">
        <f>Y66</f>
        <v>10000</v>
      </c>
      <c r="N66" s="46">
        <f>SUM(N67:N71)</f>
        <v>10000</v>
      </c>
      <c r="O66" s="46">
        <f>SUM(O67:O71)</f>
        <v>10000</v>
      </c>
      <c r="P66" s="46">
        <f>SUM(P67:P71)</f>
        <v>6250</v>
      </c>
      <c r="Q66" s="46">
        <f>SUM(Q67:Q71)</f>
        <v>6250</v>
      </c>
      <c r="R66" s="46">
        <f>SUM(R67:R71)</f>
        <v>10000</v>
      </c>
      <c r="S66" s="46">
        <f>SUM(S67:S71)</f>
        <v>10000</v>
      </c>
      <c r="T66" s="46">
        <f>SUM(T67:T71)</f>
        <v>10000</v>
      </c>
      <c r="U66" s="46">
        <f>SUM(U67:U71)</f>
        <v>10000</v>
      </c>
      <c r="V66" s="46">
        <f>SUM(V67:V71)</f>
        <v>6250</v>
      </c>
      <c r="W66" s="46">
        <f>SUM(W67:W71)</f>
        <v>6250</v>
      </c>
      <c r="X66" s="46">
        <f>SUM(X67:X71)</f>
        <v>10000</v>
      </c>
      <c r="Y66" s="46">
        <f>SUM(Y67:Y71)</f>
        <v>10000</v>
      </c>
      <c r="Z66" s="46">
        <f>SUMIF($B$13:$Y$13,"Yes",B66:Y66)</f>
        <v>115000</v>
      </c>
      <c r="AA66" s="46">
        <f>SUM(B66:M66)</f>
        <v>105000</v>
      </c>
      <c r="AB66" s="46">
        <f>SUM(B66:Y66)</f>
        <v>210000</v>
      </c>
    </row>
    <row r="67" spans="1:30" hidden="true" outlineLevel="1">
      <c r="A67" s="181" t="str">
        <f>Calculations!$A$4</f>
        <v>Coffee</v>
      </c>
      <c r="B67" s="36">
        <f>N67</f>
        <v>6250</v>
      </c>
      <c r="C67" s="36">
        <f>O67</f>
        <v>6250</v>
      </c>
      <c r="D67" s="36">
        <f>P67</f>
        <v>6250</v>
      </c>
      <c r="E67" s="36">
        <f>Q67</f>
        <v>6250</v>
      </c>
      <c r="F67" s="36">
        <f>R67</f>
        <v>6250</v>
      </c>
      <c r="G67" s="36">
        <f>S67</f>
        <v>6250</v>
      </c>
      <c r="H67" s="36">
        <f>T67</f>
        <v>6250</v>
      </c>
      <c r="I67" s="36">
        <f>U67</f>
        <v>6250</v>
      </c>
      <c r="J67" s="36">
        <f>V67</f>
        <v>6250</v>
      </c>
      <c r="K67" s="36">
        <f>W67</f>
        <v>6250</v>
      </c>
      <c r="L67" s="36">
        <f>X67</f>
        <v>6250</v>
      </c>
      <c r="M67" s="36">
        <f>Y67</f>
        <v>6250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6250</v>
      </c>
      <c r="Z67" s="46">
        <f>SUMIF($B$13:$Y$13,"Yes",B67:Y67)</f>
        <v>81250</v>
      </c>
      <c r="AA67" s="46">
        <f>SUM(B67:M67)</f>
        <v>75000</v>
      </c>
      <c r="AB67" s="46">
        <f>SUM(B67:Y67)</f>
        <v>150000</v>
      </c>
    </row>
    <row r="68" spans="1:30" hidden="true" outlineLevel="1">
      <c r="A68" s="181" t="str">
        <f>Calculations!$A$5</f>
        <v>Cabbages</v>
      </c>
      <c r="B68" s="36">
        <f>N68</f>
        <v>3750</v>
      </c>
      <c r="C68" s="36">
        <f>O68</f>
        <v>3750</v>
      </c>
      <c r="D68" s="36">
        <f>P68</f>
        <v>0</v>
      </c>
      <c r="E68" s="36">
        <f>Q68</f>
        <v>0</v>
      </c>
      <c r="F68" s="36">
        <f>R68</f>
        <v>3750</v>
      </c>
      <c r="G68" s="36">
        <f>S68</f>
        <v>3750</v>
      </c>
      <c r="H68" s="36">
        <f>T68</f>
        <v>3750</v>
      </c>
      <c r="I68" s="36">
        <f>U68</f>
        <v>3750</v>
      </c>
      <c r="J68" s="36">
        <f>V68</f>
        <v>0</v>
      </c>
      <c r="K68" s="36">
        <f>W68</f>
        <v>0</v>
      </c>
      <c r="L68" s="36">
        <f>X68</f>
        <v>3750</v>
      </c>
      <c r="M68" s="36">
        <f>Y68</f>
        <v>3750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3750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3750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3750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3750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3750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3750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3750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3750</v>
      </c>
      <c r="Z68" s="46">
        <f>SUMIF($B$13:$Y$13,"Yes",B68:Y68)</f>
        <v>33750</v>
      </c>
      <c r="AA68" s="46">
        <f>SUM(B68:M68)</f>
        <v>30000</v>
      </c>
      <c r="AB68" s="46">
        <f>SUM(B68:Y68)</f>
        <v>60000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20010.69039372498</v>
      </c>
      <c r="C81" s="46">
        <f>(SUM($AA$18:$AA$29)-SUM($AA$36,$AA$42,$AA$48,$AA$54,$AA$60,$AA$66,$AA$72:$AA$79))*Parameters!$B$37/12</f>
        <v>20010.69039372498</v>
      </c>
      <c r="D81" s="46">
        <f>(SUM($AA$18:$AA$29)-SUM($AA$36,$AA$42,$AA$48,$AA$54,$AA$60,$AA$66,$AA$72:$AA$79))*Parameters!$B$37/12</f>
        <v>20010.69039372498</v>
      </c>
      <c r="E81" s="46">
        <f>(SUM($AA$18:$AA$29)-SUM($AA$36,$AA$42,$AA$48,$AA$54,$AA$60,$AA$66,$AA$72:$AA$79))*Parameters!$B$37/12</f>
        <v>20010.69039372498</v>
      </c>
      <c r="F81" s="46">
        <f>(SUM($AA$18:$AA$29)-SUM($AA$36,$AA$42,$AA$48,$AA$54,$AA$60,$AA$66,$AA$72:$AA$79))*Parameters!$B$37/12</f>
        <v>20010.69039372498</v>
      </c>
      <c r="G81" s="46">
        <f>(SUM($AA$18:$AA$29)-SUM($AA$36,$AA$42,$AA$48,$AA$54,$AA$60,$AA$66,$AA$72:$AA$79))*Parameters!$B$37/12</f>
        <v>20010.69039372498</v>
      </c>
      <c r="H81" s="46">
        <f>(SUM($AA$18:$AA$29)-SUM($AA$36,$AA$42,$AA$48,$AA$54,$AA$60,$AA$66,$AA$72:$AA$79))*Parameters!$B$37/12</f>
        <v>20010.69039372498</v>
      </c>
      <c r="I81" s="46">
        <f>(SUM($AA$18:$AA$29)-SUM($AA$36,$AA$42,$AA$48,$AA$54,$AA$60,$AA$66,$AA$72:$AA$79))*Parameters!$B$37/12</f>
        <v>20010.69039372498</v>
      </c>
      <c r="J81" s="46">
        <f>(SUM($AA$18:$AA$29)-SUM($AA$36,$AA$42,$AA$48,$AA$54,$AA$60,$AA$66,$AA$72:$AA$79))*Parameters!$B$37/12</f>
        <v>20010.69039372498</v>
      </c>
      <c r="K81" s="46">
        <f>(SUM($AA$18:$AA$29)-SUM($AA$36,$AA$42,$AA$48,$AA$54,$AA$60,$AA$66,$AA$72:$AA$79))*Parameters!$B$37/12</f>
        <v>20010.69039372498</v>
      </c>
      <c r="L81" s="46">
        <f>(SUM($AA$18:$AA$29)-SUM($AA$36,$AA$42,$AA$48,$AA$54,$AA$60,$AA$66,$AA$72:$AA$79))*Parameters!$B$37/12</f>
        <v>20010.69039372498</v>
      </c>
      <c r="M81" s="46">
        <f>(SUM($AA$18:$AA$29)-SUM($AA$36,$AA$42,$AA$48,$AA$54,$AA$60,$AA$66,$AA$72:$AA$79))*Parameters!$B$37/12</f>
        <v>20010.69039372498</v>
      </c>
      <c r="N81" s="46">
        <f>(SUM($AA$18:$AA$29)-SUM($AA$36,$AA$42,$AA$48,$AA$54,$AA$60,$AA$66,$AA$72:$AA$79))*Parameters!$B$37/12</f>
        <v>20010.69039372498</v>
      </c>
      <c r="O81" s="46">
        <f>(SUM($AA$18:$AA$29)-SUM($AA$36,$AA$42,$AA$48,$AA$54,$AA$60,$AA$66,$AA$72:$AA$79))*Parameters!$B$37/12</f>
        <v>20010.69039372498</v>
      </c>
      <c r="P81" s="46">
        <f>(SUM($AA$18:$AA$29)-SUM($AA$36,$AA$42,$AA$48,$AA$54,$AA$60,$AA$66,$AA$72:$AA$79))*Parameters!$B$37/12</f>
        <v>20010.69039372498</v>
      </c>
      <c r="Q81" s="46">
        <f>(SUM($AA$18:$AA$29)-SUM($AA$36,$AA$42,$AA$48,$AA$54,$AA$60,$AA$66,$AA$72:$AA$79))*Parameters!$B$37/12</f>
        <v>20010.69039372498</v>
      </c>
      <c r="R81" s="46">
        <f>(SUM($AA$18:$AA$29)-SUM($AA$36,$AA$42,$AA$48,$AA$54,$AA$60,$AA$66,$AA$72:$AA$79))*Parameters!$B$37/12</f>
        <v>20010.69039372498</v>
      </c>
      <c r="S81" s="46">
        <f>(SUM($AA$18:$AA$29)-SUM($AA$36,$AA$42,$AA$48,$AA$54,$AA$60,$AA$66,$AA$72:$AA$79))*Parameters!$B$37/12</f>
        <v>20010.69039372498</v>
      </c>
      <c r="T81" s="46">
        <f>(SUM($AA$18:$AA$29)-SUM($AA$36,$AA$42,$AA$48,$AA$54,$AA$60,$AA$66,$AA$72:$AA$79))*Parameters!$B$37/12</f>
        <v>20010.69039372498</v>
      </c>
      <c r="U81" s="46">
        <f>(SUM($AA$18:$AA$29)-SUM($AA$36,$AA$42,$AA$48,$AA$54,$AA$60,$AA$66,$AA$72:$AA$79))*Parameters!$B$37/12</f>
        <v>20010.69039372498</v>
      </c>
      <c r="V81" s="46">
        <f>(SUM($AA$18:$AA$29)-SUM($AA$36,$AA$42,$AA$48,$AA$54,$AA$60,$AA$66,$AA$72:$AA$79))*Parameters!$B$37/12</f>
        <v>20010.69039372498</v>
      </c>
      <c r="W81" s="46">
        <f>(SUM($AA$18:$AA$29)-SUM($AA$36,$AA$42,$AA$48,$AA$54,$AA$60,$AA$66,$AA$72:$AA$79))*Parameters!$B$37/12</f>
        <v>20010.69039372498</v>
      </c>
      <c r="X81" s="46">
        <f>(SUM($AA$18:$AA$29)-SUM($AA$36,$AA$42,$AA$48,$AA$54,$AA$60,$AA$66,$AA$72:$AA$79))*Parameters!$B$37/12</f>
        <v>20010.69039372498</v>
      </c>
      <c r="Y81" s="46">
        <f>(SUM($AA$18:$AA$29)-SUM($AA$36,$AA$42,$AA$48,$AA$54,$AA$60,$AA$66,$AA$72:$AA$79))*Parameters!$B$37/12</f>
        <v>20010.69039372498</v>
      </c>
      <c r="Z81" s="46">
        <f>SUMIF($B$13:$Y$13,"Yes",B81:Y81)</f>
        <v>260138.9751184247</v>
      </c>
      <c r="AA81" s="46">
        <f>SUM(B81:M81)</f>
        <v>240128.2847246997</v>
      </c>
      <c r="AB81" s="46">
        <f>SUM(B81:Y81)</f>
        <v>480256.5694493997</v>
      </c>
    </row>
    <row r="82" spans="1:30">
      <c r="A82" s="16" t="s">
        <v>52</v>
      </c>
      <c r="B82" s="46">
        <f>SUM(B83:B87)</f>
        <v>6235.874439461883</v>
      </c>
      <c r="C82" s="46">
        <f>SUM(C83:C87)</f>
        <v>6235.874439461883</v>
      </c>
      <c r="D82" s="46">
        <f>SUM(D83:D87)</f>
        <v>6235.874439461883</v>
      </c>
      <c r="E82" s="46">
        <f>SUM(E83:E87)</f>
        <v>6235.874439461883</v>
      </c>
      <c r="F82" s="46">
        <f>SUM(F83:F87)</f>
        <v>6235.874439461883</v>
      </c>
      <c r="G82" s="46">
        <f>SUM(G83:G87)</f>
        <v>6235.874439461883</v>
      </c>
      <c r="H82" s="46">
        <f>SUM(H83:H87)</f>
        <v>6235.874439461883</v>
      </c>
      <c r="I82" s="46">
        <f>SUM(I83:I87)</f>
        <v>3948.878923766821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47600</v>
      </c>
      <c r="AA82" s="46">
        <f>SUM(B82:M82)</f>
        <v>47600</v>
      </c>
      <c r="AB82" s="46">
        <f>SUM(B82:Y82)</f>
        <v>47600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6235.874439461883</v>
      </c>
      <c r="C83" s="46">
        <f>IF(Calculations!$E23&gt;COUNT(Output!$B$35:C$35),Calculations!$B23,IF(Calculations!$E23=COUNT(Output!$B$35:C$35),Inputs!$B56-Calculations!$C23*(Calculations!$E23-1)+Calculations!$D23,0))</f>
        <v>6235.874439461883</v>
      </c>
      <c r="D83" s="46">
        <f>IF(Calculations!$E23&gt;COUNT(Output!$B$35:D$35),Calculations!$B23,IF(Calculations!$E23=COUNT(Output!$B$35:D$35),Inputs!$B56-Calculations!$C23*(Calculations!$E23-1)+Calculations!$D23,0))</f>
        <v>6235.874439461883</v>
      </c>
      <c r="E83" s="46">
        <f>IF(Calculations!$E23&gt;COUNT(Output!$B$35:E$35),Calculations!$B23,IF(Calculations!$E23=COUNT(Output!$B$35:E$35),Inputs!$B56-Calculations!$C23*(Calculations!$E23-1)+Calculations!$D23,0))</f>
        <v>6235.874439461883</v>
      </c>
      <c r="F83" s="46">
        <f>IF(Calculations!$E23&gt;COUNT(Output!$B$35:F$35),Calculations!$B23,IF(Calculations!$E23=COUNT(Output!$B$35:F$35),Inputs!$B56-Calculations!$C23*(Calculations!$E23-1)+Calculations!$D23,0))</f>
        <v>6235.874439461883</v>
      </c>
      <c r="G83" s="46">
        <f>IF(Calculations!$E23&gt;COUNT(Output!$B$35:G$35),Calculations!$B23,IF(Calculations!$E23=COUNT(Output!$B$35:G$35),Inputs!$B56-Calculations!$C23*(Calculations!$E23-1)+Calculations!$D23,0))</f>
        <v>6235.874439461883</v>
      </c>
      <c r="H83" s="46">
        <f>IF(Calculations!$E23&gt;COUNT(Output!$B$35:H$35),Calculations!$B23,IF(Calculations!$E23=COUNT(Output!$B$35:H$35),Inputs!$B56-Calculations!$C23*(Calculations!$E23-1)+Calculations!$D23,0))</f>
        <v>6235.874439461883</v>
      </c>
      <c r="I83" s="46">
        <f>IF(Calculations!$E23&gt;COUNT(Output!$B$35:I$35),Calculations!$B23,IF(Calculations!$E23=COUNT(Output!$B$35:I$35),Inputs!$B56-Calculations!$C23*(Calculations!$E23-1)+Calculations!$D23,0))</f>
        <v>3948.878923766821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47600</v>
      </c>
      <c r="AA83" s="46">
        <f>SUM(B83:M83)</f>
        <v>47600</v>
      </c>
      <c r="AB83" s="46">
        <f>SUM(B83:Y83)</f>
        <v>47600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50734.06483318687</v>
      </c>
      <c r="C88" s="19">
        <f>SUM(C72:C82,C66,C60,C54,C48,C42,C36)</f>
        <v>47934.06483318687</v>
      </c>
      <c r="D88" s="19">
        <f>SUM(D72:D82,D66,D60,D54,D48,D42,D36)</f>
        <v>42184.06483318687</v>
      </c>
      <c r="E88" s="19">
        <f>SUM(E72:E82,E66,E60,E54,E48,E42,E36)</f>
        <v>42184.06483318687</v>
      </c>
      <c r="F88" s="19">
        <f>SUM(F72:F82,F66,F60,F54,F48,F42,F36)</f>
        <v>50540.06483318687</v>
      </c>
      <c r="G88" s="19">
        <f>SUM(G72:G82,G66,G60,G54,G48,G42,G36)</f>
        <v>47934.06483318687</v>
      </c>
      <c r="H88" s="19">
        <f>SUM(H72:H82,H66,H60,H54,H48,H42,H36)</f>
        <v>50734.06483318687</v>
      </c>
      <c r="I88" s="19">
        <f>SUM(I72:I82,I66,I60,I54,I48,I42,I36)</f>
        <v>45647.0693174918</v>
      </c>
      <c r="J88" s="19">
        <f>SUM(J72:J82,J66,J60,J54,J48,J42,J36)</f>
        <v>35948.19039372498</v>
      </c>
      <c r="K88" s="19">
        <f>SUM(K72:K82,K66,K60,K54,K48,K42,K36)</f>
        <v>35948.19039372498</v>
      </c>
      <c r="L88" s="19">
        <f>SUM(L72:L82,L66,L60,L54,L48,L42,L36)</f>
        <v>44304.19039372498</v>
      </c>
      <c r="M88" s="19">
        <f>SUM(M72:M82,M66,M60,M54,M48,M42,M36)</f>
        <v>41698.19039372498</v>
      </c>
      <c r="N88" s="19">
        <f>SUM(N72:N82,N66,N60,N54,N48,N42,N36)</f>
        <v>44498.19039372498</v>
      </c>
      <c r="O88" s="19">
        <f>SUM(O72:O82,O66,O60,O54,O48,O42,O36)</f>
        <v>41698.19039372498</v>
      </c>
      <c r="P88" s="19">
        <f>SUM(P72:P82,P66,P60,P54,P48,P42,P36)</f>
        <v>35948.19039372498</v>
      </c>
      <c r="Q88" s="19">
        <f>SUM(Q72:Q82,Q66,Q60,Q54,Q48,Q42,Q36)</f>
        <v>35948.19039372498</v>
      </c>
      <c r="R88" s="19">
        <f>SUM(R72:R82,R66,R60,R54,R48,R42,R36)</f>
        <v>44304.19039372498</v>
      </c>
      <c r="S88" s="19">
        <f>SUM(S72:S82,S66,S60,S54,S48,S42,S36)</f>
        <v>41698.19039372498</v>
      </c>
      <c r="T88" s="19">
        <f>SUM(T72:T82,T66,T60,T54,T48,T42,T36)</f>
        <v>44498.19039372498</v>
      </c>
      <c r="U88" s="19">
        <f>SUM(U72:U82,U66,U60,U54,U48,U42,U36)</f>
        <v>41698.19039372498</v>
      </c>
      <c r="V88" s="19">
        <f>SUM(V72:V82,V66,V60,V54,V48,V42,V36)</f>
        <v>35948.19039372498</v>
      </c>
      <c r="W88" s="19">
        <f>SUM(W72:W82,W66,W60,W54,W48,W42,W36)</f>
        <v>35948.19039372498</v>
      </c>
      <c r="X88" s="19">
        <f>SUM(X72:X82,X66,X60,X54,X48,X42,X36)</f>
        <v>44304.19039372498</v>
      </c>
      <c r="Y88" s="19">
        <f>SUM(Y72:Y82,Y66,Y60,Y54,Y48,Y42,Y36)</f>
        <v>41698.19039372498</v>
      </c>
      <c r="Z88" s="19">
        <f>SUMIF($B$13:$Y$13,"Yes",B88:Y88)</f>
        <v>580288.4751184247</v>
      </c>
      <c r="AA88" s="19">
        <f>SUM(B88:M88)</f>
        <v>535790.2847246998</v>
      </c>
      <c r="AB88" s="19">
        <f>SUM(B88:Y88)</f>
        <v>1023980.569449399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16000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65000</v>
      </c>
    </row>
    <row r="99" spans="1:30">
      <c r="A99" t="s">
        <v>65</v>
      </c>
      <c r="B99" s="36">
        <f>Inputs!B46</f>
        <v>230000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4371000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30000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>
        <v>50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20000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65000</v>
      </c>
    </row>
    <row r="46" spans="1:48" customHeight="1" ht="30">
      <c r="A46" s="57" t="s">
        <v>131</v>
      </c>
      <c r="B46" s="161">
        <v>230000</v>
      </c>
    </row>
    <row r="47" spans="1:48" customHeight="1" ht="30">
      <c r="A47" s="57" t="s">
        <v>132</v>
      </c>
      <c r="B47" s="161">
        <v>60000</v>
      </c>
    </row>
    <row r="48" spans="1:48" customHeight="1" ht="30">
      <c r="A48" s="57" t="s">
        <v>133</v>
      </c>
      <c r="B48" s="161">
        <v>1500000</v>
      </c>
    </row>
    <row r="49" spans="1:48" customHeight="1" ht="30">
      <c r="A49" s="57" t="s">
        <v>134</v>
      </c>
      <c r="B49" s="161">
        <v>16000</v>
      </c>
    </row>
    <row r="50" spans="1:48">
      <c r="A50" s="43"/>
      <c r="B50" s="36"/>
    </row>
    <row r="51" spans="1:48">
      <c r="A51" s="58" t="s">
        <v>135</v>
      </c>
      <c r="B51" s="161">
        <v>1000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120000</v>
      </c>
      <c r="B56" s="159">
        <v>30000</v>
      </c>
      <c r="C56" s="162" t="s">
        <v>143</v>
      </c>
      <c r="D56" s="163" t="s">
        <v>144</v>
      </c>
      <c r="E56" s="163" t="s">
        <v>145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148</v>
      </c>
      <c r="C65" s="10" t="s">
        <v>149</v>
      </c>
    </row>
    <row r="66" spans="1:48">
      <c r="A66" s="142" t="s">
        <v>150</v>
      </c>
      <c r="B66" s="159">
        <v>120000</v>
      </c>
      <c r="C66" s="163">
        <v>121000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86510</v>
      </c>
      <c r="C67" s="165">
        <v>76450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68320</v>
      </c>
      <c r="C68" s="165">
        <v>56438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95680</v>
      </c>
      <c r="C69" s="165">
        <v>96538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127680</v>
      </c>
      <c r="C70" s="165">
        <v>128640</v>
      </c>
      <c r="D70" s="49">
        <f>INDEX(Parameters!$D$79:$D$90,MATCH(Inputs!A70,Parameters!$C$79:$C$90,0))</f>
        <v>11</v>
      </c>
    </row>
    <row r="71" spans="1:48">
      <c r="A71" s="144" t="s">
        <v>155</v>
      </c>
      <c r="B71" s="158">
        <v>86294</v>
      </c>
      <c r="C71" s="167">
        <v>86462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16.66666666666667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523.1847522456263</v>
      </c>
      <c r="M4" s="25">
        <f>L4*H4</f>
        <v>1569.554256736879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44.8</v>
      </c>
      <c r="P4" s="22">
        <f>IFERROR(INDEX(Parameters!$A$3:$V$17,MATCH(Calculations!$A4,Parameters!$A$3:$A$17,0),MATCH($P$3,Parameters!$A$3:$V$3,0)),0)</f>
        <v>0</v>
      </c>
      <c r="Q4" s="33">
        <f>M4*O4*(1-N4)*MAX(S4,1)</f>
        <v>66800.22916672156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9000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15750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42917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43101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7207.992377007091</v>
      </c>
      <c r="M5" s="30">
        <f>L5*H5</f>
        <v>7207.992377007091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191732.5972283886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15000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46">
      <c r="A23" s="75">
        <f>Inputs!A56</f>
        <v>120000</v>
      </c>
      <c r="B23" s="75">
        <f>SUM(C23:D23)</f>
        <v>6235.874439461883</v>
      </c>
      <c r="C23" s="75">
        <f>IF(Inputs!B56&gt;0,(Inputs!A56-Inputs!B56)/(DATE(YEAR(Inputs!$B$76),MONTH(Inputs!$B$76),DAY(Inputs!$B$76))-DATE(YEAR(Inputs!C56),MONTH(Inputs!C56),DAY(Inputs!C56)))*30,0)</f>
        <v>4035.874439461883</v>
      </c>
      <c r="D23" s="75">
        <f>IF(Inputs!B56&gt;0,Inputs!A56*0.22/12,0)</f>
        <v>2200</v>
      </c>
      <c r="E23" s="75">
        <f>IFERROR(ROUNDUP(Inputs!B56/C23,0),0)</f>
        <v>8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 Thika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161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162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164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165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227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170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171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228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229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145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145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145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145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145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145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145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145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145</v>
      </c>
      <c r="F77" s="12" t="s">
        <v>145</v>
      </c>
      <c r="G77" s="12" t="s">
        <v>350</v>
      </c>
      <c r="H77" s="12" t="s">
        <v>128</v>
      </c>
      <c r="I77" s="12" t="s">
        <v>351</v>
      </c>
      <c r="J77" s="136" t="s">
        <v>90</v>
      </c>
      <c r="K77" s="12" t="s">
        <v>145</v>
      </c>
      <c r="AJ77" s="12"/>
    </row>
    <row r="78" spans="1:36">
      <c r="A78" t="s">
        <v>145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110</v>
      </c>
      <c r="H78" s="12" t="s">
        <v>315</v>
      </c>
      <c r="I78" s="12" t="s">
        <v>354</v>
      </c>
      <c r="J78" s="70" t="s">
        <v>355</v>
      </c>
      <c r="K78" s="12" t="s">
        <v>145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145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95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