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<sst xmlns="http://schemas.openxmlformats.org/spreadsheetml/2006/main" uniqueCount="367">
  <si>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</si>
  <si>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</si>
  <si>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</si>
  <si>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</si>
  <si>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</si>
  <si>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</si>
  <si>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</si>
  <si>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</si>
  <si>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</si>
  <si>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</si>
  <si>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</si>
  <si>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</si>
  <si>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</si>
  <si>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</si>
  <si>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</si>
  <si>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</si>
  <si>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</si>
  <si>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</si>
  <si>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</si>
  <si>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</si>
  <si>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</si>
  <si>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</si>
  <si>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</si>
  <si>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</si>
  <si>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</si>
  <si>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</si>
  <si>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</si>
  <si>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</si>
  <si>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</si>
  <si>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</si>
  <si>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</si>
  <si>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</si>
  <si>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</si>
  <si>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</si>
  <si>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</si>
  <si>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</si>
  <si>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</si>
  <si>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</si>
  <si>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</si>
  <si>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</si>
  <si>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</si>
  <si>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</si>
  <si>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</si>
  <si>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</si>
  <si>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</si>
  <si>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</si>
  <si>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</si>
  <si>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</si>
  <si>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</si>
  <si>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</si>
  <si>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</si>
  <si>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</si>
  <si>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</si>
  <si>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</si>
  <si>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</si>
  <si>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</si>
  <si>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</si>
  <si>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</si>
  <si>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</si>
  <si>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</si>
  <si>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</si>
  <si>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</si>
  <si>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</si>
  <si>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</si>
  <si>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</si>
  <si>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</si>
  <si>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</si>
  <si>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</si>
  <si>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</si>
  <si>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</si>
  <si>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</si>
  <si>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</si>
  <si>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</si>
  <si>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</si>
  <si>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</si>
  <si>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</si>
  <si>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</si>
  <si>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</si>
  <si>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</si>
  <si>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</si>
  <si>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</si>
  <si>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</si>
  <si>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</si>
  <si>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</si>
  <si>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</si>
  <si>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</si>
  <si>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</si>
  <si>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</si>
  <si>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</si>
  <si>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</si>
  <si>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</si>
  <si>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</si>
  <si>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</si>
  <si>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</si>
  <si>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</si>
  <si>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</si>
  <si>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</si>
  <si>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</si>
  <si>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</si>
  <si>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</si>
  <si>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</si>
  <si>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</si>
  <si>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</si>
  <si>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No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</si>
  <si>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</si>
  <si>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</si>
  <si>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</si>
  <si>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</si>
  <si>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</si>
  <si>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</si>
  <si>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</si>
  <si>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</si>
  <si>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</si>
  <si>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</si>
  <si>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</si>
  <si>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</si>
  <si>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</si>
  <si>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</si>
  <si>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</si>
  <si>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</si>
  <si>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</si>
  <si>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</si>
  <si>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</si>
  <si>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</si>
  <si>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</si>
  <si>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</si>
  <si>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</si>
  <si>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</si>
  <si>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</si>
  <si>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</si>
  <si>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</si>
  <si>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</si>
  <si>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</si>
  <si>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</si>
  <si>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</si>
  <si>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</si>
  <si>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</si>
  <si>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</si>
  <si>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8/16/2015</t>
  </si>
  <si>
    <t>Good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</si>
  <si>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</si>
  <si>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</si>
  <si>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</si>
  <si>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</si>
  <si>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</si>
  <si>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</si>
  <si>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</si>
  <si>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</si>
  <si>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</si>
  <si>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</si>
  <si>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</si>
  <si>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</si>
  <si>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2016/12/16</t>
  </si>
  <si>
    <t>Loan terms</t>
  </si>
  <si>
    <t>Expected disbursement date</t>
  </si>
  <si>
    <t>Expected first repayment date</t>
  </si>
  <si>
    <t>2017/1/16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</si>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</sst>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Chicken: sale of ex layers</v>
      </c>
    </row>
    <row r="8" spans="1:7">
      <c r="B8" s="1" t="s">
        <v>4</v>
      </c>
      <c r="C8" t="str">
        <f>IF(Inputs!B29="","None",Inputs!B29)</f>
        <v>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0.4375680498592625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>
        <f>IFERROR(Output!B107/Output!B101,"")</f>
        <v>0.138755980861244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15785.71428571429</v>
      </c>
    </row>
    <row r="17" spans="1:7">
      <c r="B17" s="1" t="s">
        <v>11</v>
      </c>
      <c r="C17" s="36">
        <f>SUM(Output!B6:M6)</f>
        <v>156620.62171823</v>
      </c>
    </row>
    <row r="18" spans="1:7">
      <c r="B18" s="1" t="s">
        <v>12</v>
      </c>
      <c r="C18" s="36">
        <f>MIN(Output!B6:M6)</f>
        <v>13051.71847651917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2016</v>
      </c>
    </row>
    <row r="20" spans="1:7">
      <c r="B20" s="1" t="s">
        <v>14</v>
      </c>
      <c r="C20" s="36">
        <f>MAX(Output!B6:M6)</f>
        <v>13051.71847651917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2016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40000</v>
      </c>
    </row>
    <row r="25" spans="1:7">
      <c r="B25" s="1" t="s">
        <v>18</v>
      </c>
      <c r="C25" s="36">
        <f>MAX(Inputs!A56:A60)</f>
        <v>40000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13051.71847651917</v>
      </c>
      <c r="C6" s="51">
        <f>C30-C88</f>
        <v>13051.71847651917</v>
      </c>
      <c r="D6" s="51">
        <f>D30-D88</f>
        <v>13051.71847651917</v>
      </c>
      <c r="E6" s="51">
        <f>E30-E88</f>
        <v>13051.71847651917</v>
      </c>
      <c r="F6" s="51">
        <f>F30-F88</f>
        <v>13051.71847651917</v>
      </c>
      <c r="G6" s="51">
        <f>G30-G88</f>
        <v>13051.71847651917</v>
      </c>
      <c r="H6" s="51">
        <f>H30-H88</f>
        <v>13051.71847651917</v>
      </c>
      <c r="I6" s="51">
        <f>I30-I88</f>
        <v>13051.71847651917</v>
      </c>
      <c r="J6" s="51">
        <f>J30-J88</f>
        <v>13051.71847651917</v>
      </c>
      <c r="K6" s="51">
        <f>K30-K88</f>
        <v>13051.71847651917</v>
      </c>
      <c r="L6" s="51">
        <f>L30-L88</f>
        <v>13051.71847651917</v>
      </c>
      <c r="M6" s="51">
        <f>M30-M88</f>
        <v>13051.71847651917</v>
      </c>
      <c r="N6" s="51">
        <f>N30-N88</f>
        <v>13051.71847651917</v>
      </c>
      <c r="O6" s="51">
        <f>O30-O88</f>
        <v>13051.71847651917</v>
      </c>
      <c r="P6" s="51">
        <f>P30-P88</f>
        <v>13051.71847651917</v>
      </c>
      <c r="Q6" s="51">
        <f>Q30-Q88</f>
        <v>13051.71847651917</v>
      </c>
      <c r="R6" s="51">
        <f>R30-R88</f>
        <v>13051.71847651917</v>
      </c>
      <c r="S6" s="51">
        <f>S30-S88</f>
        <v>30551.71847651916</v>
      </c>
      <c r="T6" s="51">
        <f>T30-T88</f>
        <v>13051.71847651917</v>
      </c>
      <c r="U6" s="51">
        <f>U30-U88</f>
        <v>13051.71847651917</v>
      </c>
      <c r="V6" s="51">
        <f>V30-V88</f>
        <v>13051.71847651917</v>
      </c>
      <c r="W6" s="51">
        <f>W30-W88</f>
        <v>13051.71847651917</v>
      </c>
      <c r="X6" s="51">
        <f>X30-X88</f>
        <v>13051.71847651917</v>
      </c>
      <c r="Y6" s="51">
        <f>Y30-Y88</f>
        <v>13051.71847651917</v>
      </c>
      <c r="Z6" s="51">
        <f>SUMIF($B$13:$Y$13,"Yes",B6:Y6)</f>
        <v>169672.3401947492</v>
      </c>
      <c r="AA6" s="51">
        <f>AA30-AA88</f>
        <v>156620.6217182301</v>
      </c>
      <c r="AB6" s="51">
        <f>AB30-AB88</f>
        <v>330741.2434364604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30000</v>
      </c>
      <c r="D7" s="80">
        <f>IF(ISERROR(VLOOKUP(MONTH(D5),Inputs!$D$66:$D$71,1,0)),"",INDEX(Inputs!$B$66:$B$71,MATCH(MONTH(Output!D5),Inputs!$D$66:$D$71,0))-INDEX(Inputs!$C$66:$C$71,MATCH(MONTH(Output!D5),Inputs!$D$66:$D$71,0)))</f>
        <v>15000</v>
      </c>
      <c r="E7" s="80">
        <f>IF(ISERROR(VLOOKUP(MONTH(E5),Inputs!$D$66:$D$71,1,0)),"",INDEX(Inputs!$B$66:$B$71,MATCH(MONTH(Output!E5),Inputs!$D$66:$D$71,0))-INDEX(Inputs!$C$66:$C$71,MATCH(MONTH(Output!E5),Inputs!$D$66:$D$71,0)))</f>
        <v>25000</v>
      </c>
      <c r="F7" s="80">
        <f>IF(ISERROR(VLOOKUP(MONTH(F5),Inputs!$D$66:$D$71,1,0)),"",INDEX(Inputs!$B$66:$B$71,MATCH(MONTH(Output!F5),Inputs!$D$66:$D$71,0))-INDEX(Inputs!$C$66:$C$71,MATCH(MONTH(Output!F5),Inputs!$D$66:$D$71,0)))</f>
        <v>24500</v>
      </c>
      <c r="G7" s="80">
        <f>IF(ISERROR(VLOOKUP(MONTH(G5),Inputs!$D$66:$D$71,1,0)),"",INDEX(Inputs!$B$66:$B$71,MATCH(MONTH(Output!G5),Inputs!$D$66:$D$71,0))-INDEX(Inputs!$C$66:$C$71,MATCH(MONTH(Output!G5),Inputs!$D$66:$D$71,0)))</f>
        <v>20000</v>
      </c>
      <c r="H7" s="80">
        <f>IF(ISERROR(VLOOKUP(MONTH(H5),Inputs!$D$66:$D$71,1,0)),"",INDEX(Inputs!$B$66:$B$71,MATCH(MONTH(Output!H5),Inputs!$D$66:$D$71,0))-INDEX(Inputs!$C$66:$C$71,MATCH(MONTH(Output!H5),Inputs!$D$66:$D$71,0)))</f>
        <v>20000</v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30000</v>
      </c>
      <c r="P7" s="80">
        <f>IF(ISERROR(VLOOKUP(MONTH(P5),Inputs!$D$66:$D$71,1,0)),"",INDEX(Inputs!$B$66:$B$71,MATCH(MONTH(Output!P5),Inputs!$D$66:$D$71,0))-INDEX(Inputs!$C$66:$C$71,MATCH(MONTH(Output!P5),Inputs!$D$66:$D$71,0)))</f>
        <v>15000</v>
      </c>
      <c r="Q7" s="80">
        <f>IF(ISERROR(VLOOKUP(MONTH(Q5),Inputs!$D$66:$D$71,1,0)),"",INDEX(Inputs!$B$66:$B$71,MATCH(MONTH(Output!Q5),Inputs!$D$66:$D$71,0))-INDEX(Inputs!$C$66:$C$71,MATCH(MONTH(Output!Q5),Inputs!$D$66:$D$71,0)))</f>
        <v>25000</v>
      </c>
      <c r="R7" s="80">
        <f>IF(ISERROR(VLOOKUP(MONTH(R5),Inputs!$D$66:$D$71,1,0)),"",INDEX(Inputs!$B$66:$B$71,MATCH(MONTH(Output!R5),Inputs!$D$66:$D$71,0))-INDEX(Inputs!$C$66:$C$71,MATCH(MONTH(Output!R5),Inputs!$D$66:$D$71,0)))</f>
        <v>24500</v>
      </c>
      <c r="S7" s="80">
        <f>IF(ISERROR(VLOOKUP(MONTH(S5),Inputs!$D$66:$D$71,1,0)),"",INDEX(Inputs!$B$66:$B$71,MATCH(MONTH(Output!S5),Inputs!$D$66:$D$71,0))-INDEX(Inputs!$C$66:$C$71,MATCH(MONTH(Output!S5),Inputs!$D$66:$D$71,0)))</f>
        <v>20000</v>
      </c>
      <c r="T7" s="80">
        <f>IF(ISERROR(VLOOKUP(MONTH(T5),Inputs!$D$66:$D$71,1,0)),"",INDEX(Inputs!$B$66:$B$71,MATCH(MONTH(Output!T5),Inputs!$D$66:$D$71,0))-INDEX(Inputs!$C$66:$C$71,MATCH(MONTH(Output!T5),Inputs!$D$66:$D$71,0)))</f>
        <v>20000</v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</v>
      </c>
      <c r="D10" s="37">
        <f>SUMPRODUCT((Calculations!$D$33:$D$84=Output!D5)+0,Calculations!$C$33:$C$84)</f>
        <v>1500</v>
      </c>
      <c r="E10" s="37">
        <f>SUMPRODUCT((Calculations!$D$33:$D$84=Output!E5)+0,Calculations!$C$33:$C$84)</f>
        <v>1500</v>
      </c>
      <c r="F10" s="37">
        <f>SUMPRODUCT((Calculations!$D$33:$D$84=Output!F5)+0,Calculations!$C$33:$C$84)</f>
        <v>1500</v>
      </c>
      <c r="G10" s="37">
        <f>SUMPRODUCT((Calculations!$D$33:$D$84=Output!G5)+0,Calculations!$C$33:$C$84)</f>
        <v>1500</v>
      </c>
      <c r="H10" s="37">
        <f>SUMPRODUCT((Calculations!$D$33:$D$84=Output!H5)+0,Calculations!$C$33:$C$84)</f>
        <v>15785.71428571429</v>
      </c>
      <c r="I10" s="37">
        <f>SUMPRODUCT((Calculations!$D$33:$D$84=Output!I5)+0,Calculations!$C$33:$C$84)</f>
        <v>15785.71428571429</v>
      </c>
      <c r="J10" s="37">
        <f>SUMPRODUCT((Calculations!$D$33:$D$84=Output!J5)+0,Calculations!$C$33:$C$84)</f>
        <v>15785.71428571429</v>
      </c>
      <c r="K10" s="37">
        <f>SUMPRODUCT((Calculations!$D$33:$D$84=Output!K5)+0,Calculations!$C$33:$C$84)</f>
        <v>15785.71428571429</v>
      </c>
      <c r="L10" s="37">
        <f>SUMPRODUCT((Calculations!$D$33:$D$84=Output!L5)+0,Calculations!$C$33:$C$84)</f>
        <v>15785.71428571429</v>
      </c>
      <c r="M10" s="37">
        <f>SUMPRODUCT((Calculations!$D$33:$D$84=Output!M5)+0,Calculations!$C$33:$C$84)</f>
        <v>15785.71428571429</v>
      </c>
      <c r="N10" s="37">
        <f>SUMPRODUCT((Calculations!$D$33:$D$84=Output!N5)+0,Calculations!$C$33:$C$84)</f>
        <v>15785.71428571429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102214.2857142857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113051.7184765192</v>
      </c>
      <c r="C11" s="80">
        <f>C6+C9-C10</f>
        <v>11551.71847651917</v>
      </c>
      <c r="D11" s="80">
        <f>D6+D9-D10</f>
        <v>11551.71847651917</v>
      </c>
      <c r="E11" s="80">
        <f>E6+E9-E10</f>
        <v>11551.71847651917</v>
      </c>
      <c r="F11" s="80">
        <f>F6+F9-F10</f>
        <v>11551.71847651917</v>
      </c>
      <c r="G11" s="80">
        <f>G6+G9-G10</f>
        <v>11551.71847651917</v>
      </c>
      <c r="H11" s="80">
        <f>H6+H9-H10</f>
        <v>-2733.995809195116</v>
      </c>
      <c r="I11" s="80">
        <f>I6+I9-I10</f>
        <v>-2733.995809195116</v>
      </c>
      <c r="J11" s="80">
        <f>J6+J9-J10</f>
        <v>-2733.995809195116</v>
      </c>
      <c r="K11" s="80">
        <f>K6+K9-K10</f>
        <v>-2733.995809195116</v>
      </c>
      <c r="L11" s="80">
        <f>L6+L9-L10</f>
        <v>-2733.995809195116</v>
      </c>
      <c r="M11" s="80">
        <f>M6+M9-M10</f>
        <v>-2733.995809195116</v>
      </c>
      <c r="N11" s="80">
        <f>N6+N9-N10</f>
        <v>-2733.995809195116</v>
      </c>
      <c r="O11" s="80">
        <f>O6+O9-O10</f>
        <v>13051.71847651917</v>
      </c>
      <c r="P11" s="80">
        <f>P6+P9-P10</f>
        <v>13051.71847651917</v>
      </c>
      <c r="Q11" s="80">
        <f>Q6+Q9-Q10</f>
        <v>13051.71847651917</v>
      </c>
      <c r="R11" s="80">
        <f>R6+R9-R10</f>
        <v>13051.71847651917</v>
      </c>
      <c r="S11" s="80">
        <f>S6+S9-S10</f>
        <v>30551.71847651916</v>
      </c>
      <c r="T11" s="80">
        <f>T6+T9-T10</f>
        <v>13051.71847651917</v>
      </c>
      <c r="U11" s="80">
        <f>U6+U9-U10</f>
        <v>13051.71847651917</v>
      </c>
      <c r="V11" s="80">
        <f>V6+V9-V10</f>
        <v>13051.71847651917</v>
      </c>
      <c r="W11" s="80">
        <f>W6+W9-W10</f>
        <v>13051.71847651917</v>
      </c>
      <c r="X11" s="80">
        <f>X6+X9-X10</f>
        <v>13051.71847651917</v>
      </c>
      <c r="Y11" s="80">
        <f>Y6+Y9-Y10</f>
        <v>13051.71847651917</v>
      </c>
      <c r="Z11" s="85">
        <f>SUMIF($B$13:$Y$13,"Yes",B11:Y11)</f>
        <v>151672.3401947491</v>
      </c>
      <c r="AA11" s="80">
        <f>SUM(B11:M11)</f>
        <v>154406.3360039442</v>
      </c>
      <c r="AB11" s="46">
        <f>SUM(B11:Y11)</f>
        <v>312741.2434364599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0.01189499696632859</v>
      </c>
      <c r="D12" s="82">
        <f>IF(D13="Yes",IF(SUM($B$10:D10)/(SUM($B$6:D6)+SUM($B$9:D9))&lt;0,999.99,SUM($B$10:D10)/(SUM($B$6:D6)+SUM($B$9:D9))),"")</f>
        <v>0.02155866946315651</v>
      </c>
      <c r="E12" s="82">
        <f>IF(E13="Yes",IF(SUM($B$10:E10)/(SUM($B$6:E6)+SUM($B$9:E9))&lt;0,999.99,SUM($B$10:E10)/(SUM($B$6:E6)+SUM($B$9:E9))),"")</f>
        <v>0.02956502478841294</v>
      </c>
      <c r="F12" s="82">
        <f>IF(F13="Yes",IF(SUM($B$10:F10)/(SUM($B$6:F6)+SUM($B$9:F9))&lt;0,999.99,SUM($B$10:F10)/(SUM($B$6:F6)+SUM($B$9:F9))),"")</f>
        <v>0.03630673548343673</v>
      </c>
      <c r="G12" s="82">
        <f>IF(G13="Yes",IF(SUM($B$10:G10)/(SUM($B$6:G6)+SUM($B$9:G9))&lt;0,999.99,SUM($B$10:G10)/(SUM($B$6:G6)+SUM($B$9:G9))),"")</f>
        <v>0.04206150482192717</v>
      </c>
      <c r="H12" s="82">
        <f>IF(H13="Yes",IF(SUM($B$10:H10)/(SUM($B$6:H6)+SUM($B$9:H9))&lt;0,999.99,SUM($B$10:H10)/(SUM($B$6:H6)+SUM($B$9:H9))),"")</f>
        <v>0.121684089401419</v>
      </c>
      <c r="I12" s="82">
        <f>IF(I13="Yes",IF(SUM($B$10:I10)/(SUM($B$6:I6)+SUM($B$9:I9))&lt;0,999.99,SUM($B$10:I10)/(SUM($B$6:I6)+SUM($B$9:I9))),"")</f>
        <v>0.1911389473047252</v>
      </c>
      <c r="J12" s="82">
        <f>IF(J13="Yes",IF(SUM($B$10:J10)/(SUM($B$6:J6)+SUM($B$9:J9))&lt;0,999.99,SUM($B$10:J10)/(SUM($B$6:J6)+SUM($B$9:J9))),"")</f>
        <v>0.2522568010146643</v>
      </c>
      <c r="K12" s="82">
        <f>IF(K13="Yes",IF(SUM($B$10:K10)/(SUM($B$6:K6)+SUM($B$9:K9))&lt;0,999.99,SUM($B$10:K10)/(SUM($B$6:K6)+SUM($B$9:K9))),"")</f>
        <v>0.3064537562126443</v>
      </c>
      <c r="L12" s="82">
        <f>IF(L13="Yes",IF(SUM($B$10:L10)/(SUM($B$6:L6)+SUM($B$9:L9))&lt;0,999.99,SUM($B$10:L10)/(SUM($B$6:L6)+SUM($B$9:L9))),"")</f>
        <v>0.3548423886558383</v>
      </c>
      <c r="M12" s="82">
        <f>IF(M13="Yes",IF(SUM($B$10:M10)/(SUM($B$6:M6)+SUM($B$9:M9))&lt;0,999.99,SUM($B$10:M10)/(SUM($B$6:M6)+SUM($B$9:M9))),"")</f>
        <v>0.3983089317993985</v>
      </c>
      <c r="N12" s="82">
        <f>IF(N13="Yes",IF(SUM($B$10:N10)/(SUM($B$6:N6)+SUM($B$9:N9))&lt;0,999.99,SUM($B$10:N10)/(SUM($B$6:N6)+SUM($B$9:N9))),"")</f>
        <v>0.4375680498592625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13721.8045112782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8196.491228070176</v>
      </c>
      <c r="C24" s="36">
        <f>IFERROR(Calculations!$P14/12,"")</f>
        <v>8196.491228070176</v>
      </c>
      <c r="D24" s="36">
        <f>IFERROR(Calculations!$P14/12,"")</f>
        <v>8196.491228070176</v>
      </c>
      <c r="E24" s="36">
        <f>IFERROR(Calculations!$P14/12,"")</f>
        <v>8196.491228070176</v>
      </c>
      <c r="F24" s="36">
        <f>IFERROR(Calculations!$P14/12,"")</f>
        <v>8196.491228070176</v>
      </c>
      <c r="G24" s="36">
        <f>IFERROR(Calculations!$P14/12,"")</f>
        <v>8196.491228070176</v>
      </c>
      <c r="H24" s="36">
        <f>IFERROR(Calculations!$P14/12,"")</f>
        <v>8196.491228070176</v>
      </c>
      <c r="I24" s="36">
        <f>IFERROR(Calculations!$P14/12,"")</f>
        <v>8196.491228070176</v>
      </c>
      <c r="J24" s="36">
        <f>IFERROR(Calculations!$P14/12,"")</f>
        <v>8196.491228070176</v>
      </c>
      <c r="K24" s="36">
        <f>IFERROR(Calculations!$P14/12,"")</f>
        <v>8196.491228070176</v>
      </c>
      <c r="L24" s="36">
        <f>IFERROR(Calculations!$P14/12,"")</f>
        <v>8196.491228070176</v>
      </c>
      <c r="M24" s="36">
        <f>IFERROR(Calculations!$P14/12,"")</f>
        <v>8196.491228070176</v>
      </c>
      <c r="N24" s="36">
        <f>IFERROR(Calculations!$P14/12,"")</f>
        <v>8196.491228070176</v>
      </c>
      <c r="O24" s="36">
        <f>IFERROR(Calculations!$P14/12,"")</f>
        <v>8196.491228070176</v>
      </c>
      <c r="P24" s="36">
        <f>IFERROR(Calculations!$P14/12,"")</f>
        <v>8196.491228070176</v>
      </c>
      <c r="Q24" s="36">
        <f>IFERROR(Calculations!$P14/12,"")</f>
        <v>8196.491228070176</v>
      </c>
      <c r="R24" s="36">
        <f>IFERROR(Calculations!$P14/12,"")</f>
        <v>8196.491228070176</v>
      </c>
      <c r="S24" s="36">
        <f>IFERROR(Calculations!$P14/12,"")</f>
        <v>8196.491228070176</v>
      </c>
      <c r="T24" s="36">
        <f>IFERROR(Calculations!$P14/12,"")</f>
        <v>8196.491228070176</v>
      </c>
      <c r="U24" s="36">
        <f>IFERROR(Calculations!$P14/12,"")</f>
        <v>8196.491228070176</v>
      </c>
      <c r="V24" s="36">
        <f>IFERROR(Calculations!$P14/12,"")</f>
        <v>8196.491228070176</v>
      </c>
      <c r="W24" s="36">
        <f>IFERROR(Calculations!$P14/12,"")</f>
        <v>8196.491228070176</v>
      </c>
      <c r="X24" s="36">
        <f>IFERROR(Calculations!$P14/12,"")</f>
        <v>8196.491228070176</v>
      </c>
      <c r="Y24" s="36">
        <f>IFERROR(Calculations!$P14/12,"")</f>
        <v>8196.491228070176</v>
      </c>
      <c r="Z24" s="36">
        <f>SUMIF($B$13:$Y$13,"Yes",B24:Y24)</f>
        <v>106554.3859649122</v>
      </c>
      <c r="AA24" s="36">
        <f>SUM(B24:M24)</f>
        <v>98357.89473684208</v>
      </c>
      <c r="AB24" s="46">
        <f>SUM(B24:Y24)</f>
        <v>196715.7894736841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17500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17500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40000</v>
      </c>
      <c r="C29" s="37">
        <f>Inputs!$B$30</f>
        <v>40000</v>
      </c>
      <c r="D29" s="37">
        <f>Inputs!$B$30</f>
        <v>40000</v>
      </c>
      <c r="E29" s="37">
        <f>Inputs!$B$30</f>
        <v>40000</v>
      </c>
      <c r="F29" s="37">
        <f>Inputs!$B$30</f>
        <v>40000</v>
      </c>
      <c r="G29" s="37">
        <f>Inputs!$B$30</f>
        <v>40000</v>
      </c>
      <c r="H29" s="37">
        <f>Inputs!$B$30</f>
        <v>40000</v>
      </c>
      <c r="I29" s="37">
        <f>Inputs!$B$30</f>
        <v>40000</v>
      </c>
      <c r="J29" s="37">
        <f>Inputs!$B$30</f>
        <v>40000</v>
      </c>
      <c r="K29" s="37">
        <f>Inputs!$B$30</f>
        <v>40000</v>
      </c>
      <c r="L29" s="37">
        <f>Inputs!$B$30</f>
        <v>40000</v>
      </c>
      <c r="M29" s="37">
        <f>Inputs!$B$30</f>
        <v>40000</v>
      </c>
      <c r="N29" s="37">
        <f>Inputs!$B$30</f>
        <v>40000</v>
      </c>
      <c r="O29" s="37">
        <f>Inputs!$B$30</f>
        <v>40000</v>
      </c>
      <c r="P29" s="37">
        <f>Inputs!$B$30</f>
        <v>40000</v>
      </c>
      <c r="Q29" s="37">
        <f>Inputs!$B$30</f>
        <v>40000</v>
      </c>
      <c r="R29" s="37">
        <f>Inputs!$B$30</f>
        <v>40000</v>
      </c>
      <c r="S29" s="37">
        <f>Inputs!$B$30</f>
        <v>40000</v>
      </c>
      <c r="T29" s="37">
        <f>Inputs!$B$30</f>
        <v>40000</v>
      </c>
      <c r="U29" s="37">
        <f>Inputs!$B$30</f>
        <v>40000</v>
      </c>
      <c r="V29" s="37">
        <f>Inputs!$B$30</f>
        <v>40000</v>
      </c>
      <c r="W29" s="37">
        <f>Inputs!$B$30</f>
        <v>40000</v>
      </c>
      <c r="X29" s="37">
        <f>Inputs!$B$30</f>
        <v>40000</v>
      </c>
      <c r="Y29" s="37">
        <f>Inputs!$B$30</f>
        <v>40000</v>
      </c>
      <c r="Z29" s="37">
        <f>SUMIF($B$13:$Y$13,"Yes",B29:Y29)</f>
        <v>520000</v>
      </c>
      <c r="AA29" s="37">
        <f>SUM(B29:M29)</f>
        <v>480000</v>
      </c>
      <c r="AB29" s="37">
        <f>SUM(B29:Y29)</f>
        <v>960000</v>
      </c>
    </row>
    <row r="30" spans="1:30" customHeight="1" ht="15.75">
      <c r="A30" s="1" t="s">
        <v>37</v>
      </c>
      <c r="B30" s="19">
        <f>SUM(B18:B29)</f>
        <v>48196.49122807018</v>
      </c>
      <c r="C30" s="19">
        <f>SUM(C18:C29)</f>
        <v>48196.49122807018</v>
      </c>
      <c r="D30" s="19">
        <f>SUM(D18:D29)</f>
        <v>48196.49122807018</v>
      </c>
      <c r="E30" s="19">
        <f>SUM(E18:E29)</f>
        <v>48196.49122807018</v>
      </c>
      <c r="F30" s="19">
        <f>SUM(F18:F29)</f>
        <v>48196.49122807018</v>
      </c>
      <c r="G30" s="19">
        <f>SUM(G18:G29)</f>
        <v>48196.49122807018</v>
      </c>
      <c r="H30" s="19">
        <f>SUM(H18:H29)</f>
        <v>48196.49122807018</v>
      </c>
      <c r="I30" s="19">
        <f>SUM(I18:I29)</f>
        <v>48196.49122807018</v>
      </c>
      <c r="J30" s="19">
        <f>SUM(J18:J29)</f>
        <v>48196.49122807018</v>
      </c>
      <c r="K30" s="19">
        <f>SUM(K18:K29)</f>
        <v>48196.49122807018</v>
      </c>
      <c r="L30" s="19">
        <f>SUM(L18:L29)</f>
        <v>48196.49122807018</v>
      </c>
      <c r="M30" s="19">
        <f>SUM(M18:M29)</f>
        <v>48196.49122807018</v>
      </c>
      <c r="N30" s="19">
        <f>SUM(N18:N29)</f>
        <v>48196.49122807018</v>
      </c>
      <c r="O30" s="19">
        <f>SUM(O18:O29)</f>
        <v>48196.49122807018</v>
      </c>
      <c r="P30" s="19">
        <f>SUM(P18:P29)</f>
        <v>48196.49122807018</v>
      </c>
      <c r="Q30" s="19">
        <f>SUM(Q18:Q29)</f>
        <v>48196.49122807018</v>
      </c>
      <c r="R30" s="19">
        <f>SUM(R18:R29)</f>
        <v>48196.49122807018</v>
      </c>
      <c r="S30" s="19">
        <f>SUM(S18:S29)</f>
        <v>65696.49122807017</v>
      </c>
      <c r="T30" s="19">
        <f>SUM(T18:T29)</f>
        <v>48196.49122807018</v>
      </c>
      <c r="U30" s="19">
        <f>SUM(U18:U29)</f>
        <v>48196.49122807018</v>
      </c>
      <c r="V30" s="19">
        <f>SUM(V18:V29)</f>
        <v>48196.49122807018</v>
      </c>
      <c r="W30" s="19">
        <f>SUM(W18:W29)</f>
        <v>48196.49122807018</v>
      </c>
      <c r="X30" s="19">
        <f>SUM(X18:X29)</f>
        <v>48196.49122807018</v>
      </c>
      <c r="Y30" s="19">
        <f>SUM(Y18:Y29)</f>
        <v>48196.49122807018</v>
      </c>
      <c r="Z30" s="19">
        <f>SUMIF($B$13:$Y$13,"Yes",B30:Y30)</f>
        <v>626554.3859649124</v>
      </c>
      <c r="AA30" s="19">
        <f>SUM(B30:M30)</f>
        <v>578357.8947368421</v>
      </c>
      <c r="AB30" s="19">
        <f>SUM(B30:Y30)</f>
        <v>1174215.789473685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39541.66666666666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71.11111111111111</v>
      </c>
      <c r="C75" s="46">
        <f>SUM(Calculations!$R$14:$R$16)/12</f>
        <v>71.11111111111111</v>
      </c>
      <c r="D75" s="46">
        <f>SUM(Calculations!$R$14:$R$16)/12</f>
        <v>71.11111111111111</v>
      </c>
      <c r="E75" s="46">
        <f>SUM(Calculations!$R$14:$R$16)/12</f>
        <v>71.11111111111111</v>
      </c>
      <c r="F75" s="46">
        <f>SUM(Calculations!$R$14:$R$16)/12</f>
        <v>71.11111111111111</v>
      </c>
      <c r="G75" s="46">
        <f>SUM(Calculations!$R$14:$R$16)/12</f>
        <v>71.11111111111111</v>
      </c>
      <c r="H75" s="46">
        <f>SUM(Calculations!$R$14:$R$16)/12</f>
        <v>71.11111111111111</v>
      </c>
      <c r="I75" s="46">
        <f>SUM(Calculations!$R$14:$R$16)/12</f>
        <v>71.11111111111111</v>
      </c>
      <c r="J75" s="46">
        <f>SUM(Calculations!$R$14:$R$16)/12</f>
        <v>71.11111111111111</v>
      </c>
      <c r="K75" s="46">
        <f>SUM(Calculations!$R$14:$R$16)/12</f>
        <v>71.11111111111111</v>
      </c>
      <c r="L75" s="46">
        <f>SUM(Calculations!$R$14:$R$16)/12</f>
        <v>71.11111111111111</v>
      </c>
      <c r="M75" s="46">
        <f>SUM(Calculations!$R$14:$R$16)/12</f>
        <v>71.11111111111111</v>
      </c>
      <c r="N75" s="46">
        <f>SUM(Calculations!$R$14:$R$16)/12</f>
        <v>71.11111111111111</v>
      </c>
      <c r="O75" s="46">
        <f>SUM(Calculations!$R$14:$R$16)/12</f>
        <v>71.11111111111111</v>
      </c>
      <c r="P75" s="46">
        <f>SUM(Calculations!$R$14:$R$16)/12</f>
        <v>71.11111111111111</v>
      </c>
      <c r="Q75" s="46">
        <f>SUM(Calculations!$R$14:$R$16)/12</f>
        <v>71.11111111111111</v>
      </c>
      <c r="R75" s="46">
        <f>SUM(Calculations!$R$14:$R$16)/12</f>
        <v>71.11111111111111</v>
      </c>
      <c r="S75" s="46">
        <f>SUM(Calculations!$R$14:$R$16)/12</f>
        <v>71.11111111111111</v>
      </c>
      <c r="T75" s="46">
        <f>SUM(Calculations!$R$14:$R$16)/12</f>
        <v>71.11111111111111</v>
      </c>
      <c r="U75" s="46">
        <f>SUM(Calculations!$R$14:$R$16)/12</f>
        <v>71.11111111111111</v>
      </c>
      <c r="V75" s="46">
        <f>SUM(Calculations!$R$14:$R$16)/12</f>
        <v>71.11111111111111</v>
      </c>
      <c r="W75" s="46">
        <f>SUM(Calculations!$R$14:$R$16)/12</f>
        <v>71.11111111111111</v>
      </c>
      <c r="X75" s="46">
        <f>SUM(Calculations!$R$14:$R$16)/12</f>
        <v>71.11111111111111</v>
      </c>
      <c r="Y75" s="46">
        <f>SUM(Calculations!$R$14:$R$16)/12</f>
        <v>71.11111111111111</v>
      </c>
      <c r="Z75" s="46">
        <f>SUMIF($B$13:$Y$13,"Yes",B75:Y75)</f>
        <v>924.4444444444442</v>
      </c>
      <c r="AA75" s="46">
        <f>SUM(B75:M75)</f>
        <v>853.3333333333331</v>
      </c>
      <c r="AB75" s="46">
        <f>SUM(B75:Y75)</f>
        <v>1706.666666666666</v>
      </c>
    </row>
    <row r="76" spans="1:30">
      <c r="A76" s="16" t="s">
        <v>48</v>
      </c>
      <c r="B76" s="46">
        <f>SUM(Calculations!$S$14:$S$16)/12</f>
        <v>571.7418546365914</v>
      </c>
      <c r="C76" s="46">
        <f>SUM(Calculations!$S$14:$S$16)/12</f>
        <v>571.7418546365914</v>
      </c>
      <c r="D76" s="46">
        <f>SUM(Calculations!$S$14:$S$16)/12</f>
        <v>571.7418546365914</v>
      </c>
      <c r="E76" s="46">
        <f>SUM(Calculations!$S$14:$S$16)/12</f>
        <v>571.7418546365914</v>
      </c>
      <c r="F76" s="46">
        <f>SUM(Calculations!$S$14:$S$16)/12</f>
        <v>571.7418546365914</v>
      </c>
      <c r="G76" s="46">
        <f>SUM(Calculations!$S$14:$S$16)/12</f>
        <v>571.7418546365914</v>
      </c>
      <c r="H76" s="46">
        <f>SUM(Calculations!$S$14:$S$16)/12</f>
        <v>571.7418546365914</v>
      </c>
      <c r="I76" s="46">
        <f>SUM(Calculations!$S$14:$S$16)/12</f>
        <v>571.7418546365914</v>
      </c>
      <c r="J76" s="46">
        <f>SUM(Calculations!$S$14:$S$16)/12</f>
        <v>571.7418546365914</v>
      </c>
      <c r="K76" s="46">
        <f>SUM(Calculations!$S$14:$S$16)/12</f>
        <v>571.7418546365914</v>
      </c>
      <c r="L76" s="46">
        <f>SUM(Calculations!$S$14:$S$16)/12</f>
        <v>571.7418546365914</v>
      </c>
      <c r="M76" s="46">
        <f>SUM(Calculations!$S$14:$S$16)/12</f>
        <v>571.7418546365914</v>
      </c>
      <c r="N76" s="46">
        <f>SUM(Calculations!$S$14:$S$16)/12</f>
        <v>571.7418546365914</v>
      </c>
      <c r="O76" s="46">
        <f>SUM(Calculations!$S$14:$S$16)/12</f>
        <v>571.7418546365914</v>
      </c>
      <c r="P76" s="46">
        <f>SUM(Calculations!$S$14:$S$16)/12</f>
        <v>571.7418546365914</v>
      </c>
      <c r="Q76" s="46">
        <f>SUM(Calculations!$S$14:$S$16)/12</f>
        <v>571.7418546365914</v>
      </c>
      <c r="R76" s="46">
        <f>SUM(Calculations!$S$14:$S$16)/12</f>
        <v>571.7418546365914</v>
      </c>
      <c r="S76" s="46">
        <f>SUM(Calculations!$S$14:$S$16)/12</f>
        <v>571.7418546365914</v>
      </c>
      <c r="T76" s="46">
        <f>SUM(Calculations!$S$14:$S$16)/12</f>
        <v>571.7418546365914</v>
      </c>
      <c r="U76" s="46">
        <f>SUM(Calculations!$S$14:$S$16)/12</f>
        <v>571.7418546365914</v>
      </c>
      <c r="V76" s="46">
        <f>SUM(Calculations!$S$14:$S$16)/12</f>
        <v>571.7418546365914</v>
      </c>
      <c r="W76" s="46">
        <f>SUM(Calculations!$S$14:$S$16)/12</f>
        <v>571.7418546365914</v>
      </c>
      <c r="X76" s="46">
        <f>SUM(Calculations!$S$14:$S$16)/12</f>
        <v>571.7418546365914</v>
      </c>
      <c r="Y76" s="46">
        <f>SUM(Calculations!$S$14:$S$16)/12</f>
        <v>571.7418546365914</v>
      </c>
      <c r="Z76" s="46">
        <f>SUMIF($B$13:$Y$13,"Yes",B76:Y76)</f>
        <v>7432.64411027569</v>
      </c>
      <c r="AA76" s="46">
        <f>SUM(B76:M76)</f>
        <v>6860.902255639098</v>
      </c>
      <c r="AB76" s="46">
        <f>SUM(B76:Y76)</f>
        <v>13721.8045112782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260000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9804.78863826232</v>
      </c>
      <c r="C81" s="46">
        <f>(SUM($AA$18:$AA$29)-SUM($AA$36,$AA$42,$AA$48,$AA$54,$AA$60,$AA$66,$AA$72:$AA$79))*Parameters!$B$37/12</f>
        <v>9804.78863826232</v>
      </c>
      <c r="D81" s="46">
        <f>(SUM($AA$18:$AA$29)-SUM($AA$36,$AA$42,$AA$48,$AA$54,$AA$60,$AA$66,$AA$72:$AA$79))*Parameters!$B$37/12</f>
        <v>9804.78863826232</v>
      </c>
      <c r="E81" s="46">
        <f>(SUM($AA$18:$AA$29)-SUM($AA$36,$AA$42,$AA$48,$AA$54,$AA$60,$AA$66,$AA$72:$AA$79))*Parameters!$B$37/12</f>
        <v>9804.78863826232</v>
      </c>
      <c r="F81" s="46">
        <f>(SUM($AA$18:$AA$29)-SUM($AA$36,$AA$42,$AA$48,$AA$54,$AA$60,$AA$66,$AA$72:$AA$79))*Parameters!$B$37/12</f>
        <v>9804.78863826232</v>
      </c>
      <c r="G81" s="46">
        <f>(SUM($AA$18:$AA$29)-SUM($AA$36,$AA$42,$AA$48,$AA$54,$AA$60,$AA$66,$AA$72:$AA$79))*Parameters!$B$37/12</f>
        <v>9804.78863826232</v>
      </c>
      <c r="H81" s="46">
        <f>(SUM($AA$18:$AA$29)-SUM($AA$36,$AA$42,$AA$48,$AA$54,$AA$60,$AA$66,$AA$72:$AA$79))*Parameters!$B$37/12</f>
        <v>9804.78863826232</v>
      </c>
      <c r="I81" s="46">
        <f>(SUM($AA$18:$AA$29)-SUM($AA$36,$AA$42,$AA$48,$AA$54,$AA$60,$AA$66,$AA$72:$AA$79))*Parameters!$B$37/12</f>
        <v>9804.78863826232</v>
      </c>
      <c r="J81" s="46">
        <f>(SUM($AA$18:$AA$29)-SUM($AA$36,$AA$42,$AA$48,$AA$54,$AA$60,$AA$66,$AA$72:$AA$79))*Parameters!$B$37/12</f>
        <v>9804.78863826232</v>
      </c>
      <c r="K81" s="46">
        <f>(SUM($AA$18:$AA$29)-SUM($AA$36,$AA$42,$AA$48,$AA$54,$AA$60,$AA$66,$AA$72:$AA$79))*Parameters!$B$37/12</f>
        <v>9804.78863826232</v>
      </c>
      <c r="L81" s="46">
        <f>(SUM($AA$18:$AA$29)-SUM($AA$36,$AA$42,$AA$48,$AA$54,$AA$60,$AA$66,$AA$72:$AA$79))*Parameters!$B$37/12</f>
        <v>9804.78863826232</v>
      </c>
      <c r="M81" s="46">
        <f>(SUM($AA$18:$AA$29)-SUM($AA$36,$AA$42,$AA$48,$AA$54,$AA$60,$AA$66,$AA$72:$AA$79))*Parameters!$B$37/12</f>
        <v>9804.78863826232</v>
      </c>
      <c r="N81" s="46">
        <f>(SUM($AA$18:$AA$29)-SUM($AA$36,$AA$42,$AA$48,$AA$54,$AA$60,$AA$66,$AA$72:$AA$79))*Parameters!$B$37/12</f>
        <v>9804.78863826232</v>
      </c>
      <c r="O81" s="46">
        <f>(SUM($AA$18:$AA$29)-SUM($AA$36,$AA$42,$AA$48,$AA$54,$AA$60,$AA$66,$AA$72:$AA$79))*Parameters!$B$37/12</f>
        <v>9804.78863826232</v>
      </c>
      <c r="P81" s="46">
        <f>(SUM($AA$18:$AA$29)-SUM($AA$36,$AA$42,$AA$48,$AA$54,$AA$60,$AA$66,$AA$72:$AA$79))*Parameters!$B$37/12</f>
        <v>9804.78863826232</v>
      </c>
      <c r="Q81" s="46">
        <f>(SUM($AA$18:$AA$29)-SUM($AA$36,$AA$42,$AA$48,$AA$54,$AA$60,$AA$66,$AA$72:$AA$79))*Parameters!$B$37/12</f>
        <v>9804.78863826232</v>
      </c>
      <c r="R81" s="46">
        <f>(SUM($AA$18:$AA$29)-SUM($AA$36,$AA$42,$AA$48,$AA$54,$AA$60,$AA$66,$AA$72:$AA$79))*Parameters!$B$37/12</f>
        <v>9804.78863826232</v>
      </c>
      <c r="S81" s="46">
        <f>(SUM($AA$18:$AA$29)-SUM($AA$36,$AA$42,$AA$48,$AA$54,$AA$60,$AA$66,$AA$72:$AA$79))*Parameters!$B$37/12</f>
        <v>9804.78863826232</v>
      </c>
      <c r="T81" s="46">
        <f>(SUM($AA$18:$AA$29)-SUM($AA$36,$AA$42,$AA$48,$AA$54,$AA$60,$AA$66,$AA$72:$AA$79))*Parameters!$B$37/12</f>
        <v>9804.78863826232</v>
      </c>
      <c r="U81" s="46">
        <f>(SUM($AA$18:$AA$29)-SUM($AA$36,$AA$42,$AA$48,$AA$54,$AA$60,$AA$66,$AA$72:$AA$79))*Parameters!$B$37/12</f>
        <v>9804.78863826232</v>
      </c>
      <c r="V81" s="46">
        <f>(SUM($AA$18:$AA$29)-SUM($AA$36,$AA$42,$AA$48,$AA$54,$AA$60,$AA$66,$AA$72:$AA$79))*Parameters!$B$37/12</f>
        <v>9804.78863826232</v>
      </c>
      <c r="W81" s="46">
        <f>(SUM($AA$18:$AA$29)-SUM($AA$36,$AA$42,$AA$48,$AA$54,$AA$60,$AA$66,$AA$72:$AA$79))*Parameters!$B$37/12</f>
        <v>9804.78863826232</v>
      </c>
      <c r="X81" s="46">
        <f>(SUM($AA$18:$AA$29)-SUM($AA$36,$AA$42,$AA$48,$AA$54,$AA$60,$AA$66,$AA$72:$AA$79))*Parameters!$B$37/12</f>
        <v>9804.78863826232</v>
      </c>
      <c r="Y81" s="46">
        <f>(SUM($AA$18:$AA$29)-SUM($AA$36,$AA$42,$AA$48,$AA$54,$AA$60,$AA$66,$AA$72:$AA$79))*Parameters!$B$37/12</f>
        <v>9804.78863826232</v>
      </c>
      <c r="Z81" s="46">
        <f>SUMIF($B$13:$Y$13,"Yes",B81:Y81)</f>
        <v>127462.2522974102</v>
      </c>
      <c r="AA81" s="46">
        <f>SUM(B81:M81)</f>
        <v>117657.4636591479</v>
      </c>
      <c r="AB81" s="46">
        <f>SUM(B81:Y81)</f>
        <v>235314.9273182956</v>
      </c>
    </row>
    <row r="82" spans="1:30">
      <c r="A82" s="16" t="s">
        <v>52</v>
      </c>
      <c r="B82" s="46">
        <f>SUM(B83:B87)</f>
        <v>1655.464480874317</v>
      </c>
      <c r="C82" s="46">
        <f>SUM(C83:C87)</f>
        <v>1655.464480874317</v>
      </c>
      <c r="D82" s="46">
        <f>SUM(D83:D87)</f>
        <v>1655.464480874317</v>
      </c>
      <c r="E82" s="46">
        <f>SUM(E83:E87)</f>
        <v>1655.464480874317</v>
      </c>
      <c r="F82" s="46">
        <f>SUM(F83:F87)</f>
        <v>1655.464480874317</v>
      </c>
      <c r="G82" s="46">
        <f>SUM(G83:G87)</f>
        <v>1655.464480874317</v>
      </c>
      <c r="H82" s="46">
        <f>SUM(H83:H87)</f>
        <v>1655.464480874317</v>
      </c>
      <c r="I82" s="46">
        <f>SUM(I83:I87)</f>
        <v>1655.464480874317</v>
      </c>
      <c r="J82" s="46">
        <f>SUM(J83:J87)</f>
        <v>1655.464480874317</v>
      </c>
      <c r="K82" s="46">
        <f>SUM(K83:K87)</f>
        <v>1655.464480874317</v>
      </c>
      <c r="L82" s="46">
        <f>SUM(L83:L87)</f>
        <v>1655.464480874317</v>
      </c>
      <c r="M82" s="46">
        <f>SUM(M83:M87)</f>
        <v>1655.464480874317</v>
      </c>
      <c r="N82" s="46">
        <f>SUM(N83:N87)</f>
        <v>1655.464480874317</v>
      </c>
      <c r="O82" s="46">
        <f>SUM(O83:O87)</f>
        <v>1655.464480874317</v>
      </c>
      <c r="P82" s="46">
        <f>SUM(P83:P87)</f>
        <v>1655.464480874317</v>
      </c>
      <c r="Q82" s="46">
        <f>SUM(Q83:Q87)</f>
        <v>1655.464480874317</v>
      </c>
      <c r="R82" s="46">
        <f>SUM(R83:R87)</f>
        <v>1655.464480874317</v>
      </c>
      <c r="S82" s="46">
        <f>SUM(S83:S87)</f>
        <v>1655.464480874317</v>
      </c>
      <c r="T82" s="46">
        <f>SUM(T83:T87)</f>
        <v>1655.464480874317</v>
      </c>
      <c r="U82" s="46">
        <f>SUM(U83:U87)</f>
        <v>1655.464480874317</v>
      </c>
      <c r="V82" s="46">
        <f>SUM(V83:V87)</f>
        <v>1655.464480874317</v>
      </c>
      <c r="W82" s="46">
        <f>SUM(W83:W87)</f>
        <v>1655.464480874317</v>
      </c>
      <c r="X82" s="46">
        <f>SUM(X83:X87)</f>
        <v>1655.464480874317</v>
      </c>
      <c r="Y82" s="46">
        <f>SUM(Y83:Y87)</f>
        <v>1655.464480874317</v>
      </c>
      <c r="Z82" s="46">
        <f>SUMIF($B$13:$Y$13,"Yes",B82:Y82)</f>
        <v>21521.03825136613</v>
      </c>
      <c r="AA82" s="46">
        <f>SUM(B82:M82)</f>
        <v>19865.57377049181</v>
      </c>
      <c r="AB82" s="46">
        <f>SUM(B82:Y82)</f>
        <v>39731.14754098362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1655.464480874317</v>
      </c>
      <c r="C83" s="46">
        <f>IF(Calculations!$E23&gt;COUNT(Output!$B$35:C$35),Calculations!$B23,IF(Calculations!$E23=COUNT(Output!$B$35:C$35),Inputs!$B56-Calculations!$C23*(Calculations!$E23-1)+Calculations!$D23,0))</f>
        <v>1655.464480874317</v>
      </c>
      <c r="D83" s="46">
        <f>IF(Calculations!$E23&gt;COUNT(Output!$B$35:D$35),Calculations!$B23,IF(Calculations!$E23=COUNT(Output!$B$35:D$35),Inputs!$B56-Calculations!$C23*(Calculations!$E23-1)+Calculations!$D23,0))</f>
        <v>1655.464480874317</v>
      </c>
      <c r="E83" s="46">
        <f>IF(Calculations!$E23&gt;COUNT(Output!$B$35:E$35),Calculations!$B23,IF(Calculations!$E23=COUNT(Output!$B$35:E$35),Inputs!$B56-Calculations!$C23*(Calculations!$E23-1)+Calculations!$D23,0))</f>
        <v>1655.464480874317</v>
      </c>
      <c r="F83" s="46">
        <f>IF(Calculations!$E23&gt;COUNT(Output!$B$35:F$35),Calculations!$B23,IF(Calculations!$E23=COUNT(Output!$B$35:F$35),Inputs!$B56-Calculations!$C23*(Calculations!$E23-1)+Calculations!$D23,0))</f>
        <v>1655.464480874317</v>
      </c>
      <c r="G83" s="46">
        <f>IF(Calculations!$E23&gt;COUNT(Output!$B$35:G$35),Calculations!$B23,IF(Calculations!$E23=COUNT(Output!$B$35:G$35),Inputs!$B56-Calculations!$C23*(Calculations!$E23-1)+Calculations!$D23,0))</f>
        <v>1655.464480874317</v>
      </c>
      <c r="H83" s="46">
        <f>IF(Calculations!$E23&gt;COUNT(Output!$B$35:H$35),Calculations!$B23,IF(Calculations!$E23=COUNT(Output!$B$35:H$35),Inputs!$B56-Calculations!$C23*(Calculations!$E23-1)+Calculations!$D23,0))</f>
        <v>1655.464480874317</v>
      </c>
      <c r="I83" s="46">
        <f>IF(Calculations!$E23&gt;COUNT(Output!$B$35:I$35),Calculations!$B23,IF(Calculations!$E23=COUNT(Output!$B$35:I$35),Inputs!$B56-Calculations!$C23*(Calculations!$E23-1)+Calculations!$D23,0))</f>
        <v>1655.464480874317</v>
      </c>
      <c r="J83" s="46">
        <f>IF(Calculations!$E23&gt;COUNT(Output!$B$35:J$35),Calculations!$B23,IF(Calculations!$E23=COUNT(Output!$B$35:J$35),Inputs!$B56-Calculations!$C23*(Calculations!$E23-1)+Calculations!$D23,0))</f>
        <v>1655.464480874317</v>
      </c>
      <c r="K83" s="46">
        <f>IF(Calculations!$E23&gt;COUNT(Output!$B$35:K$35),Calculations!$B23,IF(Calculations!$E23=COUNT(Output!$B$35:K$35),Inputs!$B56-Calculations!$C23*(Calculations!$E23-1)+Calculations!$D23,0))</f>
        <v>1655.464480874317</v>
      </c>
      <c r="L83" s="46">
        <f>IF(Calculations!$E23&gt;COUNT(Output!$B$35:L$35),Calculations!$B23,IF(Calculations!$E23=COUNT(Output!$B$35:L$35),Inputs!$B56-Calculations!$C23*(Calculations!$E23-1)+Calculations!$D23,0))</f>
        <v>1655.464480874317</v>
      </c>
      <c r="M83" s="46">
        <f>IF(Calculations!$E23&gt;COUNT(Output!$B$35:M$35),Calculations!$B23,IF(Calculations!$E23=COUNT(Output!$B$35:M$35),Inputs!$B56-Calculations!$C23*(Calculations!$E23-1)+Calculations!$D23,0))</f>
        <v>1655.464480874317</v>
      </c>
      <c r="N83" s="46">
        <f>IF(Calculations!$E23&gt;COUNT(Output!$B$35:N$35),Calculations!$B23,IF(Calculations!$E23=COUNT(Output!$B$35:N$35),Inputs!$B56-Calculations!$C23*(Calculations!$E23-1)+Calculations!$D23,0))</f>
        <v>1655.464480874317</v>
      </c>
      <c r="O83" s="46">
        <f>IF(Calculations!$E23&gt;COUNT(Output!$B$35:O$35),Calculations!$B23,IF(Calculations!$E23=COUNT(Output!$B$35:O$35),Inputs!$B56-Calculations!$C23*(Calculations!$E23-1)+Calculations!$D23,0))</f>
        <v>1655.464480874317</v>
      </c>
      <c r="P83" s="46">
        <f>IF(Calculations!$E23&gt;COUNT(Output!$B$35:P$35),Calculations!$B23,IF(Calculations!$E23=COUNT(Output!$B$35:P$35),Inputs!$B56-Calculations!$C23*(Calculations!$E23-1)+Calculations!$D23,0))</f>
        <v>1655.464480874317</v>
      </c>
      <c r="Q83" s="46">
        <f>IF(Calculations!$E23&gt;COUNT(Output!$B$35:Q$35),Calculations!$B23,IF(Calculations!$E23=COUNT(Output!$B$35:Q$35),Inputs!$B56-Calculations!$C23*(Calculations!$E23-1)+Calculations!$D23,0))</f>
        <v>1655.464480874317</v>
      </c>
      <c r="R83" s="46">
        <f>IF(Calculations!$E23&gt;COUNT(Output!$B$35:R$35),Calculations!$B23,IF(Calculations!$E23=COUNT(Output!$B$35:R$35),Inputs!$B56-Calculations!$C23*(Calculations!$E23-1)+Calculations!$D23,0))</f>
        <v>1655.464480874317</v>
      </c>
      <c r="S83" s="46">
        <f>IF(Calculations!$E23&gt;COUNT(Output!$B$35:S$35),Calculations!$B23,IF(Calculations!$E23=COUNT(Output!$B$35:S$35),Inputs!$B56-Calculations!$C23*(Calculations!$E23-1)+Calculations!$D23,0))</f>
        <v>1655.464480874317</v>
      </c>
      <c r="T83" s="46">
        <f>IF(Calculations!$E23&gt;COUNT(Output!$B$35:T$35),Calculations!$B23,IF(Calculations!$E23=COUNT(Output!$B$35:T$35),Inputs!$B56-Calculations!$C23*(Calculations!$E23-1)+Calculations!$D23,0))</f>
        <v>1655.464480874317</v>
      </c>
      <c r="U83" s="46">
        <f>IF(Calculations!$E23&gt;COUNT(Output!$B$35:U$35),Calculations!$B23,IF(Calculations!$E23=COUNT(Output!$B$35:U$35),Inputs!$B56-Calculations!$C23*(Calculations!$E23-1)+Calculations!$D23,0))</f>
        <v>1655.464480874317</v>
      </c>
      <c r="V83" s="46">
        <f>IF(Calculations!$E23&gt;COUNT(Output!$B$35:V$35),Calculations!$B23,IF(Calculations!$E23=COUNT(Output!$B$35:V$35),Inputs!$B56-Calculations!$C23*(Calculations!$E23-1)+Calculations!$D23,0))</f>
        <v>1655.464480874317</v>
      </c>
      <c r="W83" s="46">
        <f>IF(Calculations!$E23&gt;COUNT(Output!$B$35:W$35),Calculations!$B23,IF(Calculations!$E23=COUNT(Output!$B$35:W$35),Inputs!$B56-Calculations!$C23*(Calculations!$E23-1)+Calculations!$D23,0))</f>
        <v>1655.464480874317</v>
      </c>
      <c r="X83" s="46">
        <f>IF(Calculations!$E23&gt;COUNT(Output!$B$35:X$35),Calculations!$B23,IF(Calculations!$E23=COUNT(Output!$B$35:X$35),Inputs!$B56-Calculations!$C23*(Calculations!$E23-1)+Calculations!$D23,0))</f>
        <v>1655.464480874317</v>
      </c>
      <c r="Y83" s="46">
        <f>IF(Calculations!$E23&gt;COUNT(Output!$B$35:Y$35),Calculations!$B23,IF(Calculations!$E23=COUNT(Output!$B$35:Y$35),Inputs!$B56-Calculations!$C23*(Calculations!$E23-1)+Calculations!$D23,0))</f>
        <v>1655.464480874317</v>
      </c>
      <c r="Z83" s="46">
        <f>SUMIF($B$13:$Y$13,"Yes",B83:Y83)</f>
        <v>21521.03825136613</v>
      </c>
      <c r="AA83" s="46">
        <f>SUM(B83:M83)</f>
        <v>19865.57377049181</v>
      </c>
      <c r="AB83" s="46">
        <f>SUM(B83:Y83)</f>
        <v>39731.14754098362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35144.77275155101</v>
      </c>
      <c r="C88" s="19">
        <f>SUM(C72:C82,C66,C60,C54,C48,C42,C36)</f>
        <v>35144.77275155101</v>
      </c>
      <c r="D88" s="19">
        <f>SUM(D72:D82,D66,D60,D54,D48,D42,D36)</f>
        <v>35144.77275155101</v>
      </c>
      <c r="E88" s="19">
        <f>SUM(E72:E82,E66,E60,E54,E48,E42,E36)</f>
        <v>35144.77275155101</v>
      </c>
      <c r="F88" s="19">
        <f>SUM(F72:F82,F66,F60,F54,F48,F42,F36)</f>
        <v>35144.77275155101</v>
      </c>
      <c r="G88" s="19">
        <f>SUM(G72:G82,G66,G60,G54,G48,G42,G36)</f>
        <v>35144.77275155101</v>
      </c>
      <c r="H88" s="19">
        <f>SUM(H72:H82,H66,H60,H54,H48,H42,H36)</f>
        <v>35144.77275155101</v>
      </c>
      <c r="I88" s="19">
        <f>SUM(I72:I82,I66,I60,I54,I48,I42,I36)</f>
        <v>35144.77275155101</v>
      </c>
      <c r="J88" s="19">
        <f>SUM(J72:J82,J66,J60,J54,J48,J42,J36)</f>
        <v>35144.77275155101</v>
      </c>
      <c r="K88" s="19">
        <f>SUM(K72:K82,K66,K60,K54,K48,K42,K36)</f>
        <v>35144.77275155101</v>
      </c>
      <c r="L88" s="19">
        <f>SUM(L72:L82,L66,L60,L54,L48,L42,L36)</f>
        <v>35144.77275155101</v>
      </c>
      <c r="M88" s="19">
        <f>SUM(M72:M82,M66,M60,M54,M48,M42,M36)</f>
        <v>35144.77275155101</v>
      </c>
      <c r="N88" s="19">
        <f>SUM(N72:N82,N66,N60,N54,N48,N42,N36)</f>
        <v>35144.77275155101</v>
      </c>
      <c r="O88" s="19">
        <f>SUM(O72:O82,O66,O60,O54,O48,O42,O36)</f>
        <v>35144.77275155101</v>
      </c>
      <c r="P88" s="19">
        <f>SUM(P72:P82,P66,P60,P54,P48,P42,P36)</f>
        <v>35144.77275155101</v>
      </c>
      <c r="Q88" s="19">
        <f>SUM(Q72:Q82,Q66,Q60,Q54,Q48,Q42,Q36)</f>
        <v>35144.77275155101</v>
      </c>
      <c r="R88" s="19">
        <f>SUM(R72:R82,R66,R60,R54,R48,R42,R36)</f>
        <v>35144.77275155101</v>
      </c>
      <c r="S88" s="19">
        <f>SUM(S72:S82,S66,S60,S54,S48,S42,S36)</f>
        <v>35144.77275155101</v>
      </c>
      <c r="T88" s="19">
        <f>SUM(T72:T82,T66,T60,T54,T48,T42,T36)</f>
        <v>35144.77275155101</v>
      </c>
      <c r="U88" s="19">
        <f>SUM(U72:U82,U66,U60,U54,U48,U42,U36)</f>
        <v>35144.77275155101</v>
      </c>
      <c r="V88" s="19">
        <f>SUM(V72:V82,V66,V60,V54,V48,V42,V36)</f>
        <v>35144.77275155101</v>
      </c>
      <c r="W88" s="19">
        <f>SUM(W72:W82,W66,W60,W54,W48,W42,W36)</f>
        <v>35144.77275155101</v>
      </c>
      <c r="X88" s="19">
        <f>SUM(X72:X82,X66,X60,X54,X48,X42,X36)</f>
        <v>35144.77275155101</v>
      </c>
      <c r="Y88" s="19">
        <f>SUM(Y72:Y82,Y66,Y60,Y54,Y48,Y42,Y36)</f>
        <v>35144.77275155101</v>
      </c>
      <c r="Z88" s="19">
        <f>SUMIF($B$13:$Y$13,"Yes",B88:Y88)</f>
        <v>456882.0457701631</v>
      </c>
      <c r="AA88" s="19">
        <f>SUM(B88:M88)</f>
        <v>421737.2730186121</v>
      </c>
      <c r="AB88" s="19">
        <f>SUM(B88:Y88)</f>
        <v>843474.5460372241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300000</v>
      </c>
    </row>
    <row r="95" spans="1:30">
      <c r="A95" t="s">
        <v>61</v>
      </c>
      <c r="B95" s="36">
        <f>Inputs!B47</f>
        <v>50000</v>
      </c>
    </row>
    <row r="96" spans="1:30">
      <c r="A96" t="s">
        <v>62</v>
      </c>
      <c r="B96" s="36">
        <f>SUMPRODUCT(Inputs!C19:C21,Calculations!O14:O16)</f>
        <v>45000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500000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150000</v>
      </c>
    </row>
    <row r="101" spans="1:30" customHeight="1" ht="15.75">
      <c r="A101" s="1" t="s">
        <v>67</v>
      </c>
      <c r="B101" s="19">
        <f>SUM(B94:B100)</f>
        <v>1045000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25000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100</v>
      </c>
      <c r="D19" s="145">
        <v>80</v>
      </c>
      <c r="E19" s="20"/>
      <c r="F19" s="145" t="s">
        <v>103</v>
      </c>
      <c r="G19" s="20"/>
      <c r="H19" s="20"/>
      <c r="I19" s="145" t="s">
        <v>104</v>
      </c>
      <c r="J19" s="145">
        <v>20</v>
      </c>
      <c r="K19" s="145">
        <v>10</v>
      </c>
      <c r="L19" s="25">
        <v>1</v>
      </c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10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40000</v>
      </c>
    </row>
    <row r="31" spans="1:48">
      <c r="A31" s="5" t="s">
        <v>111</v>
      </c>
      <c r="B31" s="158">
        <v>20000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119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119</v>
      </c>
    </row>
    <row r="45" spans="1:48">
      <c r="A45" s="56" t="s">
        <v>125</v>
      </c>
      <c r="B45" s="161">
        <v>500000</v>
      </c>
    </row>
    <row r="46" spans="1:48" customHeight="1" ht="30">
      <c r="A46" s="57" t="s">
        <v>126</v>
      </c>
      <c r="B46" s="161">
        <v>0</v>
      </c>
    </row>
    <row r="47" spans="1:48" customHeight="1" ht="30">
      <c r="A47" s="57" t="s">
        <v>127</v>
      </c>
      <c r="B47" s="161">
        <v>50000</v>
      </c>
    </row>
    <row r="48" spans="1:48" customHeight="1" ht="30">
      <c r="A48" s="57" t="s">
        <v>128</v>
      </c>
      <c r="B48" s="161">
        <v>150000</v>
      </c>
    </row>
    <row r="49" spans="1:48" customHeight="1" ht="30">
      <c r="A49" s="57" t="s">
        <v>129</v>
      </c>
      <c r="B49" s="161">
        <v>300000</v>
      </c>
    </row>
    <row r="50" spans="1:48">
      <c r="A50" s="43"/>
      <c r="B50" s="36"/>
    </row>
    <row r="51" spans="1:48">
      <c r="A51" s="58" t="s">
        <v>130</v>
      </c>
      <c r="B51" s="161">
        <v>20000</v>
      </c>
    </row>
    <row r="52" spans="1:48">
      <c r="A52" s="43"/>
    </row>
    <row r="53" spans="1:48">
      <c r="A53" s="3" t="s">
        <v>131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132</v>
      </c>
      <c r="B55" s="10" t="s">
        <v>133</v>
      </c>
      <c r="C55" s="10" t="s">
        <v>134</v>
      </c>
      <c r="D55" s="10" t="s">
        <v>135</v>
      </c>
      <c r="E55" s="10" t="s">
        <v>136</v>
      </c>
      <c r="F55" s="10" t="s">
        <v>137</v>
      </c>
    </row>
    <row r="56" spans="1:48">
      <c r="A56" s="159">
        <v>40000</v>
      </c>
      <c r="B56" s="159">
        <v>25000</v>
      </c>
      <c r="C56" s="162" t="s">
        <v>138</v>
      </c>
      <c r="D56" s="163">
        <v>7000</v>
      </c>
      <c r="E56" s="163" t="s">
        <v>119</v>
      </c>
      <c r="F56" s="163" t="s">
        <v>139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141</v>
      </c>
      <c r="C65" s="10" t="s">
        <v>142</v>
      </c>
    </row>
    <row r="66" spans="1:48">
      <c r="A66" s="142" t="s">
        <v>143</v>
      </c>
      <c r="B66" s="159">
        <v>50000</v>
      </c>
      <c r="C66" s="163">
        <v>20000</v>
      </c>
      <c r="D66" s="49">
        <f>INDEX(Parameters!$D$79:$D$90,MATCH(Inputs!A66,Parameters!$C$79:$C$90,0))</f>
        <v>1</v>
      </c>
    </row>
    <row r="67" spans="1:48">
      <c r="A67" s="143" t="s">
        <v>144</v>
      </c>
      <c r="B67" s="157">
        <v>30000</v>
      </c>
      <c r="C67" s="165">
        <v>15000</v>
      </c>
      <c r="D67" s="49">
        <f>INDEX(Parameters!$D$79:$D$90,MATCH(Inputs!A67,Parameters!$C$79:$C$90,0))</f>
        <v>2</v>
      </c>
    </row>
    <row r="68" spans="1:48">
      <c r="A68" s="143" t="s">
        <v>145</v>
      </c>
      <c r="B68" s="157">
        <v>45000</v>
      </c>
      <c r="C68" s="165">
        <v>20000</v>
      </c>
      <c r="D68" s="49">
        <f>INDEX(Parameters!$D$79:$D$90,MATCH(Inputs!A68,Parameters!$C$79:$C$90,0))</f>
        <v>3</v>
      </c>
    </row>
    <row r="69" spans="1:48">
      <c r="A69" s="143" t="s">
        <v>146</v>
      </c>
      <c r="B69" s="157">
        <v>40000</v>
      </c>
      <c r="C69" s="165">
        <v>15500</v>
      </c>
      <c r="D69" s="49">
        <f>INDEX(Parameters!$D$79:$D$90,MATCH(Inputs!A69,Parameters!$C$79:$C$90,0))</f>
        <v>4</v>
      </c>
    </row>
    <row r="70" spans="1:48">
      <c r="A70" s="143" t="s">
        <v>147</v>
      </c>
      <c r="B70" s="157">
        <v>45000</v>
      </c>
      <c r="C70" s="165">
        <v>25000</v>
      </c>
      <c r="D70" s="49">
        <f>INDEX(Parameters!$D$79:$D$90,MATCH(Inputs!A70,Parameters!$C$79:$C$90,0))</f>
        <v>5</v>
      </c>
    </row>
    <row r="71" spans="1:48">
      <c r="A71" s="144" t="s">
        <v>148</v>
      </c>
      <c r="B71" s="158">
        <v>40000</v>
      </c>
      <c r="C71" s="167">
        <v>20000</v>
      </c>
      <c r="D71" s="49">
        <f>INDEX(Parameters!$D$79:$D$90,MATCH(Inputs!A71,Parameters!$C$79:$C$90,0))</f>
        <v>6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4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100000</v>
      </c>
    </row>
    <row r="82" spans="1:48">
      <c r="A82" t="s">
        <v>158</v>
      </c>
      <c r="B82" s="161">
        <v>18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>
        <v>5</v>
      </c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/>
      </c>
      <c r="P4" s="22" t="str">
        <f>IFERROR(INDEX(Parameters!$A$3:$V$17,MATCH(Calculations!$A4,Parameters!$A$3:$A$17,0),MATCH($P$3,Parameters!$A$3:$V$3,0)),0)</f>
        <v/>
      </c>
      <c r="Q4" s="33">
        <f>M4*O4*(1-N4)*MAX(S4,1)</f>
        <v>0</v>
      </c>
      <c r="R4" s="22" t="str">
        <f>IFERROR(INDEX(Parameters!$A$3:$V$17,MATCH(Calculations!$A4,Parameters!$A$3:$A$17,0),MATCH($R$3,Parameters!$A$3:$V$3,0)),0)</f>
        <v/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90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46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100</v>
      </c>
      <c r="E14" s="16">
        <f>Inputs!D19</f>
        <v>80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0.2</v>
      </c>
      <c r="N14" s="179">
        <f>Inputs!K19/100</f>
        <v>0.1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98357.89473684211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853.3333333333334</v>
      </c>
      <c r="S14" s="63">
        <f>IFERROR(D14*INDEX(Parameters!$A$22:$P$29,MATCH(Calculations!$A14,Parameters!$A$22:$A$29,0),MATCH(Parameters!$N$22,Parameters!$A$22:$P$22,0)),"")</f>
        <v>6860.902255639096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43221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17500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132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46">
      <c r="A23" s="75">
        <f>Inputs!A56</f>
        <v>40000</v>
      </c>
      <c r="B23" s="75">
        <f>SUM(C23:D23)</f>
        <v>1655.464480874317</v>
      </c>
      <c r="C23" s="75">
        <f>IF(Inputs!B56&gt;0,(Inputs!A56-Inputs!B56)/(DATE(YEAR(Inputs!$B$76),MONTH(Inputs!$B$76),DAY(Inputs!$B$76))-DATE(YEAR(Inputs!C56),MONTH(Inputs!C56),DAY(Inputs!C56)))*30,0)</f>
        <v>922.1311475409836</v>
      </c>
      <c r="D23" s="75">
        <f>IF(Inputs!B56&gt;0,Inputs!A56*0.22/12,0)</f>
        <v>733.3333333333334</v>
      </c>
      <c r="E23" s="75">
        <f>IFERROR(ROUNDUP(Inputs!B56/C23,0),0)</f>
        <v>28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 Thika</v>
      </c>
    </row>
    <row r="33" spans="1:46">
      <c r="A33">
        <v>1</v>
      </c>
      <c r="B33" s="128">
        <f>G34</f>
        <v>42751</v>
      </c>
      <c r="C33" s="27">
        <f>IF(B33&lt;&gt;"",IF(COUNT($A$33:A33)&lt;=$G$39,0,$G$41)+IF(COUNT($A$33:A33)&lt;=$G$40,0,$G$42),0)</f>
        <v>1500</v>
      </c>
      <c r="D33" s="170">
        <f>IFERROR(DATE(YEAR(B33),MONTH(B33),1)," ")</f>
        <v>42736</v>
      </c>
      <c r="F33" t="s">
        <v>154</v>
      </c>
      <c r="G33" s="128">
        <f>IF(Inputs!B79="","",DATE(YEAR(Inputs!B79),MONTH(Inputs!B79),DAY(Inputs!B79)))</f>
        <v>42720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42782</v>
      </c>
      <c r="C34" s="27">
        <f>IF(B34&lt;&gt;"",IF(COUNT($A$33:A34)&lt;=$G$39,0,$G$41)+IF(COUNT($A$33:A34)&lt;=$G$40,0,$G$42),0)</f>
        <v>1500</v>
      </c>
      <c r="D34" s="170">
        <f>IFERROR(DATE(YEAR(B34),MONTH(B34),1)," ")</f>
        <v>42767</v>
      </c>
      <c r="F34" t="s">
        <v>155</v>
      </c>
      <c r="G34" s="128">
        <f>IF(Inputs!B80="","",DATE(YEAR(Inputs!B80),MONTH(Inputs!B80),DAY(Inputs!B80)))</f>
        <v>42751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42810</v>
      </c>
      <c r="C35" s="27">
        <f>IF(B35&lt;&gt;"",IF(COUNT($A$33:A35)&lt;=$G$39,0,$G$41)+IF(COUNT($A$33:A35)&lt;=$G$40,0,$G$42),0)</f>
        <v>1500</v>
      </c>
      <c r="D35" s="170">
        <f>IFERROR(DATE(YEAR(B35),MONTH(B35),1)," ")</f>
        <v>42795</v>
      </c>
      <c r="F35" t="s">
        <v>157</v>
      </c>
      <c r="G35" s="27">
        <f>Inputs!B81</f>
        <v>100000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42841</v>
      </c>
      <c r="C36" s="27">
        <f>IF(B36&lt;&gt;"",IF(COUNT($A$33:A36)&lt;=$G$39,0,$G$41)+IF(COUNT($A$33:A36)&lt;=$G$40,0,$G$42),0)</f>
        <v>1500</v>
      </c>
      <c r="D36" s="170">
        <f>IFERROR(DATE(YEAR(B36),MONTH(B36),1)," ")</f>
        <v>42826</v>
      </c>
      <c r="F36" t="s">
        <v>158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42871</v>
      </c>
      <c r="C37" s="27">
        <f>IF(B37&lt;&gt;"",IF(COUNT($A$33:A37)&lt;=$G$39,0,$G$41)+IF(COUNT($A$33:A37)&lt;=$G$40,0,$G$42),0)</f>
        <v>1500</v>
      </c>
      <c r="D37" s="170">
        <f>IFERROR(DATE(YEAR(B37),MONTH(B37),1)," ")</f>
        <v>42856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42902</v>
      </c>
      <c r="C38" s="27">
        <f>IF(B38&lt;&gt;"",IF(COUNT($A$33:A38)&lt;=$G$39,0,$G$41)+IF(COUNT($A$33:A38)&lt;=$G$40,0,$G$42),0)</f>
        <v>15785.71428571429</v>
      </c>
      <c r="D38" s="170">
        <f>IFERROR(DATE(YEAR(B38),MONTH(B38),1)," ")</f>
        <v>42887</v>
      </c>
      <c r="F38" t="s">
        <v>220</v>
      </c>
      <c r="G38" s="27">
        <f>IFERROR(Inputs!B85/Inputs!B84,"")</f>
        <v>12</v>
      </c>
    </row>
    <row r="39" spans="1:46">
      <c r="A39">
        <f>A38+1</f>
        <v>7</v>
      </c>
      <c r="B39" s="128">
        <f>IFERROR(IF(COUNT($A$33:A39)&lt;=$G$38,IF($G$37="Monthly",DATE(YEAR(B38),MONTH(B38)+1,MIN(DAY(B38),28)),B38+14),""),"")</f>
        <v>42932</v>
      </c>
      <c r="C39" s="27">
        <f>IF(B39&lt;&gt;"",IF(COUNT($A$33:A39)&lt;=$G$39,0,$G$41)+IF(COUNT($A$33:A39)&lt;=$G$40,0,$G$42),0)</f>
        <v>15785.71428571429</v>
      </c>
      <c r="D39" s="170">
        <f>IFERROR(DATE(YEAR(B39),MONTH(B39),1)," ")</f>
        <v>42917</v>
      </c>
      <c r="F39" t="s">
        <v>163</v>
      </c>
      <c r="G39" s="27">
        <f>IF(Inputs!B86="",0,Inputs!B86)</f>
        <v>5</v>
      </c>
    </row>
    <row r="40" spans="1:46">
      <c r="A40">
        <f>A39+1</f>
        <v>8</v>
      </c>
      <c r="B40" s="128">
        <f>IFERROR(IF(COUNT($A$33:A40)&lt;=$G$38,IF($G$37="Monthly",DATE(YEAR(B39),MONTH(B39)+1,MIN(DAY(B39),28)),B39+14),""),"")</f>
        <v>42963</v>
      </c>
      <c r="C40" s="27">
        <f>IF(B40&lt;&gt;"",IF(COUNT($A$33:A40)&lt;=$G$39,0,$G$41)+IF(COUNT($A$33:A40)&lt;=$G$40,0,$G$42),0)</f>
        <v>15785.71428571429</v>
      </c>
      <c r="D40" s="170">
        <f>IFERROR(DATE(YEAR(B40),MONTH(B40),1)," ")</f>
        <v>42948</v>
      </c>
      <c r="F40" t="s">
        <v>164</v>
      </c>
      <c r="G40" s="27">
        <f>IF(Inputs!B87="",0,Inputs!B87)</f>
        <v>0</v>
      </c>
    </row>
    <row r="41" spans="1:46">
      <c r="A41">
        <f>A40+1</f>
        <v>9</v>
      </c>
      <c r="B41" s="128">
        <f>IFERROR(IF(COUNT($A$33:A41)&lt;=$G$38,IF($G$37="Monthly",DATE(YEAR(B40),MONTH(B40)+1,MIN(DAY(B40),28)),B40+14),""),"")</f>
        <v>42994</v>
      </c>
      <c r="C41" s="27">
        <f>IF(B41&lt;&gt;"",IF(COUNT($A$33:A41)&lt;=$G$39,0,$G$41)+IF(COUNT($A$33:A41)&lt;=$G$40,0,$G$42),0)</f>
        <v>15785.71428571429</v>
      </c>
      <c r="D41" s="170">
        <f>IFERROR(DATE(YEAR(B41),MONTH(B41),1)," ")</f>
        <v>42979</v>
      </c>
      <c r="F41" t="s">
        <v>221</v>
      </c>
      <c r="G41" s="73">
        <f>IFERROR(G35/(G38-G39),"")</f>
        <v>14285.71428571429</v>
      </c>
      <c r="H41" s="73"/>
    </row>
    <row r="42" spans="1:46">
      <c r="A42">
        <f>A41+1</f>
        <v>10</v>
      </c>
      <c r="B42" s="128">
        <f>IFERROR(IF(COUNT($A$33:A42)&lt;=$G$38,IF($G$37="Monthly",DATE(YEAR(B41),MONTH(B41)+1,MIN(DAY(B41),28)),B41+14),""),"")</f>
        <v>43024</v>
      </c>
      <c r="C42" s="27">
        <f>IF(B42&lt;&gt;"",IF(COUNT($A$33:A42)&lt;=$G$39,0,$G$41)+IF(COUNT($A$33:A42)&lt;=$G$40,0,$G$42),0)</f>
        <v>15785.71428571429</v>
      </c>
      <c r="D42" s="170">
        <f>IFERROR(DATE(YEAR(B42),MONTH(B42),1)," ")</f>
        <v>43009</v>
      </c>
      <c r="F42" t="s">
        <v>222</v>
      </c>
      <c r="G42" s="73">
        <f>IFERROR(G35*G36*IF(G37="Monthly",G38/12,IF(G37="Fortnightly",G38/(365/14),G38/(365/28)))/(G38-G40),"")</f>
        <v>1500</v>
      </c>
    </row>
    <row r="43" spans="1:46">
      <c r="A43">
        <f>A42+1</f>
        <v>11</v>
      </c>
      <c r="B43" s="128">
        <f>IFERROR(IF(COUNT($A$33:A43)&lt;=$G$38,IF($G$37="Monthly",DATE(YEAR(B42),MONTH(B42)+1,MIN(DAY(B42),28)),B42+14),""),"")</f>
        <v>43055</v>
      </c>
      <c r="C43" s="27">
        <f>IF(B43&lt;&gt;"",IF(COUNT($A$33:A43)&lt;=$G$39,0,$G$41)+IF(COUNT($A$33:A43)&lt;=$G$40,0,$G$42),0)</f>
        <v>15785.71428571429</v>
      </c>
      <c r="D43" s="170">
        <f>IFERROR(DATE(YEAR(B43),MONTH(B43),1)," ")</f>
        <v>43040</v>
      </c>
    </row>
    <row r="44" spans="1:46">
      <c r="A44">
        <f>A43+1</f>
        <v>12</v>
      </c>
      <c r="B44" s="128">
        <f>IFERROR(IF(COUNT($A$33:A44)&lt;=$G$38,IF($G$37="Monthly",DATE(YEAR(B43),MONTH(B43)+1,MIN(DAY(B43),28)),B43+14),""),"")</f>
        <v>43085</v>
      </c>
      <c r="C44" s="27">
        <f>IF(B44&lt;&gt;"",IF(COUNT($A$33:A44)&lt;=$G$39,0,$G$41)+IF(COUNT($A$33:A44)&lt;=$G$40,0,$G$42),0)</f>
        <v>15785.71428571429</v>
      </c>
      <c r="D44" s="170">
        <f>IFERROR(DATE(YEAR(B44),MONTH(B44),1)," ")</f>
        <v>43070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195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102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290</v>
      </c>
      <c r="B24" s="21" t="s">
        <v>291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295</v>
      </c>
      <c r="B26" s="16" t="s">
        <v>291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291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291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291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291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90</v>
      </c>
      <c r="B41" s="191" t="s">
        <v>103</v>
      </c>
      <c r="C41" s="191" t="s">
        <v>119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290</v>
      </c>
      <c r="B43" s="72">
        <v>450</v>
      </c>
      <c r="C43" s="72">
        <v>250</v>
      </c>
    </row>
    <row r="44" spans="1:36">
      <c r="A44" t="s">
        <v>292</v>
      </c>
      <c r="B44" s="72">
        <v>50000</v>
      </c>
      <c r="C44" s="72">
        <v>200000</v>
      </c>
    </row>
    <row r="45" spans="1:36">
      <c r="A45" t="s">
        <v>295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265</v>
      </c>
      <c r="E52" s="12" t="s">
        <v>265</v>
      </c>
      <c r="F52" s="12" t="s">
        <v>265</v>
      </c>
      <c r="G52" s="12" t="s">
        <v>309</v>
      </c>
      <c r="H52" s="12" t="s">
        <v>123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223</v>
      </c>
      <c r="E53" s="10" t="s">
        <v>182</v>
      </c>
      <c r="F53" s="10" t="s">
        <v>242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119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119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119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119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119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119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119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119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119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119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119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160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219</v>
      </c>
      <c r="J76" s="11" t="s">
        <v>343</v>
      </c>
      <c r="K76" s="11" t="s">
        <v>172</v>
      </c>
      <c r="AJ76" s="12"/>
    </row>
    <row r="77" spans="1:36">
      <c r="A77" t="s">
        <v>119</v>
      </c>
      <c r="B77" s="176">
        <v>0</v>
      </c>
      <c r="C77" s="12" t="s">
        <v>344</v>
      </c>
      <c r="E77" s="12" t="s">
        <v>103</v>
      </c>
      <c r="F77" s="12" t="s">
        <v>103</v>
      </c>
      <c r="G77" s="12" t="s">
        <v>345</v>
      </c>
      <c r="H77" s="12" t="s">
        <v>123</v>
      </c>
      <c r="I77" s="12" t="s">
        <v>346</v>
      </c>
      <c r="J77" s="136" t="s">
        <v>347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348</v>
      </c>
      <c r="D78" s="133"/>
      <c r="E78" s="12" t="s">
        <v>349</v>
      </c>
      <c r="F78" s="12" t="s">
        <v>350</v>
      </c>
      <c r="G78" s="12" t="s">
        <v>351</v>
      </c>
      <c r="H78" s="12" t="s">
        <v>310</v>
      </c>
      <c r="I78" s="12" t="s">
        <v>352</v>
      </c>
      <c r="J78" s="70" t="s">
        <v>353</v>
      </c>
      <c r="K78" s="12" t="s">
        <v>103</v>
      </c>
      <c r="AJ78" s="12"/>
    </row>
    <row r="79" spans="1:36">
      <c r="B79" s="176">
        <v>10</v>
      </c>
      <c r="C79" s="12" t="s">
        <v>143</v>
      </c>
      <c r="D79" s="12">
        <v>1</v>
      </c>
      <c r="E79" s="12" t="s">
        <v>354</v>
      </c>
      <c r="F79" s="12" t="s">
        <v>355</v>
      </c>
      <c r="G79" s="12" t="s">
        <v>104</v>
      </c>
      <c r="I79" s="12" t="s">
        <v>160</v>
      </c>
      <c r="J79" s="70" t="s">
        <v>356</v>
      </c>
      <c r="K79" s="12" t="s">
        <v>103</v>
      </c>
      <c r="AJ79" s="12"/>
    </row>
    <row r="80" spans="1:36">
      <c r="B80" s="176">
        <v>20</v>
      </c>
      <c r="C80" s="12" t="s">
        <v>144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119</v>
      </c>
      <c r="AJ80" s="12"/>
    </row>
    <row r="81" spans="1:36">
      <c r="B81" s="176">
        <v>30</v>
      </c>
      <c r="C81" s="12" t="s">
        <v>145</v>
      </c>
      <c r="D81" s="12">
        <f>D80+1</f>
        <v>3</v>
      </c>
      <c r="J81" s="70" t="s">
        <v>360</v>
      </c>
      <c r="K81" s="12" t="s">
        <v>119</v>
      </c>
    </row>
    <row r="82" spans="1:36">
      <c r="B82" s="176">
        <v>40</v>
      </c>
      <c r="C82" s="12" t="s">
        <v>146</v>
      </c>
      <c r="D82" s="12">
        <f>D81+1</f>
        <v>4</v>
      </c>
      <c r="J82" s="70"/>
    </row>
    <row r="83" spans="1:36">
      <c r="B83" s="176">
        <v>50</v>
      </c>
      <c r="C83" s="12" t="s">
        <v>147</v>
      </c>
      <c r="D83" s="12">
        <f>D82+1</f>
        <v>5</v>
      </c>
    </row>
    <row r="84" spans="1:36">
      <c r="B84" s="176">
        <v>60</v>
      </c>
      <c r="C84" s="12" t="s">
        <v>148</v>
      </c>
      <c r="D84" s="12">
        <f>D83+1</f>
        <v>6</v>
      </c>
    </row>
    <row r="85" spans="1:36">
      <c r="B85" s="176">
        <v>70</v>
      </c>
      <c r="C85" s="12" t="s">
        <v>361</v>
      </c>
      <c r="D85" s="12">
        <f>D84+1</f>
        <v>7</v>
      </c>
    </row>
    <row r="86" spans="1:36">
      <c r="B86" s="176">
        <v>80</v>
      </c>
      <c r="C86" s="12" t="s">
        <v>362</v>
      </c>
      <c r="D86" s="12">
        <f>D85+1</f>
        <v>8</v>
      </c>
    </row>
    <row r="87" spans="1:36">
      <c r="B87" s="176">
        <v>89.99999999999999</v>
      </c>
      <c r="C87" s="12" t="s">
        <v>363</v>
      </c>
      <c r="D87" s="12">
        <f>D86+1</f>
        <v>9</v>
      </c>
    </row>
    <row r="88" spans="1:36">
      <c r="B88" s="176">
        <v>99.99999999999999</v>
      </c>
      <c r="C88" s="12" t="s">
        <v>364</v>
      </c>
      <c r="D88" s="12">
        <f>D87+1</f>
        <v>10</v>
      </c>
    </row>
    <row r="89" spans="1:36">
      <c r="C89" s="12" t="s">
        <v>365</v>
      </c>
      <c r="D89" s="12">
        <f>D88+1</f>
        <v>11</v>
      </c>
    </row>
    <row r="90" spans="1:36">
      <c r="C90" s="12" t="s">
        <v>366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