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<sst xmlns="http://schemas.openxmlformats.org/spreadsheetml/2006/main" uniqueCount="367">
  <si>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</si>
  <si>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</si>
  <si>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</si>
  <si>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</si>
  <si>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</si>
  <si>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</si>
  <si>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</si>
  <si>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</si>
  <si>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</si>
  <si>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</si>
  <si>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</si>
  <si>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</si>
  <si>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</si>
  <si>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</si>
  <si>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</si>
  <si>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</si>
  <si>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</si>
  <si>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</si>
  <si>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</si>
  <si>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</si>
  <si>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</si>
  <si>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</si>
  <si>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</si>
  <si>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</si>
  <si>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</si>
  <si>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</si>
  <si>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</si>
  <si>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</si>
  <si>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</si>
  <si>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</si>
  <si>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</si>
  <si>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</si>
  <si>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</si>
  <si>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</si>
  <si>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</si>
  <si>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</si>
  <si>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</si>
  <si>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</si>
  <si>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</si>
  <si>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</si>
  <si>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</si>
  <si>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</si>
  <si>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</si>
  <si>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</si>
  <si>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</si>
  <si>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</si>
  <si>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</si>
  <si>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</si>
  <si>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</si>
  <si>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</si>
  <si>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</si>
  <si>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</si>
  <si>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</si>
  <si>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</si>
  <si>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</si>
  <si>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</si>
  <si>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</si>
  <si>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</si>
  <si>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</si>
  <si>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</si>
  <si>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</si>
  <si>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</si>
  <si>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</si>
  <si>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</si>
  <si>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</si>
  <si>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</si>
  <si>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</si>
  <si>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</si>
  <si>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</si>
  <si>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</si>
  <si>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</si>
  <si>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</si>
  <si>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</si>
  <si>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</si>
  <si>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</si>
  <si>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</si>
  <si>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</si>
  <si>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</si>
  <si>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</si>
  <si>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</si>
  <si>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</si>
  <si>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</si>
  <si>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</si>
  <si>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</si>
  <si>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</si>
  <si>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</si>
  <si>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</si>
  <si>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</si>
  <si>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</si>
  <si>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</si>
  <si>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</si>
  <si>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</si>
  <si>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Yes</t>
  </si>
  <si>
    <t>Yes using a diesel pump</t>
  </si>
  <si>
    <t>January</t>
  </si>
  <si>
    <t>Mangoes</t>
  </si>
  <si>
    <t>Yes both manure and inorganic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</si>
  <si>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</si>
  <si>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</si>
  <si>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</si>
  <si>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</si>
  <si>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</si>
  <si>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</si>
  <si>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</si>
  <si>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</si>
  <si>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</si>
  <si>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</si>
  <si>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</si>
  <si>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</si>
  <si>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</si>
  <si>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</si>
  <si>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</si>
  <si>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</si>
  <si>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</si>
  <si>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</si>
  <si>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</si>
  <si>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</si>
  <si>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</si>
  <si>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 housee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</si>
  <si>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</si>
  <si>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</si>
  <si>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</si>
  <si>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</si>
  <si>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</si>
  <si>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</si>
  <si>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</si>
  <si>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</si>
  <si>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</si>
  <si>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</si>
  <si>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</si>
  <si>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</si>
  <si>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</si>
  <si>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</si>
  <si>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</si>
  <si>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</si>
  <si>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</si>
  <si>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</si>
  <si>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</si>
  <si>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</si>
  <si>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</si>
  <si>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</si>
  <si>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</si>
  <si>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</si>
  <si>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</si>
  <si>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</si>
  <si>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</si>
  <si>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8/12/2015</t>
  </si>
  <si>
    <t>KWFT</t>
  </si>
  <si>
    <t>No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</si>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</sst>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Mangoes,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Cows_beef, Chicken: sale of ex layers</v>
      </c>
    </row>
    <row r="8" spans="1:7">
      <c r="B8" s="1" t="s">
        <v>4</v>
      </c>
      <c r="C8" t="str">
        <f>IF(Inputs!B29="","None",Inputs!B29)</f>
        <v>Rental housee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0.7737950766456914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0.1773106805506303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253750</v>
      </c>
    </row>
    <row r="17" spans="1:7">
      <c r="B17" s="1" t="s">
        <v>11</v>
      </c>
      <c r="C17" s="36">
        <f>SUM(Output!B6:M6)</f>
        <v>191084.5313283207</v>
      </c>
    </row>
    <row r="18" spans="1:7">
      <c r="B18" s="1" t="s">
        <v>12</v>
      </c>
      <c r="C18" s="36">
        <f>MIN(Output!B6:M6)</f>
        <v>-721.4168040421937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17784.82205513784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-721.4168040421937</v>
      </c>
      <c r="C6" s="51">
        <f>C30-C88</f>
        <v>13957.72758098455</v>
      </c>
      <c r="D6" s="51">
        <f>D30-D88</f>
        <v>17784.82205513784</v>
      </c>
      <c r="E6" s="51">
        <f>E30-E88</f>
        <v>17784.82205513784</v>
      </c>
      <c r="F6" s="51">
        <f>F30-F88</f>
        <v>17784.82205513784</v>
      </c>
      <c r="G6" s="51">
        <f>G30-G88</f>
        <v>17784.82205513784</v>
      </c>
      <c r="H6" s="51">
        <f>H30-H88</f>
        <v>17784.82205513784</v>
      </c>
      <c r="I6" s="51">
        <f>I30-I88</f>
        <v>17784.82205513784</v>
      </c>
      <c r="J6" s="51">
        <f>J30-J88</f>
        <v>17784.82205513784</v>
      </c>
      <c r="K6" s="51">
        <f>K30-K88</f>
        <v>17784.82205513784</v>
      </c>
      <c r="L6" s="51">
        <f>L30-L88</f>
        <v>17784.82205513784</v>
      </c>
      <c r="M6" s="51">
        <f>M30-M88</f>
        <v>17784.82205513784</v>
      </c>
      <c r="N6" s="51">
        <f>N30-N88</f>
        <v>17784.82205513784</v>
      </c>
      <c r="O6" s="51">
        <f>O30-O88</f>
        <v>17784.82205513784</v>
      </c>
      <c r="P6" s="51">
        <f>P30-P88</f>
        <v>17784.82205513784</v>
      </c>
      <c r="Q6" s="51">
        <f>Q30-Q88</f>
        <v>17784.82205513784</v>
      </c>
      <c r="R6" s="51">
        <f>R30-R88</f>
        <v>22159.82205513784</v>
      </c>
      <c r="S6" s="51">
        <f>S30-S88</f>
        <v>17784.82205513784</v>
      </c>
      <c r="T6" s="51">
        <f>T30-T88</f>
        <v>17784.82205513784</v>
      </c>
      <c r="U6" s="51">
        <f>U30-U88</f>
        <v>17784.82205513784</v>
      </c>
      <c r="V6" s="51">
        <f>V30-V88</f>
        <v>17784.82205513784</v>
      </c>
      <c r="W6" s="51">
        <f>W30-W88</f>
        <v>17784.82205513784</v>
      </c>
      <c r="X6" s="51">
        <f>X30-X88</f>
        <v>17784.82205513784</v>
      </c>
      <c r="Y6" s="51">
        <f>Y30-Y88</f>
        <v>17784.82205513784</v>
      </c>
      <c r="Z6" s="51">
        <f>SUMIF($B$13:$Y$13,"Yes",B6:Y6)</f>
        <v>102160.4210526315</v>
      </c>
      <c r="AA6" s="51">
        <f>AA30-AA88</f>
        <v>191084.5313283207</v>
      </c>
      <c r="AB6" s="51">
        <f>AB30-AB88</f>
        <v>408877.3959899757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-204800</v>
      </c>
      <c r="D7" s="80">
        <f>IF(ISERROR(VLOOKUP(MONTH(D5),Inputs!$D$66:$D$71,1,0)),"",INDEX(Inputs!$B$66:$B$71,MATCH(MONTH(Output!D5),Inputs!$D$66:$D$71,0))-INDEX(Inputs!$C$66:$C$71,MATCH(MONTH(Output!D5),Inputs!$D$66:$D$71,0)))</f>
        <v>3746</v>
      </c>
      <c r="E7" s="80">
        <f>IF(ISERROR(VLOOKUP(MONTH(E5),Inputs!$D$66:$D$71,1,0)),"",INDEX(Inputs!$B$66:$B$71,MATCH(MONTH(Output!E5),Inputs!$D$66:$D$71,0))-INDEX(Inputs!$C$66:$C$71,MATCH(MONTH(Output!E5),Inputs!$D$66:$D$71,0)))</f>
        <v>-60000</v>
      </c>
      <c r="F7" s="80">
        <f>IF(ISERROR(VLOOKUP(MONTH(F5),Inputs!$D$66:$D$71,1,0)),"",INDEX(Inputs!$B$66:$B$71,MATCH(MONTH(Output!F5),Inputs!$D$66:$D$71,0))-INDEX(Inputs!$C$66:$C$71,MATCH(MONTH(Output!F5),Inputs!$D$66:$D$71,0)))</f>
        <v>0</v>
      </c>
      <c r="G7" s="80">
        <f>IF(ISERROR(VLOOKUP(MONTH(G5),Inputs!$D$66:$D$71,1,0)),"",INDEX(Inputs!$B$66:$B$71,MATCH(MONTH(Output!G5),Inputs!$D$66:$D$71,0))-INDEX(Inputs!$C$66:$C$71,MATCH(MONTH(Output!G5),Inputs!$D$66:$D$71,0)))</f>
        <v>242255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-204800</v>
      </c>
      <c r="P7" s="80">
        <f>IF(ISERROR(VLOOKUP(MONTH(P5),Inputs!$D$66:$D$71,1,0)),"",INDEX(Inputs!$B$66:$B$71,MATCH(MONTH(Output!P5),Inputs!$D$66:$D$71,0))-INDEX(Inputs!$C$66:$C$71,MATCH(MONTH(Output!P5),Inputs!$D$66:$D$71,0)))</f>
        <v>3746</v>
      </c>
      <c r="Q7" s="80">
        <f>IF(ISERROR(VLOOKUP(MONTH(Q5),Inputs!$D$66:$D$71,1,0)),"",INDEX(Inputs!$B$66:$B$71,MATCH(MONTH(Output!Q5),Inputs!$D$66:$D$71,0))-INDEX(Inputs!$C$66:$C$71,MATCH(MONTH(Output!Q5),Inputs!$D$66:$D$71,0)))</f>
        <v>-60000</v>
      </c>
      <c r="R7" s="80">
        <f>IF(ISERROR(VLOOKUP(MONTH(R5),Inputs!$D$66:$D$71,1,0)),"",INDEX(Inputs!$B$66:$B$71,MATCH(MONTH(Output!R5),Inputs!$D$66:$D$71,0))-INDEX(Inputs!$C$66:$C$71,MATCH(MONTH(Output!R5),Inputs!$D$66:$D$71,0)))</f>
        <v>0</v>
      </c>
      <c r="S7" s="80">
        <f>IF(ISERROR(VLOOKUP(MONTH(S5),Inputs!$D$66:$D$71,1,0)),"",INDEX(Inputs!$B$66:$B$71,MATCH(MONTH(Output!S5),Inputs!$D$66:$D$71,0))-INDEX(Inputs!$C$66:$C$71,MATCH(MONTH(Output!S5),Inputs!$D$66:$D$71,0)))</f>
        <v>242255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3750</v>
      </c>
      <c r="D10" s="37">
        <f>SUMPRODUCT((Calculations!$D$33:$D$84=Output!D5)+0,Calculations!$C$33:$C$84)</f>
        <v>3750</v>
      </c>
      <c r="E10" s="37">
        <f>SUMPRODUCT((Calculations!$D$33:$D$84=Output!E5)+0,Calculations!$C$33:$C$84)</f>
        <v>3750</v>
      </c>
      <c r="F10" s="37">
        <f>SUMPRODUCT((Calculations!$D$33:$D$84=Output!F5)+0,Calculations!$C$33:$C$84)</f>
        <v>3750</v>
      </c>
      <c r="G10" s="37">
        <f>SUMPRODUCT((Calculations!$D$33:$D$84=Output!G5)+0,Calculations!$C$33:$C$84)</f>
        <v>3750</v>
      </c>
      <c r="H10" s="37">
        <f>SUMPRODUCT((Calculations!$D$33:$D$84=Output!H5)+0,Calculations!$C$33:$C$84)</f>
        <v>253750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272500</v>
      </c>
      <c r="AA10" s="37">
        <f>SUM(B10:M10)</f>
        <v>272500</v>
      </c>
      <c r="AB10" s="37">
        <f>SUM(B10:Y10)</f>
        <v>272500</v>
      </c>
    </row>
    <row r="11" spans="1:30" customHeight="1" ht="15.75">
      <c r="A11" s="43" t="s">
        <v>31</v>
      </c>
      <c r="B11" s="80">
        <f>B6+B9-B10</f>
        <v>249278.5831959578</v>
      </c>
      <c r="C11" s="80">
        <f>C6+C9-C10</f>
        <v>10207.72758098455</v>
      </c>
      <c r="D11" s="80">
        <f>D6+D9-D10</f>
        <v>14034.82205513784</v>
      </c>
      <c r="E11" s="80">
        <f>E6+E9-E10</f>
        <v>14034.82205513784</v>
      </c>
      <c r="F11" s="80">
        <f>F6+F9-F10</f>
        <v>14034.82205513784</v>
      </c>
      <c r="G11" s="80">
        <f>G6+G9-G10</f>
        <v>14034.82205513784</v>
      </c>
      <c r="H11" s="80">
        <f>H6+H9-H10</f>
        <v>-235965.1779448622</v>
      </c>
      <c r="I11" s="80">
        <f>I6+I9-I10</f>
        <v>17784.82205513784</v>
      </c>
      <c r="J11" s="80">
        <f>J6+J9-J10</f>
        <v>17784.82205513784</v>
      </c>
      <c r="K11" s="80">
        <f>K6+K9-K10</f>
        <v>17784.82205513784</v>
      </c>
      <c r="L11" s="80">
        <f>L6+L9-L10</f>
        <v>17784.82205513784</v>
      </c>
      <c r="M11" s="80">
        <f>M6+M9-M10</f>
        <v>17784.82205513784</v>
      </c>
      <c r="N11" s="80">
        <f>N6+N9-N10</f>
        <v>17784.82205513784</v>
      </c>
      <c r="O11" s="80">
        <f>O6+O9-O10</f>
        <v>17784.82205513784</v>
      </c>
      <c r="P11" s="80">
        <f>P6+P9-P10</f>
        <v>17784.82205513784</v>
      </c>
      <c r="Q11" s="80">
        <f>Q6+Q9-Q10</f>
        <v>17784.82205513784</v>
      </c>
      <c r="R11" s="80">
        <f>R6+R9-R10</f>
        <v>22159.82205513784</v>
      </c>
      <c r="S11" s="80">
        <f>S6+S9-S10</f>
        <v>17784.82205513784</v>
      </c>
      <c r="T11" s="80">
        <f>T6+T9-T10</f>
        <v>17784.82205513784</v>
      </c>
      <c r="U11" s="80">
        <f>U6+U9-U10</f>
        <v>17784.82205513784</v>
      </c>
      <c r="V11" s="80">
        <f>V6+V9-V10</f>
        <v>17784.82205513784</v>
      </c>
      <c r="W11" s="80">
        <f>W6+W9-W10</f>
        <v>17784.82205513784</v>
      </c>
      <c r="X11" s="80">
        <f>X6+X9-X10</f>
        <v>17784.82205513784</v>
      </c>
      <c r="Y11" s="80">
        <f>Y6+Y9-Y10</f>
        <v>17784.82205513784</v>
      </c>
      <c r="Z11" s="85">
        <f>SUMIF($B$13:$Y$13,"Yes",B11:Y11)</f>
        <v>79660.42105263151</v>
      </c>
      <c r="AA11" s="80">
        <f>SUM(B11:M11)</f>
        <v>168584.5313283207</v>
      </c>
      <c r="AB11" s="46">
        <f>SUM(B11:Y11)</f>
        <v>386377.3959899747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0.01424575503634688</v>
      </c>
      <c r="D12" s="82">
        <f>IF(D13="Yes",IF(SUM($B$10:D10)/(SUM($B$6:D6)+SUM($B$9:D9))&lt;0,999.99,SUM($B$10:D10)/(SUM($B$6:D6)+SUM($B$9:D9))),"")</f>
        <v>0.02668838433756335</v>
      </c>
      <c r="E12" s="82">
        <f>IF(E13="Yes",IF(SUM($B$10:E10)/(SUM($B$6:E6)+SUM($B$9:E9))&lt;0,999.99,SUM($B$10:E10)/(SUM($B$6:E6)+SUM($B$9:E9))),"")</f>
        <v>0.03764985207288196</v>
      </c>
      <c r="F12" s="82">
        <f>IF(F13="Yes",IF(SUM($B$10:F10)/(SUM($B$6:F6)+SUM($B$9:F9))&lt;0,999.99,SUM($B$10:F10)/(SUM($B$6:F6)+SUM($B$9:F9))),"")</f>
        <v>0.04737977569931282</v>
      </c>
      <c r="G12" s="82">
        <f>IF(G13="Yes",IF(SUM($B$10:G10)/(SUM($B$6:G6)+SUM($B$9:G9))&lt;0,999.99,SUM($B$10:G10)/(SUM($B$6:G6)+SUM($B$9:G9))),"")</f>
        <v>0.05607466590329917</v>
      </c>
      <c r="H12" s="82">
        <f>IF(H13="Yes",IF(SUM($B$10:H10)/(SUM($B$6:H6)+SUM($B$9:H9))&lt;0,999.99,SUM($B$10:H10)/(SUM($B$6:H6)+SUM($B$9:H9))),"")</f>
        <v>0.7737950766456914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Mangoes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24430.45112781956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4375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4375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560000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80000</v>
      </c>
      <c r="C30" s="19">
        <f>SUM(C18:C29)</f>
        <v>80000</v>
      </c>
      <c r="D30" s="19">
        <f>SUM(D18:D29)</f>
        <v>80000</v>
      </c>
      <c r="E30" s="19">
        <f>SUM(E18:E29)</f>
        <v>80000</v>
      </c>
      <c r="F30" s="19">
        <f>SUM(F18:F29)</f>
        <v>80000</v>
      </c>
      <c r="G30" s="19">
        <f>SUM(G18:G29)</f>
        <v>80000</v>
      </c>
      <c r="H30" s="19">
        <f>SUM(H18:H29)</f>
        <v>80000</v>
      </c>
      <c r="I30" s="19">
        <f>SUM(I18:I29)</f>
        <v>80000</v>
      </c>
      <c r="J30" s="19">
        <f>SUM(J18:J29)</f>
        <v>80000</v>
      </c>
      <c r="K30" s="19">
        <f>SUM(K18:K29)</f>
        <v>80000</v>
      </c>
      <c r="L30" s="19">
        <f>SUM(L18:L29)</f>
        <v>80000</v>
      </c>
      <c r="M30" s="19">
        <f>SUM(M18:M29)</f>
        <v>80000</v>
      </c>
      <c r="N30" s="19">
        <f>SUM(N18:N29)</f>
        <v>80000</v>
      </c>
      <c r="O30" s="19">
        <f>SUM(O18:O29)</f>
        <v>80000</v>
      </c>
      <c r="P30" s="19">
        <f>SUM(P18:P29)</f>
        <v>80000</v>
      </c>
      <c r="Q30" s="19">
        <f>SUM(Q18:Q29)</f>
        <v>80000</v>
      </c>
      <c r="R30" s="19">
        <f>SUM(R18:R29)</f>
        <v>84375</v>
      </c>
      <c r="S30" s="19">
        <f>SUM(S18:S29)</f>
        <v>80000</v>
      </c>
      <c r="T30" s="19">
        <f>SUM(T18:T29)</f>
        <v>80000</v>
      </c>
      <c r="U30" s="19">
        <f>SUM(U18:U29)</f>
        <v>80000</v>
      </c>
      <c r="V30" s="19">
        <f>SUM(V18:V29)</f>
        <v>80000</v>
      </c>
      <c r="W30" s="19">
        <f>SUM(W18:W29)</f>
        <v>80000</v>
      </c>
      <c r="X30" s="19">
        <f>SUM(X18:X29)</f>
        <v>80000</v>
      </c>
      <c r="Y30" s="19">
        <f>SUM(Y18:Y29)</f>
        <v>80000</v>
      </c>
      <c r="Z30" s="19">
        <f>SUMIF($B$13:$Y$13,"Yes",B30:Y30)</f>
        <v>560000</v>
      </c>
      <c r="AA30" s="19">
        <f>SUM(B30:M30)</f>
        <v>960000</v>
      </c>
      <c r="AB30" s="19">
        <f>SUM(B30:Y30)</f>
        <v>1924375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Mangoes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Mangoes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Mangoes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Mangoes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Mangoes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Mangoes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23572.91666666667</v>
      </c>
      <c r="C74" s="46">
        <f>SUM(Calculations!$Q$14:$Q$16)/12</f>
        <v>23572.91666666667</v>
      </c>
      <c r="D74" s="46">
        <f>SUM(Calculations!$Q$14:$Q$16)/12</f>
        <v>23572.91666666667</v>
      </c>
      <c r="E74" s="46">
        <f>SUM(Calculations!$Q$14:$Q$16)/12</f>
        <v>23572.91666666667</v>
      </c>
      <c r="F74" s="46">
        <f>SUM(Calculations!$Q$14:$Q$16)/12</f>
        <v>23572.91666666667</v>
      </c>
      <c r="G74" s="46">
        <f>SUM(Calculations!$Q$14:$Q$16)/12</f>
        <v>23572.91666666667</v>
      </c>
      <c r="H74" s="46">
        <f>SUM(Calculations!$Q$14:$Q$16)/12</f>
        <v>23572.91666666667</v>
      </c>
      <c r="I74" s="46">
        <f>SUM(Calculations!$Q$14:$Q$16)/12</f>
        <v>23572.91666666667</v>
      </c>
      <c r="J74" s="46">
        <f>SUM(Calculations!$Q$14:$Q$16)/12</f>
        <v>23572.91666666667</v>
      </c>
      <c r="K74" s="46">
        <f>SUM(Calculations!$Q$14:$Q$16)/12</f>
        <v>23572.91666666667</v>
      </c>
      <c r="L74" s="46">
        <f>SUM(Calculations!$Q$14:$Q$16)/12</f>
        <v>23572.91666666667</v>
      </c>
      <c r="M74" s="46">
        <f>SUM(Calculations!$Q$14:$Q$16)/12</f>
        <v>23572.91666666667</v>
      </c>
      <c r="N74" s="46">
        <f>SUM(Calculations!$Q$14:$Q$16)/12</f>
        <v>23572.91666666667</v>
      </c>
      <c r="O74" s="46">
        <f>SUM(Calculations!$Q$14:$Q$16)/12</f>
        <v>23572.91666666667</v>
      </c>
      <c r="P74" s="46">
        <f>SUM(Calculations!$Q$14:$Q$16)/12</f>
        <v>23572.91666666667</v>
      </c>
      <c r="Q74" s="46">
        <f>SUM(Calculations!$Q$14:$Q$16)/12</f>
        <v>23572.91666666667</v>
      </c>
      <c r="R74" s="46">
        <f>SUM(Calculations!$Q$14:$Q$16)/12</f>
        <v>23572.91666666667</v>
      </c>
      <c r="S74" s="46">
        <f>SUM(Calculations!$Q$14:$Q$16)/12</f>
        <v>23572.91666666667</v>
      </c>
      <c r="T74" s="46">
        <f>SUM(Calculations!$Q$14:$Q$16)/12</f>
        <v>23572.91666666667</v>
      </c>
      <c r="U74" s="46">
        <f>SUM(Calculations!$Q$14:$Q$16)/12</f>
        <v>23572.91666666667</v>
      </c>
      <c r="V74" s="46">
        <f>SUM(Calculations!$Q$14:$Q$16)/12</f>
        <v>23572.91666666667</v>
      </c>
      <c r="W74" s="46">
        <f>SUM(Calculations!$Q$14:$Q$16)/12</f>
        <v>23572.91666666667</v>
      </c>
      <c r="X74" s="46">
        <f>SUM(Calculations!$Q$14:$Q$16)/12</f>
        <v>23572.91666666667</v>
      </c>
      <c r="Y74" s="46">
        <f>SUM(Calculations!$Q$14:$Q$16)/12</f>
        <v>23572.91666666667</v>
      </c>
      <c r="Z74" s="46">
        <f>SUMIF($B$13:$Y$13,"Yes",B74:Y74)</f>
        <v>165010.4166666667</v>
      </c>
      <c r="AA74" s="46">
        <f>SUM(B74:M74)</f>
        <v>282874.9999999999</v>
      </c>
      <c r="AB74" s="46">
        <f>SUM(B74:Y74)</f>
        <v>565750.0000000001</v>
      </c>
    </row>
    <row r="75" spans="1:30">
      <c r="A75" s="16" t="s">
        <v>47</v>
      </c>
      <c r="B75" s="46">
        <f>SUM(Calculations!$R$14:$R$16)/12</f>
        <v>767.7777777777778</v>
      </c>
      <c r="C75" s="46">
        <f>SUM(Calculations!$R$14:$R$16)/12</f>
        <v>767.7777777777778</v>
      </c>
      <c r="D75" s="46">
        <f>SUM(Calculations!$R$14:$R$16)/12</f>
        <v>767.7777777777778</v>
      </c>
      <c r="E75" s="46">
        <f>SUM(Calculations!$R$14:$R$16)/12</f>
        <v>767.7777777777778</v>
      </c>
      <c r="F75" s="46">
        <f>SUM(Calculations!$R$14:$R$16)/12</f>
        <v>767.7777777777778</v>
      </c>
      <c r="G75" s="46">
        <f>SUM(Calculations!$R$14:$R$16)/12</f>
        <v>767.7777777777778</v>
      </c>
      <c r="H75" s="46">
        <f>SUM(Calculations!$R$14:$R$16)/12</f>
        <v>767.7777777777778</v>
      </c>
      <c r="I75" s="46">
        <f>SUM(Calculations!$R$14:$R$16)/12</f>
        <v>767.7777777777778</v>
      </c>
      <c r="J75" s="46">
        <f>SUM(Calculations!$R$14:$R$16)/12</f>
        <v>767.7777777777778</v>
      </c>
      <c r="K75" s="46">
        <f>SUM(Calculations!$R$14:$R$16)/12</f>
        <v>767.7777777777778</v>
      </c>
      <c r="L75" s="46">
        <f>SUM(Calculations!$R$14:$R$16)/12</f>
        <v>767.7777777777778</v>
      </c>
      <c r="M75" s="46">
        <f>SUM(Calculations!$R$14:$R$16)/12</f>
        <v>767.7777777777778</v>
      </c>
      <c r="N75" s="46">
        <f>SUM(Calculations!$R$14:$R$16)/12</f>
        <v>767.7777777777778</v>
      </c>
      <c r="O75" s="46">
        <f>SUM(Calculations!$R$14:$R$16)/12</f>
        <v>767.7777777777778</v>
      </c>
      <c r="P75" s="46">
        <f>SUM(Calculations!$R$14:$R$16)/12</f>
        <v>767.7777777777778</v>
      </c>
      <c r="Q75" s="46">
        <f>SUM(Calculations!$R$14:$R$16)/12</f>
        <v>767.7777777777778</v>
      </c>
      <c r="R75" s="46">
        <f>SUM(Calculations!$R$14:$R$16)/12</f>
        <v>767.7777777777778</v>
      </c>
      <c r="S75" s="46">
        <f>SUM(Calculations!$R$14:$R$16)/12</f>
        <v>767.7777777777778</v>
      </c>
      <c r="T75" s="46">
        <f>SUM(Calculations!$R$14:$R$16)/12</f>
        <v>767.7777777777778</v>
      </c>
      <c r="U75" s="46">
        <f>SUM(Calculations!$R$14:$R$16)/12</f>
        <v>767.7777777777778</v>
      </c>
      <c r="V75" s="46">
        <f>SUM(Calculations!$R$14:$R$16)/12</f>
        <v>767.7777777777778</v>
      </c>
      <c r="W75" s="46">
        <f>SUM(Calculations!$R$14:$R$16)/12</f>
        <v>767.7777777777778</v>
      </c>
      <c r="X75" s="46">
        <f>SUM(Calculations!$R$14:$R$16)/12</f>
        <v>767.7777777777778</v>
      </c>
      <c r="Y75" s="46">
        <f>SUM(Calculations!$R$14:$R$16)/12</f>
        <v>767.7777777777778</v>
      </c>
      <c r="Z75" s="46">
        <f>SUMIF($B$13:$Y$13,"Yes",B75:Y75)</f>
        <v>5374.444444444445</v>
      </c>
      <c r="AA75" s="46">
        <f>SUM(B75:M75)</f>
        <v>9213.333333333332</v>
      </c>
      <c r="AB75" s="46">
        <f>SUM(B75:Y75)</f>
        <v>18426.66666666666</v>
      </c>
    </row>
    <row r="76" spans="1:30">
      <c r="A76" s="16" t="s">
        <v>48</v>
      </c>
      <c r="B76" s="46">
        <f>SUM(Calculations!$S$14:$S$16)/12</f>
        <v>1017.935463659148</v>
      </c>
      <c r="C76" s="46">
        <f>SUM(Calculations!$S$14:$S$16)/12</f>
        <v>1017.935463659148</v>
      </c>
      <c r="D76" s="46">
        <f>SUM(Calculations!$S$14:$S$16)/12</f>
        <v>1017.935463659148</v>
      </c>
      <c r="E76" s="46">
        <f>SUM(Calculations!$S$14:$S$16)/12</f>
        <v>1017.935463659148</v>
      </c>
      <c r="F76" s="46">
        <f>SUM(Calculations!$S$14:$S$16)/12</f>
        <v>1017.935463659148</v>
      </c>
      <c r="G76" s="46">
        <f>SUM(Calculations!$S$14:$S$16)/12</f>
        <v>1017.935463659148</v>
      </c>
      <c r="H76" s="46">
        <f>SUM(Calculations!$S$14:$S$16)/12</f>
        <v>1017.935463659148</v>
      </c>
      <c r="I76" s="46">
        <f>SUM(Calculations!$S$14:$S$16)/12</f>
        <v>1017.935463659148</v>
      </c>
      <c r="J76" s="46">
        <f>SUM(Calculations!$S$14:$S$16)/12</f>
        <v>1017.935463659148</v>
      </c>
      <c r="K76" s="46">
        <f>SUM(Calculations!$S$14:$S$16)/12</f>
        <v>1017.935463659148</v>
      </c>
      <c r="L76" s="46">
        <f>SUM(Calculations!$S$14:$S$16)/12</f>
        <v>1017.935463659148</v>
      </c>
      <c r="M76" s="46">
        <f>SUM(Calculations!$S$14:$S$16)/12</f>
        <v>1017.935463659148</v>
      </c>
      <c r="N76" s="46">
        <f>SUM(Calculations!$S$14:$S$16)/12</f>
        <v>1017.935463659148</v>
      </c>
      <c r="O76" s="46">
        <f>SUM(Calculations!$S$14:$S$16)/12</f>
        <v>1017.935463659148</v>
      </c>
      <c r="P76" s="46">
        <f>SUM(Calculations!$S$14:$S$16)/12</f>
        <v>1017.935463659148</v>
      </c>
      <c r="Q76" s="46">
        <f>SUM(Calculations!$S$14:$S$16)/12</f>
        <v>1017.935463659148</v>
      </c>
      <c r="R76" s="46">
        <f>SUM(Calculations!$S$14:$S$16)/12</f>
        <v>1017.935463659148</v>
      </c>
      <c r="S76" s="46">
        <f>SUM(Calculations!$S$14:$S$16)/12</f>
        <v>1017.935463659148</v>
      </c>
      <c r="T76" s="46">
        <f>SUM(Calculations!$S$14:$S$16)/12</f>
        <v>1017.935463659148</v>
      </c>
      <c r="U76" s="46">
        <f>SUM(Calculations!$S$14:$S$16)/12</f>
        <v>1017.935463659148</v>
      </c>
      <c r="V76" s="46">
        <f>SUM(Calculations!$S$14:$S$16)/12</f>
        <v>1017.935463659148</v>
      </c>
      <c r="W76" s="46">
        <f>SUM(Calculations!$S$14:$S$16)/12</f>
        <v>1017.935463659148</v>
      </c>
      <c r="X76" s="46">
        <f>SUM(Calculations!$S$14:$S$16)/12</f>
        <v>1017.935463659148</v>
      </c>
      <c r="Y76" s="46">
        <f>SUM(Calculations!$S$14:$S$16)/12</f>
        <v>1017.935463659148</v>
      </c>
      <c r="Z76" s="46">
        <f>SUMIF($B$13:$Y$13,"Yes",B76:Y76)</f>
        <v>7125.548245614035</v>
      </c>
      <c r="AA76" s="46">
        <f>SUM(B76:M76)</f>
        <v>12215.22556390978</v>
      </c>
      <c r="AB76" s="46">
        <f>SUM(B76:Y76)</f>
        <v>24430.45112781956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175000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11856.54803675856</v>
      </c>
      <c r="C81" s="46">
        <f>(SUM($AA$18:$AA$29)-SUM($AA$36,$AA$42,$AA$48,$AA$54,$AA$60,$AA$66,$AA$72:$AA$79))*Parameters!$B$37/12</f>
        <v>11856.54803675856</v>
      </c>
      <c r="D81" s="46">
        <f>(SUM($AA$18:$AA$29)-SUM($AA$36,$AA$42,$AA$48,$AA$54,$AA$60,$AA$66,$AA$72:$AA$79))*Parameters!$B$37/12</f>
        <v>11856.54803675856</v>
      </c>
      <c r="E81" s="46">
        <f>(SUM($AA$18:$AA$29)-SUM($AA$36,$AA$42,$AA$48,$AA$54,$AA$60,$AA$66,$AA$72:$AA$79))*Parameters!$B$37/12</f>
        <v>11856.54803675856</v>
      </c>
      <c r="F81" s="46">
        <f>(SUM($AA$18:$AA$29)-SUM($AA$36,$AA$42,$AA$48,$AA$54,$AA$60,$AA$66,$AA$72:$AA$79))*Parameters!$B$37/12</f>
        <v>11856.54803675856</v>
      </c>
      <c r="G81" s="46">
        <f>(SUM($AA$18:$AA$29)-SUM($AA$36,$AA$42,$AA$48,$AA$54,$AA$60,$AA$66,$AA$72:$AA$79))*Parameters!$B$37/12</f>
        <v>11856.54803675856</v>
      </c>
      <c r="H81" s="46">
        <f>(SUM($AA$18:$AA$29)-SUM($AA$36,$AA$42,$AA$48,$AA$54,$AA$60,$AA$66,$AA$72:$AA$79))*Parameters!$B$37/12</f>
        <v>11856.54803675856</v>
      </c>
      <c r="I81" s="46">
        <f>(SUM($AA$18:$AA$29)-SUM($AA$36,$AA$42,$AA$48,$AA$54,$AA$60,$AA$66,$AA$72:$AA$79))*Parameters!$B$37/12</f>
        <v>11856.54803675856</v>
      </c>
      <c r="J81" s="46">
        <f>(SUM($AA$18:$AA$29)-SUM($AA$36,$AA$42,$AA$48,$AA$54,$AA$60,$AA$66,$AA$72:$AA$79))*Parameters!$B$37/12</f>
        <v>11856.54803675856</v>
      </c>
      <c r="K81" s="46">
        <f>(SUM($AA$18:$AA$29)-SUM($AA$36,$AA$42,$AA$48,$AA$54,$AA$60,$AA$66,$AA$72:$AA$79))*Parameters!$B$37/12</f>
        <v>11856.54803675856</v>
      </c>
      <c r="L81" s="46">
        <f>(SUM($AA$18:$AA$29)-SUM($AA$36,$AA$42,$AA$48,$AA$54,$AA$60,$AA$66,$AA$72:$AA$79))*Parameters!$B$37/12</f>
        <v>11856.54803675856</v>
      </c>
      <c r="M81" s="46">
        <f>(SUM($AA$18:$AA$29)-SUM($AA$36,$AA$42,$AA$48,$AA$54,$AA$60,$AA$66,$AA$72:$AA$79))*Parameters!$B$37/12</f>
        <v>11856.54803675856</v>
      </c>
      <c r="N81" s="46">
        <f>(SUM($AA$18:$AA$29)-SUM($AA$36,$AA$42,$AA$48,$AA$54,$AA$60,$AA$66,$AA$72:$AA$79))*Parameters!$B$37/12</f>
        <v>11856.54803675856</v>
      </c>
      <c r="O81" s="46">
        <f>(SUM($AA$18:$AA$29)-SUM($AA$36,$AA$42,$AA$48,$AA$54,$AA$60,$AA$66,$AA$72:$AA$79))*Parameters!$B$37/12</f>
        <v>11856.54803675856</v>
      </c>
      <c r="P81" s="46">
        <f>(SUM($AA$18:$AA$29)-SUM($AA$36,$AA$42,$AA$48,$AA$54,$AA$60,$AA$66,$AA$72:$AA$79))*Parameters!$B$37/12</f>
        <v>11856.54803675856</v>
      </c>
      <c r="Q81" s="46">
        <f>(SUM($AA$18:$AA$29)-SUM($AA$36,$AA$42,$AA$48,$AA$54,$AA$60,$AA$66,$AA$72:$AA$79))*Parameters!$B$37/12</f>
        <v>11856.54803675856</v>
      </c>
      <c r="R81" s="46">
        <f>(SUM($AA$18:$AA$29)-SUM($AA$36,$AA$42,$AA$48,$AA$54,$AA$60,$AA$66,$AA$72:$AA$79))*Parameters!$B$37/12</f>
        <v>11856.54803675856</v>
      </c>
      <c r="S81" s="46">
        <f>(SUM($AA$18:$AA$29)-SUM($AA$36,$AA$42,$AA$48,$AA$54,$AA$60,$AA$66,$AA$72:$AA$79))*Parameters!$B$37/12</f>
        <v>11856.54803675856</v>
      </c>
      <c r="T81" s="46">
        <f>(SUM($AA$18:$AA$29)-SUM($AA$36,$AA$42,$AA$48,$AA$54,$AA$60,$AA$66,$AA$72:$AA$79))*Parameters!$B$37/12</f>
        <v>11856.54803675856</v>
      </c>
      <c r="U81" s="46">
        <f>(SUM($AA$18:$AA$29)-SUM($AA$36,$AA$42,$AA$48,$AA$54,$AA$60,$AA$66,$AA$72:$AA$79))*Parameters!$B$37/12</f>
        <v>11856.54803675856</v>
      </c>
      <c r="V81" s="46">
        <f>(SUM($AA$18:$AA$29)-SUM($AA$36,$AA$42,$AA$48,$AA$54,$AA$60,$AA$66,$AA$72:$AA$79))*Parameters!$B$37/12</f>
        <v>11856.54803675856</v>
      </c>
      <c r="W81" s="46">
        <f>(SUM($AA$18:$AA$29)-SUM($AA$36,$AA$42,$AA$48,$AA$54,$AA$60,$AA$66,$AA$72:$AA$79))*Parameters!$B$37/12</f>
        <v>11856.54803675856</v>
      </c>
      <c r="X81" s="46">
        <f>(SUM($AA$18:$AA$29)-SUM($AA$36,$AA$42,$AA$48,$AA$54,$AA$60,$AA$66,$AA$72:$AA$79))*Parameters!$B$37/12</f>
        <v>11856.54803675856</v>
      </c>
      <c r="Y81" s="46">
        <f>(SUM($AA$18:$AA$29)-SUM($AA$36,$AA$42,$AA$48,$AA$54,$AA$60,$AA$66,$AA$72:$AA$79))*Parameters!$B$37/12</f>
        <v>11856.54803675856</v>
      </c>
      <c r="Z81" s="46">
        <f>SUMIF($B$13:$Y$13,"Yes",B81:Y81)</f>
        <v>82995.83625730994</v>
      </c>
      <c r="AA81" s="46">
        <f>SUM(B81:M81)</f>
        <v>142278.5764411027</v>
      </c>
      <c r="AB81" s="46">
        <f>SUM(B81:Y81)</f>
        <v>284557.1528822054</v>
      </c>
    </row>
    <row r="82" spans="1:30">
      <c r="A82" s="16" t="s">
        <v>52</v>
      </c>
      <c r="B82" s="46">
        <f>SUM(B83:B87)</f>
        <v>18506.23885918003</v>
      </c>
      <c r="C82" s="46">
        <f>SUM(C83:C87)</f>
        <v>3827.094474153299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22333.33333333333</v>
      </c>
      <c r="AA82" s="46">
        <f>SUM(B82:M82)</f>
        <v>22333.33333333333</v>
      </c>
      <c r="AB82" s="46">
        <f>SUM(B82:Y82)</f>
        <v>22333.33333333333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18506.23885918003</v>
      </c>
      <c r="C83" s="46">
        <f>IF(Calculations!$E23&gt;COUNT(Output!$B$35:C$35),Calculations!$B23,IF(Calculations!$E23=COUNT(Output!$B$35:C$35),Inputs!$B56-Calculations!$C23*(Calculations!$E23-1)+Calculations!$D23,0))</f>
        <v>3827.094474153299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22333.33333333333</v>
      </c>
      <c r="AA83" s="46">
        <f>SUM(B83:M83)</f>
        <v>22333.33333333333</v>
      </c>
      <c r="AB83" s="46">
        <f>SUM(B83:Y83)</f>
        <v>22333.33333333333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80721.41680404219</v>
      </c>
      <c r="C88" s="19">
        <f>SUM(C72:C82,C66,C60,C54,C48,C42,C36)</f>
        <v>66042.27241901545</v>
      </c>
      <c r="D88" s="19">
        <f>SUM(D72:D82,D66,D60,D54,D48,D42,D36)</f>
        <v>62215.17794486216</v>
      </c>
      <c r="E88" s="19">
        <f>SUM(E72:E82,E66,E60,E54,E48,E42,E36)</f>
        <v>62215.17794486216</v>
      </c>
      <c r="F88" s="19">
        <f>SUM(F72:F82,F66,F60,F54,F48,F42,F36)</f>
        <v>62215.17794486216</v>
      </c>
      <c r="G88" s="19">
        <f>SUM(G72:G82,G66,G60,G54,G48,G42,G36)</f>
        <v>62215.17794486216</v>
      </c>
      <c r="H88" s="19">
        <f>SUM(H72:H82,H66,H60,H54,H48,H42,H36)</f>
        <v>62215.17794486216</v>
      </c>
      <c r="I88" s="19">
        <f>SUM(I72:I82,I66,I60,I54,I48,I42,I36)</f>
        <v>62215.17794486216</v>
      </c>
      <c r="J88" s="19">
        <f>SUM(J72:J82,J66,J60,J54,J48,J42,J36)</f>
        <v>62215.17794486216</v>
      </c>
      <c r="K88" s="19">
        <f>SUM(K72:K82,K66,K60,K54,K48,K42,K36)</f>
        <v>62215.17794486216</v>
      </c>
      <c r="L88" s="19">
        <f>SUM(L72:L82,L66,L60,L54,L48,L42,L36)</f>
        <v>62215.17794486216</v>
      </c>
      <c r="M88" s="19">
        <f>SUM(M72:M82,M66,M60,M54,M48,M42,M36)</f>
        <v>62215.17794486216</v>
      </c>
      <c r="N88" s="19">
        <f>SUM(N72:N82,N66,N60,N54,N48,N42,N36)</f>
        <v>62215.17794486216</v>
      </c>
      <c r="O88" s="19">
        <f>SUM(O72:O82,O66,O60,O54,O48,O42,O36)</f>
        <v>62215.17794486216</v>
      </c>
      <c r="P88" s="19">
        <f>SUM(P72:P82,P66,P60,P54,P48,P42,P36)</f>
        <v>62215.17794486216</v>
      </c>
      <c r="Q88" s="19">
        <f>SUM(Q72:Q82,Q66,Q60,Q54,Q48,Q42,Q36)</f>
        <v>62215.17794486216</v>
      </c>
      <c r="R88" s="19">
        <f>SUM(R72:R82,R66,R60,R54,R48,R42,R36)</f>
        <v>62215.17794486216</v>
      </c>
      <c r="S88" s="19">
        <f>SUM(S72:S82,S66,S60,S54,S48,S42,S36)</f>
        <v>62215.17794486216</v>
      </c>
      <c r="T88" s="19">
        <f>SUM(T72:T82,T66,T60,T54,T48,T42,T36)</f>
        <v>62215.17794486216</v>
      </c>
      <c r="U88" s="19">
        <f>SUM(U72:U82,U66,U60,U54,U48,U42,U36)</f>
        <v>62215.17794486216</v>
      </c>
      <c r="V88" s="19">
        <f>SUM(V72:V82,V66,V60,V54,V48,V42,V36)</f>
        <v>62215.17794486216</v>
      </c>
      <c r="W88" s="19">
        <f>SUM(W72:W82,W66,W60,W54,W48,W42,W36)</f>
        <v>62215.17794486216</v>
      </c>
      <c r="X88" s="19">
        <f>SUM(X72:X82,X66,X60,X54,X48,X42,X36)</f>
        <v>62215.17794486216</v>
      </c>
      <c r="Y88" s="19">
        <f>SUM(Y72:Y82,Y66,Y60,Y54,Y48,Y42,Y36)</f>
        <v>62215.17794486216</v>
      </c>
      <c r="Z88" s="19">
        <f>SUMIF($B$13:$Y$13,"Yes",B88:Y88)</f>
        <v>457839.5789473685</v>
      </c>
      <c r="AA88" s="19">
        <f>SUM(B88:M88)</f>
        <v>768915.4686716793</v>
      </c>
      <c r="AB88" s="19">
        <f>SUM(B88:Y88)</f>
        <v>1515497.604010024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254700</v>
      </c>
    </row>
    <row r="95" spans="1:30">
      <c r="A95" t="s">
        <v>61</v>
      </c>
      <c r="B95" s="36">
        <f>Inputs!B47</f>
        <v>140000</v>
      </c>
    </row>
    <row r="96" spans="1:30">
      <c r="A96" t="s">
        <v>62</v>
      </c>
      <c r="B96" s="36">
        <f>SUMPRODUCT(Inputs!C19:C21,Calculations!O14:O16)</f>
        <v>761250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1550950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15000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25</v>
      </c>
      <c r="D19" s="145">
        <v>20</v>
      </c>
      <c r="E19" s="20"/>
      <c r="F19" s="145" t="s">
        <v>92</v>
      </c>
      <c r="G19" s="20"/>
      <c r="H19" s="20"/>
      <c r="I19" s="145" t="s">
        <v>112</v>
      </c>
      <c r="J19" s="145">
        <v>100</v>
      </c>
      <c r="K19" s="145">
        <v>100</v>
      </c>
      <c r="L19" s="25">
        <v>2</v>
      </c>
    </row>
    <row r="20" spans="1:48">
      <c r="A20" s="143" t="s">
        <v>113</v>
      </c>
      <c r="B20" s="16"/>
      <c r="C20" s="143">
        <v>15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>
        <v>100</v>
      </c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80000</v>
      </c>
    </row>
    <row r="31" spans="1:48">
      <c r="A31" s="5" t="s">
        <v>120</v>
      </c>
      <c r="B31" s="158">
        <v>25000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120000</v>
      </c>
    </row>
    <row r="46" spans="1:48" customHeight="1" ht="30">
      <c r="A46" s="57" t="s">
        <v>134</v>
      </c>
      <c r="B46" s="161">
        <v>25000</v>
      </c>
    </row>
    <row r="47" spans="1:48" customHeight="1" ht="30">
      <c r="A47" s="57" t="s">
        <v>135</v>
      </c>
      <c r="B47" s="161">
        <v>140000</v>
      </c>
    </row>
    <row r="48" spans="1:48" customHeight="1" ht="30">
      <c r="A48" s="57" t="s">
        <v>136</v>
      </c>
      <c r="B48" s="161">
        <v>250000</v>
      </c>
    </row>
    <row r="49" spans="1:48" customHeight="1" ht="30">
      <c r="A49" s="57" t="s">
        <v>137</v>
      </c>
      <c r="B49" s="161">
        <v>254700</v>
      </c>
    </row>
    <row r="50" spans="1:48">
      <c r="A50" s="43"/>
      <c r="B50" s="36"/>
    </row>
    <row r="51" spans="1:48">
      <c r="A51" s="58" t="s">
        <v>138</v>
      </c>
      <c r="B51" s="161">
        <v>10000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200000</v>
      </c>
      <c r="B56" s="159">
        <v>15000</v>
      </c>
      <c r="C56" s="162" t="s">
        <v>146</v>
      </c>
      <c r="D56" s="163" t="s">
        <v>147</v>
      </c>
      <c r="E56" s="163" t="s">
        <v>148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150</v>
      </c>
      <c r="C65" s="10" t="s">
        <v>151</v>
      </c>
    </row>
    <row r="66" spans="1:48">
      <c r="A66" s="142" t="s">
        <v>94</v>
      </c>
      <c r="B66" s="159">
        <v>50000</v>
      </c>
      <c r="C66" s="163">
        <v>254800</v>
      </c>
      <c r="D66" s="49">
        <f>INDEX(Parameters!$D$79:$D$90,MATCH(Inputs!A66,Parameters!$C$79:$C$90,0))</f>
        <v>1</v>
      </c>
    </row>
    <row r="67" spans="1:48">
      <c r="A67" s="143" t="s">
        <v>152</v>
      </c>
      <c r="B67" s="157">
        <v>5000</v>
      </c>
      <c r="C67" s="165">
        <v>1254</v>
      </c>
      <c r="D67" s="49">
        <f>INDEX(Parameters!$D$79:$D$90,MATCH(Inputs!A67,Parameters!$C$79:$C$90,0))</f>
        <v>2</v>
      </c>
    </row>
    <row r="68" spans="1:48">
      <c r="A68" s="143" t="s">
        <v>153</v>
      </c>
      <c r="B68" s="157">
        <v>40000</v>
      </c>
      <c r="C68" s="165">
        <v>100000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27886</v>
      </c>
      <c r="C69" s="165">
        <v>1000</v>
      </c>
      <c r="D69" s="49">
        <f>INDEX(Parameters!$D$79:$D$90,MATCH(Inputs!A69,Parameters!$C$79:$C$90,0))</f>
        <v>3</v>
      </c>
    </row>
    <row r="70" spans="1:48">
      <c r="A70" s="143" t="s">
        <v>154</v>
      </c>
      <c r="B70" s="157">
        <v>44000</v>
      </c>
      <c r="C70" s="165">
        <v>44000</v>
      </c>
      <c r="D70" s="49">
        <f>INDEX(Parameters!$D$79:$D$90,MATCH(Inputs!A70,Parameters!$C$79:$C$90,0))</f>
        <v>4</v>
      </c>
    </row>
    <row r="71" spans="1:48">
      <c r="A71" s="144" t="s">
        <v>97</v>
      </c>
      <c r="B71" s="158">
        <v>254800</v>
      </c>
      <c r="C71" s="167">
        <v>12545</v>
      </c>
      <c r="D71" s="49">
        <f>INDEX(Parameters!$D$79:$D$90,MATCH(Inputs!A71,Parameters!$C$79:$C$90,0))</f>
        <v>5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10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250000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6</v>
      </c>
    </row>
    <row r="86" spans="1:48">
      <c r="A86" t="s">
        <v>169</v>
      </c>
      <c r="B86" s="161">
        <v>5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42736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8361.35146</v>
      </c>
      <c r="M4" s="25">
        <f>L4*H4</f>
        <v>0</v>
      </c>
      <c r="N4" s="22">
        <f>Calculations!U4</f>
        <v>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0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Mangoes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42856</v>
      </c>
      <c r="C5" s="39">
        <f>IFERROR(DATE(YEAR(B5),MONTH(B5)+ROUND(T5/2,0),DAY(B5)),B5)</f>
        <v>42856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3500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4468.241490960482</v>
      </c>
      <c r="M5" s="30">
        <f>L5*H5</f>
        <v>0</v>
      </c>
      <c r="N5" s="22">
        <f>Calculations!U5</f>
        <v>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10.12004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0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99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25</v>
      </c>
      <c r="E14" s="16">
        <f>Inputs!D19</f>
        <v>20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1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213.3333333333333</v>
      </c>
      <c r="S14" s="63">
        <f>IFERROR(D14*INDEX(Parameters!$A$22:$P$29,MATCH(Calculations!$A14,Parameters!$A$22:$A$29,0),MATCH(Parameters!$N$22,Parameters!$A$22:$P$22,0)),"")</f>
        <v>1715.225563909774</v>
      </c>
    </row>
    <row r="15" spans="1:46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5.1</v>
      </c>
      <c r="H15" s="121">
        <f>IFERROR(IF(B15="meat",INDEX(Parameters!$A$22:$P$29,MATCH(Calculations!A15,Parameters!$A$22:$A$29,0),MATCH(Parameters!$I$22,Parameters!$A$22:$P$22,0))*G15,""),"")</f>
        <v>509.9999999999999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273750</v>
      </c>
      <c r="R15" s="64">
        <f>IFERROR(D15*INDEX(Parameters!$A$22:$P$29,MATCH(Calculations!$A15,Parameters!$A$22:$A$29,0),MATCH(Parameters!$M$22,Parameters!$A$22:$P$22,0)),"")</f>
        <v>9000</v>
      </c>
      <c r="S15" s="64">
        <f>IFERROR(D15*INDEX(Parameters!$A$22:$P$29,MATCH(Calculations!$A15,Parameters!$A$22:$A$29,0),MATCH(Parameters!$N$22,Parameters!$A$22:$P$22,0)),"")</f>
        <v>10500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25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43191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4375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140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46">
      <c r="A23" s="75">
        <f>Inputs!A56</f>
        <v>200000</v>
      </c>
      <c r="B23" s="75">
        <f>SUM(C23:D23)</f>
        <v>18506.23885918003</v>
      </c>
      <c r="C23" s="75">
        <f>IF(Inputs!B56&gt;0,(Inputs!A56-Inputs!B56)/(DATE(YEAR(Inputs!$B$76),MONTH(Inputs!$B$76),DAY(Inputs!$B$76))-DATE(YEAR(Inputs!C56),MONTH(Inputs!C56),DAY(Inputs!C56)))*30,0)</f>
        <v>14839.57219251337</v>
      </c>
      <c r="D23" s="75">
        <f>IF(Inputs!B56&gt;0,Inputs!A56*0.22/12,0)</f>
        <v>3666.666666666667</v>
      </c>
      <c r="E23" s="75">
        <f>IFERROR(ROUNDUP(Inputs!B56/C23,0),0)</f>
        <v>2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3750</v>
      </c>
      <c r="D33" s="170">
        <f>IFERROR(DATE(YEAR(B33),MONTH(B33),1)," ")</f>
        <v>42736</v>
      </c>
      <c r="F33" t="s">
        <v>160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3750</v>
      </c>
      <c r="D34" s="170">
        <f>IFERROR(DATE(YEAR(B34),MONTH(B34),1)," ")</f>
        <v>42767</v>
      </c>
      <c r="F34" t="s">
        <v>161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3750</v>
      </c>
      <c r="D35" s="170">
        <f>IFERROR(DATE(YEAR(B35),MONTH(B35),1)," ")</f>
        <v>42795</v>
      </c>
      <c r="F35" t="s">
        <v>163</v>
      </c>
      <c r="G35" s="27">
        <f>Inputs!B81</f>
        <v>250000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3750</v>
      </c>
      <c r="D36" s="170">
        <f>IFERROR(DATE(YEAR(B36),MONTH(B36),1)," ")</f>
        <v>42826</v>
      </c>
      <c r="F36" t="s">
        <v>164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3750</v>
      </c>
      <c r="D37" s="170">
        <f>IFERROR(DATE(YEAR(B37),MONTH(B37),1)," ")</f>
        <v>42856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253750</v>
      </c>
      <c r="D38" s="170">
        <f>IFERROR(DATE(YEAR(B38),MONTH(B38),1)," ")</f>
        <v>42887</v>
      </c>
      <c r="F38" t="s">
        <v>226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169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170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227</v>
      </c>
      <c r="G41" s="73">
        <f>IFERROR(G35/(G38-G39),"")</f>
        <v>250000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228</v>
      </c>
      <c r="G42" s="73">
        <f>IFERROR(G35*G36*IF(G37="Monthly",G38/12,IF(G37="Fortnightly",G38/(365/14),G38/(365/28)))/(G38-G40),"")</f>
        <v>3750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95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111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99</v>
      </c>
      <c r="B41" s="191" t="s">
        <v>148</v>
      </c>
      <c r="C41" s="191" t="s">
        <v>92</v>
      </c>
    </row>
    <row r="42" spans="1:36">
      <c r="A42" t="s">
        <v>111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313</v>
      </c>
      <c r="I52" s="12" t="s">
        <v>131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148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148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148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148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148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148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148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148</v>
      </c>
      <c r="F77" s="12" t="s">
        <v>148</v>
      </c>
      <c r="G77" s="12" t="s">
        <v>348</v>
      </c>
      <c r="H77" s="12" t="s">
        <v>313</v>
      </c>
      <c r="I77" s="12" t="s">
        <v>349</v>
      </c>
      <c r="J77" s="136" t="s">
        <v>90</v>
      </c>
      <c r="K77" s="12" t="s">
        <v>148</v>
      </c>
      <c r="AJ77" s="12"/>
    </row>
    <row r="78" spans="1:36">
      <c r="A78" t="s">
        <v>148</v>
      </c>
      <c r="B78" s="176">
        <v>5</v>
      </c>
      <c r="C78" s="134" t="s">
        <v>350</v>
      </c>
      <c r="D78" s="133"/>
      <c r="E78" s="12" t="s">
        <v>91</v>
      </c>
      <c r="F78" s="12" t="s">
        <v>93</v>
      </c>
      <c r="G78" s="12" t="s">
        <v>351</v>
      </c>
      <c r="H78" s="12" t="s">
        <v>131</v>
      </c>
      <c r="I78" s="12" t="s">
        <v>352</v>
      </c>
      <c r="J78" s="70" t="s">
        <v>353</v>
      </c>
      <c r="K78" s="12" t="s">
        <v>148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112</v>
      </c>
      <c r="I79" s="12" t="s">
        <v>166</v>
      </c>
      <c r="J79" s="70" t="s">
        <v>356</v>
      </c>
      <c r="K79" s="12" t="s">
        <v>148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96</v>
      </c>
      <c r="F80" s="12" t="s">
        <v>357</v>
      </c>
      <c r="J80" s="70" t="s">
        <v>358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97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