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<sst xmlns="http://schemas.openxmlformats.org/spreadsheetml/2006/main" uniqueCount="369">
  <si>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</si>
  <si>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</si>
  <si>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</si>
  <si>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</si>
  <si>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</si>
  <si>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</si>
  <si>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</si>
  <si>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</si>
  <si>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</si>
  <si>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</si>
  <si>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</si>
  <si>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</si>
  <si>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</si>
  <si>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</si>
  <si>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</si>
  <si>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</si>
  <si>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</si>
  <si>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</si>
  <si>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</si>
  <si>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</si>
  <si>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</si>
  <si>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</si>
  <si>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</si>
  <si>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</si>
  <si>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</si>
  <si>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</si>
  <si>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</si>
  <si>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</si>
  <si>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</si>
  <si>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</si>
  <si>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</si>
  <si>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</si>
  <si>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</si>
  <si>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</si>
  <si>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</si>
  <si>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</si>
  <si>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</si>
  <si>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</si>
  <si>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</si>
  <si>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</si>
  <si>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</si>
  <si>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</si>
  <si>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</si>
  <si>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</si>
  <si>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</si>
  <si>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</si>
  <si>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</si>
  <si>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</si>
  <si>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</si>
  <si>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</si>
  <si>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</si>
  <si>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</si>
  <si>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</si>
  <si>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</si>
  <si>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</si>
  <si>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</si>
  <si>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</si>
  <si>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</si>
  <si>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</si>
  <si>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</si>
  <si>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</si>
  <si>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</si>
  <si>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</si>
  <si>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</si>
  <si>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</si>
  <si>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</si>
  <si>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</si>
  <si>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</si>
  <si>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</si>
  <si>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</si>
  <si>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</si>
  <si>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</si>
  <si>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</si>
  <si>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</si>
  <si>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</si>
  <si>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</si>
  <si>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</si>
  <si>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</si>
  <si>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</si>
  <si>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</si>
  <si>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</si>
  <si>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</si>
  <si>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</si>
  <si>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</si>
  <si>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</si>
  <si>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</si>
  <si>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</si>
  <si>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</si>
  <si>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</si>
  <si>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</si>
  <si>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</si>
  <si>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Inorganic fertizers</t>
  </si>
  <si>
    <t>Yes</t>
  </si>
  <si>
    <t>Yes using a solar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</si>
  <si>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</si>
  <si>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</si>
  <si>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</si>
  <si>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</si>
  <si>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</si>
  <si>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</si>
  <si>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</si>
  <si>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</si>
  <si>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</si>
  <si>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</si>
  <si>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</si>
  <si>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</si>
  <si>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</si>
  <si>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</si>
  <si>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</si>
  <si>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</si>
  <si>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</si>
  <si>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</si>
  <si>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</si>
  <si>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</si>
  <si>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</si>
  <si>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</si>
  <si>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</si>
  <si>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</si>
  <si>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</si>
  <si>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</si>
  <si>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</si>
  <si>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</si>
  <si>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</si>
  <si>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Piping</t>
  </si>
  <si>
    <t>December</t>
  </si>
  <si>
    <t>Assets and liabilities</t>
  </si>
  <si>
    <t>Is the land yours?</t>
  </si>
  <si>
    <t>Land rent amount/ year</t>
  </si>
  <si>
    <t>Month when land rent is paid</t>
  </si>
  <si>
    <t>March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</si>
  <si>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</si>
  <si>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</si>
  <si>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</si>
  <si>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</si>
  <si>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</si>
  <si>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</si>
  <si>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</si>
  <si>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</si>
  <si>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</si>
  <si>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</si>
  <si>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</si>
  <si>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</si>
  <si>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</si>
  <si>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</si>
  <si>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</si>
  <si>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</si>
  <si>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5/12/2015</t>
  </si>
  <si>
    <t>KCB</t>
  </si>
  <si>
    <t>Mpesa &amp; bank cash flows (from past statements)</t>
  </si>
  <si>
    <t>Cash inflows</t>
  </si>
  <si>
    <t>Cash outflows</t>
  </si>
  <si>
    <t>February</t>
  </si>
  <si>
    <t>April</t>
  </si>
  <si>
    <t>May</t>
  </si>
  <si>
    <t>June</t>
  </si>
  <si>
    <t>Loan info</t>
  </si>
  <si>
    <t>Branch ID</t>
  </si>
  <si>
    <t>Submission date</t>
  </si>
  <si>
    <t>2016/10/13</t>
  </si>
  <si>
    <t>Loan terms</t>
  </si>
  <si>
    <t>Expected disbursement date</t>
  </si>
  <si>
    <t>Expected first repayment date</t>
  </si>
  <si>
    <t>2016/10/27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</si>
  <si>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</si>
  <si>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</si>
  <si>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</si>
  <si>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</si>
  <si>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</si>
  <si>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</si>
  <si>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</si>
  <si>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</si>
  <si>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</si>
  <si>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</si>
  <si>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</si>
  <si>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</si>
  <si>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</si>
  <si>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</si>
  <si>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</si>
  <si>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</si>
  <si>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</si>
  <si>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</si>
  <si>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</si>
  <si>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</si>
  <si>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</si>
  <si>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</si>
  <si>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</si>
  <si>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</si>
  <si>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</si>
  <si>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</si>
  <si>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</si>
  <si>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</si>
  <si>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</si>
  <si>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</si>
  <si>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</si>
  <si>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</si>
  <si>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</si>
  <si>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</si>
  <si>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</si>
  <si>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</si>
  <si>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</si>
  <si>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</si>
  <si>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</si>
  <si>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</si>
  <si>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</si>
  <si>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</si>
  <si>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</si>
  <si>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</si>
  <si>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</si>
  <si>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</si>
  <si>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</si>
  <si>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</si>
  <si>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</si>
  <si>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</si>
  <si>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</si>
  <si>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</si>
  <si>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</si>
  <si>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</si>
  <si>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</si>
  <si>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</si>
  <si>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</si>
  <si>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</si>
  <si>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</si>
  <si>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</si>
  <si>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</si>
  <si>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</si>
  <si>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</si>
  <si>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</si>
  <si>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</si>
  <si>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</si>
  <si>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</si>
  <si>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</si>
  <si>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</si>
  <si>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</si>
  <si>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</si>
  <si>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</si>
  <si>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</si>
  <si>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</si>
  <si>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</si>
  <si>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</si>
  <si>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</si>
  <si>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</si>
  <si>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</si>
  <si>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</si>
  <si>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</si>
  <si>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</si>
  <si>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</si>
  <si>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</si>
  <si>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</si>
  <si>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</si>
  <si>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</si>
  <si>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</si>
  <si>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</si>
  <si>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</si>
  <si>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</si>
  <si>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</si>
  <si>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</si>
  <si>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</si>
  <si>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</si>
  <si>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</si>
  <si>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</si>
  <si>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</si>
  <si>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</si>
  <si>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</si>
  <si>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</si>
  <si>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</si>
  <si>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</si>
  <si>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</si>
  <si>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</si>
  <si>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</si>
  <si>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</si>
  <si>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</si>
  <si>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</si>
  <si>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</si>
  <si>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</si>
  <si>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</si>
  <si>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</si>
  <si>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</si>
  <si>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</si>
  <si>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</si>
  <si>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</si>
  <si>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</si>
  <si>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</si>
  <si>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</si>
  <si>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</si>
  <si>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</si>
  <si>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</si>
  <si>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</si>
  <si>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</si>
  <si>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</si>
  <si>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</si>
  <si>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</si>
  <si>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</si>
  <si>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</si>
  <si>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</si>
  <si>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</si>
  <si>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</si>
  <si>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</si>
  <si>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</si>
  <si>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</si>
  <si>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</si>
  <si>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</si>
  <si>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</si>
  <si>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</si>
  <si>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</si>
  <si>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</si>
  <si>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</si>
  <si>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</si>
  <si>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</si>
  <si>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</si>
  <si>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</si>
  <si>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</si>
  <si>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</si>
  <si>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</si>
  <si>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</si>
  <si>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</si>
  <si>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</si>
  <si>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</si>
  <si>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</si>
  <si>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</si>
  <si>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</si>
  <si>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</si>
  <si>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</si>
  <si>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</si>
  <si>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</si>
  <si>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</si>
  <si>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</si>
  <si>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</si>
  <si>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</si>
  <si>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</si>
  <si>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</si>
  <si>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</si>
  <si>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</si>
  <si>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</si>
  <si>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</si>
  <si>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</si>
  <si>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</si>
  <si>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</si>
  <si>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</si>
  <si>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</si>
  <si>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</si>
  <si>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</si>
  <si>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</si>
  <si>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</si>
  <si>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</si>
  <si>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</si>
  <si>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</si>
  <si>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</si>
  <si>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</si>
  <si>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</si>
  <si>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</si>
  <si>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</si>
  <si>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</si>
  <si>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</si>
  <si>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</si>
  <si>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</si>
  <si>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</si>
  <si>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</si>
  <si>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Other farmers</t>
  </si>
  <si>
    <t>Yes inorganic fertilizers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</si>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</sst>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0.058227838291934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2016</v>
      </c>
    </row>
    <row r="13" spans="1:7">
      <c r="B13" s="1" t="s">
        <v>8</v>
      </c>
      <c r="C13" s="67">
        <f>IFERROR(Output!B107/Output!B101,"")</f>
        <v>0.71309954088112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24105.756647865</v>
      </c>
    </row>
    <row r="17" spans="1:7">
      <c r="B17" s="1" t="s">
        <v>11</v>
      </c>
      <c r="C17" s="36">
        <f>SUM(Output!B6:M6)</f>
        <v>2239906.0293409</v>
      </c>
    </row>
    <row r="18" spans="1:7">
      <c r="B18" s="1" t="s">
        <v>12</v>
      </c>
      <c r="C18" s="36">
        <f>MIN(Output!B6:M6)</f>
        <v>-179844.43853481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383172.22293501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</v>
      </c>
    </row>
    <row r="25" spans="1:7">
      <c r="B25" s="1" t="s">
        <v>18</v>
      </c>
      <c r="C25" s="36">
        <f>MAX(Inputs!A56:A60)</f>
        <v>15000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T12" sqref="T12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42644</v>
      </c>
      <c r="C5" s="17">
        <f>DATE(YEAR(B5),MONTH(B5)+1,DAY(B5))</f>
        <v>42675</v>
      </c>
      <c r="D5" s="17">
        <f>DATE(YEAR(C5),MONTH(C5)+1,DAY(C5))</f>
        <v>42705</v>
      </c>
      <c r="E5" s="17">
        <f>DATE(YEAR(D5),MONTH(D5)+1,DAY(D5))</f>
        <v>42736</v>
      </c>
      <c r="F5" s="17">
        <f>DATE(YEAR(E5),MONTH(E5)+1,DAY(E5))</f>
        <v>42767</v>
      </c>
      <c r="G5" s="17">
        <f>DATE(YEAR(F5),MONTH(F5)+1,DAY(F5))</f>
        <v>42795</v>
      </c>
      <c r="H5" s="17">
        <f>DATE(YEAR(G5),MONTH(G5)+1,DAY(G5))</f>
        <v>42826</v>
      </c>
      <c r="I5" s="17">
        <f>DATE(YEAR(H5),MONTH(H5)+1,DAY(H5))</f>
        <v>42856</v>
      </c>
      <c r="J5" s="17">
        <f>DATE(YEAR(I5),MONTH(I5)+1,DAY(I5))</f>
        <v>42887</v>
      </c>
      <c r="K5" s="17">
        <f>DATE(YEAR(J5),MONTH(J5)+1,DAY(J5))</f>
        <v>42917</v>
      </c>
      <c r="L5" s="17">
        <f>DATE(YEAR(K5),MONTH(K5)+1,DAY(K5))</f>
        <v>42948</v>
      </c>
      <c r="M5" s="17">
        <f>DATE(YEAR(L5),MONTH(L5)+1,DAY(L5))</f>
        <v>42979</v>
      </c>
      <c r="N5" s="17">
        <f>DATE(YEAR(M5),MONTH(M5)+1,DAY(M5))</f>
        <v>43009</v>
      </c>
      <c r="O5" s="17">
        <f>DATE(YEAR(N5),MONTH(N5)+1,DAY(N5))</f>
        <v>43040</v>
      </c>
      <c r="P5" s="17">
        <f>DATE(YEAR(O5),MONTH(O5)+1,DAY(O5))</f>
        <v>43070</v>
      </c>
      <c r="Q5" s="17">
        <f>DATE(YEAR(P5),MONTH(P5)+1,DAY(P5))</f>
        <v>43101</v>
      </c>
      <c r="R5" s="17">
        <f>DATE(YEAR(Q5),MONTH(Q5)+1,DAY(Q5))</f>
        <v>43132</v>
      </c>
      <c r="S5" s="17">
        <f>DATE(YEAR(R5),MONTH(R5)+1,DAY(R5))</f>
        <v>43160</v>
      </c>
      <c r="T5" s="17">
        <f>DATE(YEAR(S5),MONTH(S5)+1,DAY(S5))</f>
        <v>43191</v>
      </c>
      <c r="U5" s="17">
        <f>DATE(YEAR(T5),MONTH(T5)+1,DAY(T5))</f>
        <v>43221</v>
      </c>
      <c r="V5" s="17">
        <f>DATE(YEAR(U5),MONTH(U5)+1,DAY(U5))</f>
        <v>43252</v>
      </c>
      <c r="W5" s="17">
        <f>DATE(YEAR(V5),MONTH(V5)+1,DAY(V5))</f>
        <v>43282</v>
      </c>
      <c r="X5" s="17">
        <f>DATE(YEAR(W5),MONTH(W5)+1,DAY(W5))</f>
        <v>43313</v>
      </c>
      <c r="Y5" s="17">
        <f>DATE(YEAR(X5),MONTH(X5)+1,DAY(X5))</f>
        <v>43344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43374</v>
      </c>
    </row>
    <row r="6" spans="1:30" customHeight="1" ht="15.75">
      <c r="A6" s="50" t="s">
        <v>27</v>
      </c>
      <c r="B6" s="51">
        <f>B30-B88</f>
        <v>345143.70855802</v>
      </c>
      <c r="C6" s="51">
        <f>C30-C88</f>
        <v>382800.73731201</v>
      </c>
      <c r="D6" s="51">
        <f>D30-D88</f>
        <v>369172.22293501</v>
      </c>
      <c r="E6" s="51">
        <f>E30-E88</f>
        <v>339150.22293501</v>
      </c>
      <c r="F6" s="51">
        <f>F30-F88</f>
        <v>-145044.43853481</v>
      </c>
      <c r="G6" s="51">
        <f>G30-G88</f>
        <v>-179844.43853481</v>
      </c>
      <c r="H6" s="51">
        <f>H30-H88</f>
        <v>346722.22293501</v>
      </c>
      <c r="I6" s="51">
        <f>I30-I88</f>
        <v>383172.22293501</v>
      </c>
      <c r="J6" s="51">
        <f>J30-J88</f>
        <v>383172.22293501</v>
      </c>
      <c r="K6" s="51">
        <f>K30-K88</f>
        <v>339150.22293501</v>
      </c>
      <c r="L6" s="51">
        <f>L30-L88</f>
        <v>-145044.43853481</v>
      </c>
      <c r="M6" s="51">
        <f>M30-M88</f>
        <v>-178644.43853481</v>
      </c>
      <c r="N6" s="51">
        <f>N30-N88</f>
        <v>346722.22293501</v>
      </c>
      <c r="O6" s="51">
        <f>O30-O88</f>
        <v>383172.22293501</v>
      </c>
      <c r="P6" s="51">
        <f>P30-P88</f>
        <v>383172.22293501</v>
      </c>
      <c r="Q6" s="51">
        <f>Q30-Q88</f>
        <v>339150.22293501</v>
      </c>
      <c r="R6" s="51">
        <f>R30-R88</f>
        <v>-125056.93853481</v>
      </c>
      <c r="S6" s="51">
        <f>S30-S88</f>
        <v>-179844.43853481</v>
      </c>
      <c r="T6" s="51">
        <f>T30-T88</f>
        <v>346722.22293501</v>
      </c>
      <c r="U6" s="51">
        <f>U30-U88</f>
        <v>383172.22293501</v>
      </c>
      <c r="V6" s="51">
        <f>V30-V88</f>
        <v>383172.22293501</v>
      </c>
      <c r="W6" s="51">
        <f>W30-W88</f>
        <v>339150.22293501</v>
      </c>
      <c r="X6" s="51">
        <f>X30-X88</f>
        <v>-145044.43853481</v>
      </c>
      <c r="Y6" s="51">
        <f>Y30-Y88</f>
        <v>-178644.43853481</v>
      </c>
      <c r="Z6" s="51">
        <f>SUMIF($B$13:$Y$13,"Yes",B6:Y6)</f>
        <v>2224444.6834755</v>
      </c>
      <c r="AA6" s="51">
        <f>AA30-AA88</f>
        <v>2239906.0293409</v>
      </c>
      <c r="AB6" s="51">
        <f>AB30-AB88</f>
        <v>4515749.5586817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294</v>
      </c>
      <c r="F7" s="80">
        <f>IF(ISERROR(VLOOKUP(MONTH(F5),Inputs!$D$66:$D$71,1,0)),"",INDEX(Inputs!$B$66:$B$71,MATCH(MONTH(Output!F5),Inputs!$D$66:$D$71,0))-INDEX(Inputs!$C$66:$C$71,MATCH(MONTH(Output!F5),Inputs!$D$66:$D$71,0)))</f>
        <v>-200</v>
      </c>
      <c r="G7" s="80">
        <f>IF(ISERROR(VLOOKUP(MONTH(G5),Inputs!$D$66:$D$71,1,0)),"",INDEX(Inputs!$B$66:$B$71,MATCH(MONTH(Output!G5),Inputs!$D$66:$D$71,0))-INDEX(Inputs!$C$66:$C$71,MATCH(MONTH(Output!G5),Inputs!$D$66:$D$71,0)))</f>
        <v>39589</v>
      </c>
      <c r="H7" s="80">
        <f>IF(ISERROR(VLOOKUP(MONTH(H5),Inputs!$D$66:$D$71,1,0)),"",INDEX(Inputs!$B$66:$B$71,MATCH(MONTH(Output!H5),Inputs!$D$66:$D$71,0))-INDEX(Inputs!$C$66:$C$71,MATCH(MONTH(Output!H5),Inputs!$D$66:$D$71,0)))</f>
        <v>3554</v>
      </c>
      <c r="I7" s="80">
        <f>IF(ISERROR(VLOOKUP(MONTH(I5),Inputs!$D$66:$D$71,1,0)),"",INDEX(Inputs!$B$66:$B$71,MATCH(MONTH(Output!I5),Inputs!$D$66:$D$71,0))-INDEX(Inputs!$C$66:$C$71,MATCH(MONTH(Output!I5),Inputs!$D$66:$D$71,0)))</f>
        <v>-2346</v>
      </c>
      <c r="J7" s="80">
        <f>IF(ISERROR(VLOOKUP(MONTH(J5),Inputs!$D$66:$D$71,1,0)),"",INDEX(Inputs!$B$66:$B$71,MATCH(MONTH(Output!J5),Inputs!$D$66:$D$71,0))-INDEX(Inputs!$C$66:$C$71,MATCH(MONTH(Output!J5),Inputs!$D$66:$D$71,0)))</f>
        <v>1111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294</v>
      </c>
      <c r="R7" s="80">
        <f>IF(ISERROR(VLOOKUP(MONTH(R5),Inputs!$D$66:$D$71,1,0)),"",INDEX(Inputs!$B$66:$B$71,MATCH(MONTH(Output!R5),Inputs!$D$66:$D$71,0))-INDEX(Inputs!$C$66:$C$71,MATCH(MONTH(Output!R5),Inputs!$D$66:$D$71,0)))</f>
        <v>-200</v>
      </c>
      <c r="S7" s="80">
        <f>IF(ISERROR(VLOOKUP(MONTH(S5),Inputs!$D$66:$D$71,1,0)),"",INDEX(Inputs!$B$66:$B$71,MATCH(MONTH(Output!S5),Inputs!$D$66:$D$71,0))-INDEX(Inputs!$C$66:$C$71,MATCH(MONTH(Output!S5),Inputs!$D$66:$D$71,0)))</f>
        <v>39589</v>
      </c>
      <c r="T7" s="80">
        <f>IF(ISERROR(VLOOKUP(MONTH(T5),Inputs!$D$66:$D$71,1,0)),"",INDEX(Inputs!$B$66:$B$71,MATCH(MONTH(Output!T5),Inputs!$D$66:$D$71,0))-INDEX(Inputs!$C$66:$C$71,MATCH(MONTH(Output!T5),Inputs!$D$66:$D$71,0)))</f>
        <v>3554</v>
      </c>
      <c r="U7" s="80">
        <f>IF(ISERROR(VLOOKUP(MONTH(U5),Inputs!$D$66:$D$71,1,0)),"",INDEX(Inputs!$B$66:$B$71,MATCH(MONTH(Output!U5),Inputs!$D$66:$D$71,0))-INDEX(Inputs!$C$66:$C$71,MATCH(MONTH(Output!U5),Inputs!$D$66:$D$71,0)))</f>
        <v>-2346</v>
      </c>
      <c r="V7" s="80">
        <f>IF(ISERROR(VLOOKUP(MONTH(V5),Inputs!$D$66:$D$71,1,0)),"",INDEX(Inputs!$B$66:$B$71,MATCH(MONTH(Output!V5),Inputs!$D$66:$D$71,0))-INDEX(Inputs!$C$66:$C$71,MATCH(MONTH(Output!V5),Inputs!$D$66:$D$71,0)))</f>
        <v>1111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121500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121500</v>
      </c>
      <c r="AA9" s="75">
        <f>SUM(B9:M9)</f>
        <v>121500</v>
      </c>
      <c r="AB9" s="75">
        <f>SUM(B9:Y9)</f>
        <v>121500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16070.50443191</v>
      </c>
      <c r="D10" s="37">
        <f>SUMPRODUCT((Calculations!$D$33:$D$84=Output!D5)+0,Calculations!$C$33:$C$84)</f>
        <v>16070.50443191</v>
      </c>
      <c r="E10" s="37">
        <f>SUMPRODUCT((Calculations!$D$33:$D$84=Output!E5)+0,Calculations!$C$33:$C$84)</f>
        <v>16070.50443191</v>
      </c>
      <c r="F10" s="37">
        <f>SUMPRODUCT((Calculations!$D$33:$D$84=Output!F5)+0,Calculations!$C$33:$C$84)</f>
        <v>16070.50443191</v>
      </c>
      <c r="G10" s="37">
        <f>SUMPRODUCT((Calculations!$D$33:$D$84=Output!G5)+0,Calculations!$C$33:$C$84)</f>
        <v>24105.756647865</v>
      </c>
      <c r="H10" s="37">
        <f>SUMPRODUCT((Calculations!$D$33:$D$84=Output!H5)+0,Calculations!$C$33:$C$84)</f>
        <v>16070.50443191</v>
      </c>
      <c r="I10" s="37">
        <f>SUMPRODUCT((Calculations!$D$33:$D$84=Output!I5)+0,Calculations!$C$33:$C$84)</f>
        <v>16070.50443191</v>
      </c>
      <c r="J10" s="37">
        <f>SUMPRODUCT((Calculations!$D$33:$D$84=Output!J5)+0,Calculations!$C$33:$C$84)</f>
        <v>16070.50443191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136599.28767123</v>
      </c>
      <c r="AA10" s="37">
        <f>SUM(B10:M10)</f>
        <v>136599.28767123</v>
      </c>
      <c r="AB10" s="37">
        <f>SUM(B10:Y10)</f>
        <v>136599.28767123</v>
      </c>
    </row>
    <row r="11" spans="1:30" customHeight="1" ht="15.75">
      <c r="A11" s="43" t="s">
        <v>31</v>
      </c>
      <c r="B11" s="80">
        <f>B6+B9-B10</f>
        <v>466643.70855802</v>
      </c>
      <c r="C11" s="80">
        <f>C6+C9-C10</f>
        <v>366730.2328801</v>
      </c>
      <c r="D11" s="80">
        <f>D6+D9-D10</f>
        <v>353101.7185031</v>
      </c>
      <c r="E11" s="80">
        <f>E6+E9-E10</f>
        <v>323079.7185031</v>
      </c>
      <c r="F11" s="80">
        <f>F6+F9-F10</f>
        <v>-161114.94296672</v>
      </c>
      <c r="G11" s="80">
        <f>G6+G9-G10</f>
        <v>-203950.19518267</v>
      </c>
      <c r="H11" s="80">
        <f>H6+H9-H10</f>
        <v>330651.7185031</v>
      </c>
      <c r="I11" s="80">
        <f>I6+I9-I10</f>
        <v>367101.7185031</v>
      </c>
      <c r="J11" s="80">
        <f>J6+J9-J10</f>
        <v>367101.7185031</v>
      </c>
      <c r="K11" s="80">
        <f>K6+K9-K10</f>
        <v>339150.22293501</v>
      </c>
      <c r="L11" s="80">
        <f>L6+L9-L10</f>
        <v>-145044.43853481</v>
      </c>
      <c r="M11" s="80">
        <f>M6+M9-M10</f>
        <v>-178644.43853481</v>
      </c>
      <c r="N11" s="80">
        <f>N6+N9-N10</f>
        <v>346722.22293501</v>
      </c>
      <c r="O11" s="80">
        <f>O6+O9-O10</f>
        <v>383172.22293501</v>
      </c>
      <c r="P11" s="80">
        <f>P6+P9-P10</f>
        <v>383172.22293501</v>
      </c>
      <c r="Q11" s="80">
        <f>Q6+Q9-Q10</f>
        <v>339150.22293501</v>
      </c>
      <c r="R11" s="80">
        <f>R6+R9-R10</f>
        <v>-125056.93853481</v>
      </c>
      <c r="S11" s="80">
        <f>S6+S9-S10</f>
        <v>-179844.43853481</v>
      </c>
      <c r="T11" s="80">
        <f>T6+T9-T10</f>
        <v>346722.22293501</v>
      </c>
      <c r="U11" s="80">
        <f>U6+U9-U10</f>
        <v>383172.22293501</v>
      </c>
      <c r="V11" s="80">
        <f>V6+V9-V10</f>
        <v>383172.22293501</v>
      </c>
      <c r="W11" s="80">
        <f>W6+W9-W10</f>
        <v>339150.22293501</v>
      </c>
      <c r="X11" s="80">
        <f>X6+X9-X10</f>
        <v>-145044.43853481</v>
      </c>
      <c r="Y11" s="80">
        <f>Y6+Y9-Y10</f>
        <v>-178644.43853481</v>
      </c>
      <c r="Z11" s="85">
        <f>SUMIF($B$13:$Y$13,"Yes",B11:Y11)</f>
        <v>2209345.3958042</v>
      </c>
      <c r="AA11" s="80">
        <f>SUM(B11:M11)</f>
        <v>2224806.7416696</v>
      </c>
      <c r="AB11" s="46">
        <f>SUM(B11:Y11)</f>
        <v>4500650.2710105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0.01891884102609</v>
      </c>
      <c r="D12" s="82">
        <f>IF(D13="Yes",IF(SUM($B$10:D10)/(SUM($B$6:D6)+SUM($B$9:D9))&lt;0,999.99,SUM($B$10:D10)/(SUM($B$6:D6)+SUM($B$9:D9))),"")</f>
        <v>0.02637499526027</v>
      </c>
      <c r="E12" s="82">
        <f>IF(E13="Yes",IF(SUM($B$10:E10)/(SUM($B$6:E6)+SUM($B$9:E9))&lt;0,999.99,SUM($B$10:E10)/(SUM($B$6:E6)+SUM($B$9:E9))),"")</f>
        <v>0.03094911924972</v>
      </c>
      <c r="F12" s="82">
        <f>IF(F13="Yes",IF(SUM($B$10:F10)/(SUM($B$6:F6)+SUM($B$9:F9))&lt;0,999.99,SUM($B$10:F10)/(SUM($B$6:F6)+SUM($B$9:F9))),"")</f>
        <v>0.045502226981523</v>
      </c>
      <c r="G12" s="82">
        <f>IF(G13="Yes",IF(SUM($B$10:G10)/(SUM($B$6:G6)+SUM($B$9:G9))&lt;0,999.99,SUM($B$10:G10)/(SUM($B$6:G6)+SUM($B$9:G9))),"")</f>
        <v>0.07169223015071</v>
      </c>
      <c r="H12" s="82">
        <f>IF(H13="Yes",IF(SUM($B$10:H10)/(SUM($B$6:H6)+SUM($B$9:H9))&lt;0,999.99,SUM($B$10:H10)/(SUM($B$6:H6)+SUM($B$9:H9))),"")</f>
        <v>0.066129566405842</v>
      </c>
      <c r="I12" s="82">
        <f>IF(I13="Yes",IF(SUM($B$10:I10)/(SUM($B$6:I6)+SUM($B$9:I9))&lt;0,999.99,SUM($B$10:I10)/(SUM($B$6:I6)+SUM($B$9:I9))),"")</f>
        <v>0.06140741510411</v>
      </c>
      <c r="J12" s="82">
        <f>IF(J13="Yes",IF(SUM($B$10:J10)/(SUM($B$6:J6)+SUM($B$9:J9))&lt;0,999.99,SUM($B$10:J10)/(SUM($B$6:J6)+SUM($B$9:J9))),"")</f>
        <v>0.058227838291934</v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42644</v>
      </c>
      <c r="C17" s="17">
        <f>C5</f>
        <v>42675</v>
      </c>
      <c r="D17" s="17">
        <f>D5</f>
        <v>42705</v>
      </c>
      <c r="E17" s="17">
        <f>E5</f>
        <v>42736</v>
      </c>
      <c r="F17" s="17">
        <f>F5</f>
        <v>42767</v>
      </c>
      <c r="G17" s="17">
        <f>G5</f>
        <v>42795</v>
      </c>
      <c r="H17" s="17">
        <f>H5</f>
        <v>42826</v>
      </c>
      <c r="I17" s="17">
        <f>I5</f>
        <v>42856</v>
      </c>
      <c r="J17" s="17">
        <f>J5</f>
        <v>42887</v>
      </c>
      <c r="K17" s="17">
        <f>K5</f>
        <v>42917</v>
      </c>
      <c r="L17" s="17">
        <f>L5</f>
        <v>42948</v>
      </c>
      <c r="M17" s="17">
        <f>M5</f>
        <v>42979</v>
      </c>
      <c r="N17" s="17">
        <f>N5</f>
        <v>43009</v>
      </c>
      <c r="O17" s="17">
        <f>O5</f>
        <v>43040</v>
      </c>
      <c r="P17" s="17">
        <f>P5</f>
        <v>43070</v>
      </c>
      <c r="Q17" s="17">
        <f>Q5</f>
        <v>43101</v>
      </c>
      <c r="R17" s="17">
        <f>R5</f>
        <v>43132</v>
      </c>
      <c r="S17" s="17">
        <f>S5</f>
        <v>43160</v>
      </c>
      <c r="T17" s="17">
        <f>T5</f>
        <v>43191</v>
      </c>
      <c r="U17" s="17">
        <f>U5</f>
        <v>43221</v>
      </c>
      <c r="V17" s="17">
        <f>V5</f>
        <v>43252</v>
      </c>
      <c r="W17" s="17">
        <f>W5</f>
        <v>43282</v>
      </c>
      <c r="X17" s="17">
        <f>X5</f>
        <v>43313</v>
      </c>
      <c r="Y17" s="17">
        <f>Y5</f>
        <v>43344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491766.66146982</v>
      </c>
      <c r="C18" s="36">
        <f>O18</f>
        <v>491766.66146982</v>
      </c>
      <c r="D18" s="36">
        <f>P18</f>
        <v>491766.66146982</v>
      </c>
      <c r="E18" s="36">
        <f>Q18</f>
        <v>491766.66146982</v>
      </c>
      <c r="F18" s="36">
        <f>R18</f>
        <v>0</v>
      </c>
      <c r="G18" s="36">
        <f>S18</f>
        <v>0</v>
      </c>
      <c r="H18" s="36">
        <f>T18</f>
        <v>491766.66146982</v>
      </c>
      <c r="I18" s="36">
        <f>U18</f>
        <v>491766.66146982</v>
      </c>
      <c r="J18" s="36">
        <f>V18</f>
        <v>491766.66146982</v>
      </c>
      <c r="K18" s="36">
        <f>W18</f>
        <v>491766.66146982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491766.66146982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491766.66146982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491766.66146982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491766.66146982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491766.66146982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491766.66146982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491766.66146982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491766.66146982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3442366.6302888</v>
      </c>
      <c r="AA18" s="36">
        <f>SUM(B18:M18)</f>
        <v>3934133.2917586</v>
      </c>
      <c r="AB18" s="36">
        <f>SUM(B18:Y18)</f>
        <v>7868266.5835172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16877.819548872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11892.230576441</v>
      </c>
      <c r="C24" s="36">
        <f>IFERROR(Calculations!$P14/12,"")</f>
        <v>11892.230576441</v>
      </c>
      <c r="D24" s="36">
        <f>IFERROR(Calculations!$P14/12,"")</f>
        <v>11892.230576441</v>
      </c>
      <c r="E24" s="36">
        <f>IFERROR(Calculations!$P14/12,"")</f>
        <v>11892.230576441</v>
      </c>
      <c r="F24" s="36">
        <f>IFERROR(Calculations!$P14/12,"")</f>
        <v>11892.230576441</v>
      </c>
      <c r="G24" s="36">
        <f>IFERROR(Calculations!$P14/12,"")</f>
        <v>11892.230576441</v>
      </c>
      <c r="H24" s="36">
        <f>IFERROR(Calculations!$P14/12,"")</f>
        <v>11892.230576441</v>
      </c>
      <c r="I24" s="36">
        <f>IFERROR(Calculations!$P14/12,"")</f>
        <v>11892.230576441</v>
      </c>
      <c r="J24" s="36">
        <f>IFERROR(Calculations!$P14/12,"")</f>
        <v>11892.230576441</v>
      </c>
      <c r="K24" s="36">
        <f>IFERROR(Calculations!$P14/12,"")</f>
        <v>11892.230576441</v>
      </c>
      <c r="L24" s="36">
        <f>IFERROR(Calculations!$P14/12,"")</f>
        <v>11892.230576441</v>
      </c>
      <c r="M24" s="36">
        <f>IFERROR(Calculations!$P14/12,"")</f>
        <v>11892.230576441</v>
      </c>
      <c r="N24" s="36">
        <f>IFERROR(Calculations!$P14/12,"")</f>
        <v>11892.230576441</v>
      </c>
      <c r="O24" s="36">
        <f>IFERROR(Calculations!$P14/12,"")</f>
        <v>11892.230576441</v>
      </c>
      <c r="P24" s="36">
        <f>IFERROR(Calculations!$P14/12,"")</f>
        <v>11892.230576441</v>
      </c>
      <c r="Q24" s="36">
        <f>IFERROR(Calculations!$P14/12,"")</f>
        <v>11892.230576441</v>
      </c>
      <c r="R24" s="36">
        <f>IFERROR(Calculations!$P14/12,"")</f>
        <v>11892.230576441</v>
      </c>
      <c r="S24" s="36">
        <f>IFERROR(Calculations!$P14/12,"")</f>
        <v>11892.230576441</v>
      </c>
      <c r="T24" s="36">
        <f>IFERROR(Calculations!$P14/12,"")</f>
        <v>11892.230576441</v>
      </c>
      <c r="U24" s="36">
        <f>IFERROR(Calculations!$P14/12,"")</f>
        <v>11892.230576441</v>
      </c>
      <c r="V24" s="36">
        <f>IFERROR(Calculations!$P14/12,"")</f>
        <v>11892.230576441</v>
      </c>
      <c r="W24" s="36">
        <f>IFERROR(Calculations!$P14/12,"")</f>
        <v>11892.230576441</v>
      </c>
      <c r="X24" s="36">
        <f>IFERROR(Calculations!$P14/12,"")</f>
        <v>11892.230576441</v>
      </c>
      <c r="Y24" s="36">
        <f>IFERROR(Calculations!$P14/12,"")</f>
        <v>11892.230576441</v>
      </c>
      <c r="Z24" s="36">
        <f>SUMIF($B$13:$Y$13,"Yes",B24:Y24)</f>
        <v>107030.07518797</v>
      </c>
      <c r="AA24" s="36">
        <f>SUM(B24:M24)</f>
        <v>142706.76691729</v>
      </c>
      <c r="AB24" s="46">
        <f>SUM(B24:Y24)</f>
        <v>285413.53383459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19987.5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19987.5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135000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518658.89204626</v>
      </c>
      <c r="C30" s="19">
        <f>SUM(C18:C29)</f>
        <v>518658.89204626</v>
      </c>
      <c r="D30" s="19">
        <f>SUM(D18:D29)</f>
        <v>518658.89204626</v>
      </c>
      <c r="E30" s="19">
        <f>SUM(E18:E29)</f>
        <v>518658.89204626</v>
      </c>
      <c r="F30" s="19">
        <f>SUM(F18:F29)</f>
        <v>26892.230576441</v>
      </c>
      <c r="G30" s="19">
        <f>SUM(G18:G29)</f>
        <v>26892.230576441</v>
      </c>
      <c r="H30" s="19">
        <f>SUM(H18:H29)</f>
        <v>518658.89204626</v>
      </c>
      <c r="I30" s="19">
        <f>SUM(I18:I29)</f>
        <v>518658.89204626</v>
      </c>
      <c r="J30" s="19">
        <f>SUM(J18:J29)</f>
        <v>518658.89204626</v>
      </c>
      <c r="K30" s="19">
        <f>SUM(K18:K29)</f>
        <v>518658.89204626</v>
      </c>
      <c r="L30" s="19">
        <f>SUM(L18:L29)</f>
        <v>26892.230576441</v>
      </c>
      <c r="M30" s="19">
        <f>SUM(M18:M29)</f>
        <v>26892.230576441</v>
      </c>
      <c r="N30" s="19">
        <f>SUM(N18:N29)</f>
        <v>518658.89204626</v>
      </c>
      <c r="O30" s="19">
        <f>SUM(O18:O29)</f>
        <v>518658.89204626</v>
      </c>
      <c r="P30" s="19">
        <f>SUM(P18:P29)</f>
        <v>518658.89204626</v>
      </c>
      <c r="Q30" s="19">
        <f>SUM(Q18:Q29)</f>
        <v>518658.89204626</v>
      </c>
      <c r="R30" s="19">
        <f>SUM(R18:R29)</f>
        <v>46879.730576441</v>
      </c>
      <c r="S30" s="19">
        <f>SUM(S18:S29)</f>
        <v>26892.230576441</v>
      </c>
      <c r="T30" s="19">
        <f>SUM(T18:T29)</f>
        <v>518658.89204626</v>
      </c>
      <c r="U30" s="19">
        <f>SUM(U18:U29)</f>
        <v>518658.89204626</v>
      </c>
      <c r="V30" s="19">
        <f>SUM(V18:V29)</f>
        <v>518658.89204626</v>
      </c>
      <c r="W30" s="19">
        <f>SUM(W18:W29)</f>
        <v>518658.89204626</v>
      </c>
      <c r="X30" s="19">
        <f>SUM(X18:X29)</f>
        <v>26892.230576441</v>
      </c>
      <c r="Y30" s="19">
        <f>SUM(Y18:Y29)</f>
        <v>26892.230576441</v>
      </c>
      <c r="Z30" s="19">
        <f>SUMIF($B$13:$Y$13,"Yes",B30:Y30)</f>
        <v>3684396.7054767</v>
      </c>
      <c r="AA30" s="19">
        <f>SUM(B30:M30)</f>
        <v>4256840.0586759</v>
      </c>
      <c r="AB30" s="19">
        <f>SUM(B30:Y30)</f>
        <v>8533667.6173517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42644</v>
      </c>
      <c r="C35" s="17">
        <f>C17</f>
        <v>42675</v>
      </c>
      <c r="D35" s="17">
        <f>D17</f>
        <v>42705</v>
      </c>
      <c r="E35" s="17">
        <f>E17</f>
        <v>42736</v>
      </c>
      <c r="F35" s="17">
        <f>F17</f>
        <v>42767</v>
      </c>
      <c r="G35" s="17">
        <f>G17</f>
        <v>42795</v>
      </c>
      <c r="H35" s="17">
        <f>H17</f>
        <v>42826</v>
      </c>
      <c r="I35" s="17">
        <f>I17</f>
        <v>42856</v>
      </c>
      <c r="J35" s="17">
        <f>J17</f>
        <v>42887</v>
      </c>
      <c r="K35" s="17">
        <f>K17</f>
        <v>42917</v>
      </c>
      <c r="L35" s="17">
        <f>L17</f>
        <v>42948</v>
      </c>
      <c r="M35" s="17">
        <f>M17</f>
        <v>42979</v>
      </c>
      <c r="N35" s="17">
        <f>N17</f>
        <v>43009</v>
      </c>
      <c r="O35" s="17">
        <f>O17</f>
        <v>43040</v>
      </c>
      <c r="P35" s="17">
        <f>P17</f>
        <v>43070</v>
      </c>
      <c r="Q35" s="17">
        <f>Q17</f>
        <v>43101</v>
      </c>
      <c r="R35" s="17">
        <f>R17</f>
        <v>43132</v>
      </c>
      <c r="S35" s="17">
        <f>S17</f>
        <v>43160</v>
      </c>
      <c r="T35" s="17">
        <f>T17</f>
        <v>43191</v>
      </c>
      <c r="U35" s="17">
        <f>U17</f>
        <v>43221</v>
      </c>
      <c r="V35" s="17">
        <f>V17</f>
        <v>43252</v>
      </c>
      <c r="W35" s="17">
        <f>W17</f>
        <v>43282</v>
      </c>
      <c r="X35" s="17">
        <f>X17</f>
        <v>43313</v>
      </c>
      <c r="Y35" s="17">
        <f>Y17</f>
        <v>43344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300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300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300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300</v>
      </c>
      <c r="X36" s="36">
        <f>SUM(X37:X41)</f>
        <v>0</v>
      </c>
      <c r="Y36" s="36">
        <f>SUM(Y37:Y41)</f>
        <v>0</v>
      </c>
      <c r="Z36" s="36">
        <f>SUMIF($B$13:$Y$13,"Yes",B36:Y36)</f>
        <v>300</v>
      </c>
      <c r="AA36" s="36">
        <f>SUM(B36:M36)</f>
        <v>600</v>
      </c>
      <c r="AB36" s="36">
        <f>SUM(B36:Y36)</f>
        <v>1200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300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300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300</v>
      </c>
      <c r="AA37" s="36">
        <f>SUM(B37:M37)</f>
        <v>600</v>
      </c>
      <c r="AB37" s="36">
        <f>SUM(B37:Y37)</f>
        <v>1200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7272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7272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7272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7272</v>
      </c>
      <c r="X42" s="36">
        <f>SUM(X43:X47)</f>
        <v>0</v>
      </c>
      <c r="Y42" s="36">
        <f>SUM(Y43:Y47)</f>
        <v>0</v>
      </c>
      <c r="Z42" s="36">
        <f>SUMIF($B$13:$Y$13,"Yes",B42:Y42)</f>
        <v>7272</v>
      </c>
      <c r="AA42" s="36">
        <f>SUM(B42:M42)</f>
        <v>14544</v>
      </c>
      <c r="AB42" s="36">
        <f>SUM(B42:Y42)</f>
        <v>29088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7272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7272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7272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7272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7272</v>
      </c>
      <c r="AA43" s="36">
        <f>SUM(B43:M43)</f>
        <v>14544</v>
      </c>
      <c r="AB43" s="36">
        <f>SUM(B43:Y43)</f>
        <v>29088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33600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33600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33600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33600</v>
      </c>
      <c r="Z48" s="46">
        <f>SUMIF($B$13:$Y$13,"Yes",B48:Y48)</f>
        <v>33600</v>
      </c>
      <c r="AA48" s="46">
        <f>SUM(B48:M48)</f>
        <v>67200</v>
      </c>
      <c r="AB48" s="46">
        <f>SUM(B48:Y48)</f>
        <v>134400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33600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33600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33600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33600</v>
      </c>
      <c r="Z49" s="46">
        <f>SUMIF($B$13:$Y$13,"Yes",B49:Y49)</f>
        <v>33600</v>
      </c>
      <c r="AA49" s="46">
        <f>SUM(B49:M49)</f>
        <v>67200</v>
      </c>
      <c r="AB49" s="46">
        <f>SUM(B49:Y49)</f>
        <v>134400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36450</v>
      </c>
      <c r="C66" s="36">
        <f>O66</f>
        <v>0</v>
      </c>
      <c r="D66" s="36">
        <f>P66</f>
        <v>0</v>
      </c>
      <c r="E66" s="36">
        <f>Q66</f>
        <v>36450</v>
      </c>
      <c r="F66" s="36">
        <f>R66</f>
        <v>36450</v>
      </c>
      <c r="G66" s="36">
        <f>S66</f>
        <v>36450</v>
      </c>
      <c r="H66" s="36">
        <f>T66</f>
        <v>36450</v>
      </c>
      <c r="I66" s="36">
        <f>U66</f>
        <v>0</v>
      </c>
      <c r="J66" s="36">
        <f>V66</f>
        <v>0</v>
      </c>
      <c r="K66" s="36">
        <f>W66</f>
        <v>36450</v>
      </c>
      <c r="L66" s="36">
        <f>X66</f>
        <v>36450</v>
      </c>
      <c r="M66" s="36">
        <f>Y66</f>
        <v>36450</v>
      </c>
      <c r="N66" s="46">
        <f>SUM(N67:N71)</f>
        <v>36450</v>
      </c>
      <c r="O66" s="46">
        <f>SUM(O67:O71)</f>
        <v>0</v>
      </c>
      <c r="P66" s="46">
        <f>SUM(P67:P71)</f>
        <v>0</v>
      </c>
      <c r="Q66" s="46">
        <f>SUM(Q67:Q71)</f>
        <v>36450</v>
      </c>
      <c r="R66" s="46">
        <f>SUM(R67:R71)</f>
        <v>36450</v>
      </c>
      <c r="S66" s="46">
        <f>SUM(S67:S71)</f>
        <v>36450</v>
      </c>
      <c r="T66" s="46">
        <f>SUM(T67:T71)</f>
        <v>36450</v>
      </c>
      <c r="U66" s="46">
        <f>SUM(U67:U71)</f>
        <v>0</v>
      </c>
      <c r="V66" s="46">
        <f>SUM(V67:V71)</f>
        <v>0</v>
      </c>
      <c r="W66" s="46">
        <f>SUM(W67:W71)</f>
        <v>36450</v>
      </c>
      <c r="X66" s="46">
        <f>SUM(X67:X71)</f>
        <v>36450</v>
      </c>
      <c r="Y66" s="46">
        <f>SUM(Y67:Y71)</f>
        <v>36450</v>
      </c>
      <c r="Z66" s="46">
        <f>SUMIF($B$13:$Y$13,"Yes",B66:Y66)</f>
        <v>182250</v>
      </c>
      <c r="AA66" s="46">
        <f>SUM(B66:M66)</f>
        <v>291600</v>
      </c>
      <c r="AB66" s="46">
        <f>SUM(B66:Y66)</f>
        <v>583200</v>
      </c>
    </row>
    <row r="67" spans="1:30" hidden="true" outlineLevel="1">
      <c r="A67" s="181" t="str">
        <f>Calculations!$A$4</f>
        <v>Cabbages</v>
      </c>
      <c r="B67" s="36">
        <f>N67</f>
        <v>36450</v>
      </c>
      <c r="C67" s="36">
        <f>O67</f>
        <v>0</v>
      </c>
      <c r="D67" s="36">
        <f>P67</f>
        <v>0</v>
      </c>
      <c r="E67" s="36">
        <f>Q67</f>
        <v>36450</v>
      </c>
      <c r="F67" s="36">
        <f>R67</f>
        <v>36450</v>
      </c>
      <c r="G67" s="36">
        <f>S67</f>
        <v>36450</v>
      </c>
      <c r="H67" s="36">
        <f>T67</f>
        <v>36450</v>
      </c>
      <c r="I67" s="36">
        <f>U67</f>
        <v>0</v>
      </c>
      <c r="J67" s="36">
        <f>V67</f>
        <v>0</v>
      </c>
      <c r="K67" s="36">
        <f>W67</f>
        <v>36450</v>
      </c>
      <c r="L67" s="36">
        <f>X67</f>
        <v>36450</v>
      </c>
      <c r="M67" s="36">
        <f>Y67</f>
        <v>36450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36450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36450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36450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36450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36450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36450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36450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36450</v>
      </c>
      <c r="Z67" s="46">
        <f>SUMIF($B$13:$Y$13,"Yes",B67:Y67)</f>
        <v>182250</v>
      </c>
      <c r="AA67" s="46">
        <f>SUM(B67:M67)</f>
        <v>291600</v>
      </c>
      <c r="AB67" s="46">
        <f>SUM(B67:Y67)</f>
        <v>583200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1200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1200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1200</v>
      </c>
      <c r="AA72" s="46">
        <f>SUM(B72:M72)</f>
        <v>1200</v>
      </c>
      <c r="AB72" s="46">
        <f>SUM(B72:Y72)</f>
        <v>2400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1870.625</v>
      </c>
      <c r="C74" s="46">
        <f>SUM(Calculations!$Q$14:$Q$16)/12</f>
        <v>1870.625</v>
      </c>
      <c r="D74" s="46">
        <f>SUM(Calculations!$Q$14:$Q$16)/12</f>
        <v>1870.625</v>
      </c>
      <c r="E74" s="46">
        <f>SUM(Calculations!$Q$14:$Q$16)/12</f>
        <v>1870.625</v>
      </c>
      <c r="F74" s="46">
        <f>SUM(Calculations!$Q$14:$Q$16)/12</f>
        <v>1870.625</v>
      </c>
      <c r="G74" s="46">
        <f>SUM(Calculations!$Q$14:$Q$16)/12</f>
        <v>1870.625</v>
      </c>
      <c r="H74" s="46">
        <f>SUM(Calculations!$Q$14:$Q$16)/12</f>
        <v>1870.625</v>
      </c>
      <c r="I74" s="46">
        <f>SUM(Calculations!$Q$14:$Q$16)/12</f>
        <v>1870.625</v>
      </c>
      <c r="J74" s="46">
        <f>SUM(Calculations!$Q$14:$Q$16)/12</f>
        <v>1870.625</v>
      </c>
      <c r="K74" s="46">
        <f>SUM(Calculations!$Q$14:$Q$16)/12</f>
        <v>1870.625</v>
      </c>
      <c r="L74" s="46">
        <f>SUM(Calculations!$Q$14:$Q$16)/12</f>
        <v>1870.625</v>
      </c>
      <c r="M74" s="46">
        <f>SUM(Calculations!$Q$14:$Q$16)/12</f>
        <v>1870.625</v>
      </c>
      <c r="N74" s="46">
        <f>SUM(Calculations!$Q$14:$Q$16)/12</f>
        <v>1870.625</v>
      </c>
      <c r="O74" s="46">
        <f>SUM(Calculations!$Q$14:$Q$16)/12</f>
        <v>1870.625</v>
      </c>
      <c r="P74" s="46">
        <f>SUM(Calculations!$Q$14:$Q$16)/12</f>
        <v>1870.625</v>
      </c>
      <c r="Q74" s="46">
        <f>SUM(Calculations!$Q$14:$Q$16)/12</f>
        <v>1870.625</v>
      </c>
      <c r="R74" s="46">
        <f>SUM(Calculations!$Q$14:$Q$16)/12</f>
        <v>1870.625</v>
      </c>
      <c r="S74" s="46">
        <f>SUM(Calculations!$Q$14:$Q$16)/12</f>
        <v>1870.625</v>
      </c>
      <c r="T74" s="46">
        <f>SUM(Calculations!$Q$14:$Q$16)/12</f>
        <v>1870.625</v>
      </c>
      <c r="U74" s="46">
        <f>SUM(Calculations!$Q$14:$Q$16)/12</f>
        <v>1870.625</v>
      </c>
      <c r="V74" s="46">
        <f>SUM(Calculations!$Q$14:$Q$16)/12</f>
        <v>1870.625</v>
      </c>
      <c r="W74" s="46">
        <f>SUM(Calculations!$Q$14:$Q$16)/12</f>
        <v>1870.625</v>
      </c>
      <c r="X74" s="46">
        <f>SUM(Calculations!$Q$14:$Q$16)/12</f>
        <v>1870.625</v>
      </c>
      <c r="Y74" s="46">
        <f>SUM(Calculations!$Q$14:$Q$16)/12</f>
        <v>1870.625</v>
      </c>
      <c r="Z74" s="46">
        <f>SUMIF($B$13:$Y$13,"Yes",B74:Y74)</f>
        <v>16835.625</v>
      </c>
      <c r="AA74" s="46">
        <f>SUM(B74:M74)</f>
        <v>22447.5</v>
      </c>
      <c r="AB74" s="46">
        <f>SUM(B74:Y74)</f>
        <v>44895</v>
      </c>
    </row>
    <row r="75" spans="1:30">
      <c r="A75" s="16" t="s">
        <v>47</v>
      </c>
      <c r="B75" s="46">
        <f>SUM(Calculations!$R$14:$R$16)/12</f>
        <v>87.466666666667</v>
      </c>
      <c r="C75" s="46">
        <f>SUM(Calculations!$R$14:$R$16)/12</f>
        <v>87.466666666667</v>
      </c>
      <c r="D75" s="46">
        <f>SUM(Calculations!$R$14:$R$16)/12</f>
        <v>87.466666666667</v>
      </c>
      <c r="E75" s="46">
        <f>SUM(Calculations!$R$14:$R$16)/12</f>
        <v>87.466666666667</v>
      </c>
      <c r="F75" s="46">
        <f>SUM(Calculations!$R$14:$R$16)/12</f>
        <v>87.466666666667</v>
      </c>
      <c r="G75" s="46">
        <f>SUM(Calculations!$R$14:$R$16)/12</f>
        <v>87.466666666667</v>
      </c>
      <c r="H75" s="46">
        <f>SUM(Calculations!$R$14:$R$16)/12</f>
        <v>87.466666666667</v>
      </c>
      <c r="I75" s="46">
        <f>SUM(Calculations!$R$14:$R$16)/12</f>
        <v>87.466666666667</v>
      </c>
      <c r="J75" s="46">
        <f>SUM(Calculations!$R$14:$R$16)/12</f>
        <v>87.466666666667</v>
      </c>
      <c r="K75" s="46">
        <f>SUM(Calculations!$R$14:$R$16)/12</f>
        <v>87.466666666667</v>
      </c>
      <c r="L75" s="46">
        <f>SUM(Calculations!$R$14:$R$16)/12</f>
        <v>87.466666666667</v>
      </c>
      <c r="M75" s="46">
        <f>SUM(Calculations!$R$14:$R$16)/12</f>
        <v>87.466666666667</v>
      </c>
      <c r="N75" s="46">
        <f>SUM(Calculations!$R$14:$R$16)/12</f>
        <v>87.466666666667</v>
      </c>
      <c r="O75" s="46">
        <f>SUM(Calculations!$R$14:$R$16)/12</f>
        <v>87.466666666667</v>
      </c>
      <c r="P75" s="46">
        <f>SUM(Calculations!$R$14:$R$16)/12</f>
        <v>87.466666666667</v>
      </c>
      <c r="Q75" s="46">
        <f>SUM(Calculations!$R$14:$R$16)/12</f>
        <v>87.466666666667</v>
      </c>
      <c r="R75" s="46">
        <f>SUM(Calculations!$R$14:$R$16)/12</f>
        <v>87.466666666667</v>
      </c>
      <c r="S75" s="46">
        <f>SUM(Calculations!$R$14:$R$16)/12</f>
        <v>87.466666666667</v>
      </c>
      <c r="T75" s="46">
        <f>SUM(Calculations!$R$14:$R$16)/12</f>
        <v>87.466666666667</v>
      </c>
      <c r="U75" s="46">
        <f>SUM(Calculations!$R$14:$R$16)/12</f>
        <v>87.466666666667</v>
      </c>
      <c r="V75" s="46">
        <f>SUM(Calculations!$R$14:$R$16)/12</f>
        <v>87.466666666667</v>
      </c>
      <c r="W75" s="46">
        <f>SUM(Calculations!$R$14:$R$16)/12</f>
        <v>87.466666666667</v>
      </c>
      <c r="X75" s="46">
        <f>SUM(Calculations!$R$14:$R$16)/12</f>
        <v>87.466666666667</v>
      </c>
      <c r="Y75" s="46">
        <f>SUM(Calculations!$R$14:$R$16)/12</f>
        <v>87.466666666667</v>
      </c>
      <c r="Z75" s="46">
        <f>SUMIF($B$13:$Y$13,"Yes",B75:Y75)</f>
        <v>787.2</v>
      </c>
      <c r="AA75" s="46">
        <f>SUM(B75:M75)</f>
        <v>1049.6</v>
      </c>
      <c r="AB75" s="46">
        <f>SUM(B75:Y75)</f>
        <v>2099.2</v>
      </c>
    </row>
    <row r="76" spans="1:30">
      <c r="A76" s="16" t="s">
        <v>48</v>
      </c>
      <c r="B76" s="46">
        <f>SUM(Calculations!$S$14:$S$16)/12</f>
        <v>703.24248120301</v>
      </c>
      <c r="C76" s="46">
        <f>SUM(Calculations!$S$14:$S$16)/12</f>
        <v>703.24248120301</v>
      </c>
      <c r="D76" s="46">
        <f>SUM(Calculations!$S$14:$S$16)/12</f>
        <v>703.24248120301</v>
      </c>
      <c r="E76" s="46">
        <f>SUM(Calculations!$S$14:$S$16)/12</f>
        <v>703.24248120301</v>
      </c>
      <c r="F76" s="46">
        <f>SUM(Calculations!$S$14:$S$16)/12</f>
        <v>703.24248120301</v>
      </c>
      <c r="G76" s="46">
        <f>SUM(Calculations!$S$14:$S$16)/12</f>
        <v>703.24248120301</v>
      </c>
      <c r="H76" s="46">
        <f>SUM(Calculations!$S$14:$S$16)/12</f>
        <v>703.24248120301</v>
      </c>
      <c r="I76" s="46">
        <f>SUM(Calculations!$S$14:$S$16)/12</f>
        <v>703.24248120301</v>
      </c>
      <c r="J76" s="46">
        <f>SUM(Calculations!$S$14:$S$16)/12</f>
        <v>703.24248120301</v>
      </c>
      <c r="K76" s="46">
        <f>SUM(Calculations!$S$14:$S$16)/12</f>
        <v>703.24248120301</v>
      </c>
      <c r="L76" s="46">
        <f>SUM(Calculations!$S$14:$S$16)/12</f>
        <v>703.24248120301</v>
      </c>
      <c r="M76" s="46">
        <f>SUM(Calculations!$S$14:$S$16)/12</f>
        <v>703.24248120301</v>
      </c>
      <c r="N76" s="46">
        <f>SUM(Calculations!$S$14:$S$16)/12</f>
        <v>703.24248120301</v>
      </c>
      <c r="O76" s="46">
        <f>SUM(Calculations!$S$14:$S$16)/12</f>
        <v>703.24248120301</v>
      </c>
      <c r="P76" s="46">
        <f>SUM(Calculations!$S$14:$S$16)/12</f>
        <v>703.24248120301</v>
      </c>
      <c r="Q76" s="46">
        <f>SUM(Calculations!$S$14:$S$16)/12</f>
        <v>703.24248120301</v>
      </c>
      <c r="R76" s="46">
        <f>SUM(Calculations!$S$14:$S$16)/12</f>
        <v>703.24248120301</v>
      </c>
      <c r="S76" s="46">
        <f>SUM(Calculations!$S$14:$S$16)/12</f>
        <v>703.24248120301</v>
      </c>
      <c r="T76" s="46">
        <f>SUM(Calculations!$S$14:$S$16)/12</f>
        <v>703.24248120301</v>
      </c>
      <c r="U76" s="46">
        <f>SUM(Calculations!$S$14:$S$16)/12</f>
        <v>703.24248120301</v>
      </c>
      <c r="V76" s="46">
        <f>SUM(Calculations!$S$14:$S$16)/12</f>
        <v>703.24248120301</v>
      </c>
      <c r="W76" s="46">
        <f>SUM(Calculations!$S$14:$S$16)/12</f>
        <v>703.24248120301</v>
      </c>
      <c r="X76" s="46">
        <f>SUM(Calculations!$S$14:$S$16)/12</f>
        <v>703.24248120301</v>
      </c>
      <c r="Y76" s="46">
        <f>SUM(Calculations!$S$14:$S$16)/12</f>
        <v>703.24248120301</v>
      </c>
      <c r="Z76" s="46">
        <f>SUMIF($B$13:$Y$13,"Yes",B76:Y76)</f>
        <v>6329.1823308271</v>
      </c>
      <c r="AA76" s="46">
        <f>SUM(B76:M76)</f>
        <v>8438.9097744361</v>
      </c>
      <c r="AB76" s="46">
        <f>SUM(B76:Y76)</f>
        <v>16877.819548872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</v>
      </c>
      <c r="C79" s="46">
        <f>Inputs!$B$31</f>
        <v>7500</v>
      </c>
      <c r="D79" s="46">
        <f>Inputs!$B$31</f>
        <v>7500</v>
      </c>
      <c r="E79" s="46">
        <f>Inputs!$B$31</f>
        <v>7500</v>
      </c>
      <c r="F79" s="46">
        <f>Inputs!$B$31</f>
        <v>7500</v>
      </c>
      <c r="G79" s="46">
        <f>Inputs!$B$31</f>
        <v>7500</v>
      </c>
      <c r="H79" s="46">
        <f>Inputs!$B$31</f>
        <v>7500</v>
      </c>
      <c r="I79" s="46">
        <f>Inputs!$B$31</f>
        <v>7500</v>
      </c>
      <c r="J79" s="46">
        <f>Inputs!$B$31</f>
        <v>7500</v>
      </c>
      <c r="K79" s="46">
        <f>Inputs!$B$31</f>
        <v>7500</v>
      </c>
      <c r="L79" s="46">
        <f>Inputs!$B$31</f>
        <v>7500</v>
      </c>
      <c r="M79" s="46">
        <f>Inputs!$B$31</f>
        <v>7500</v>
      </c>
      <c r="N79" s="46">
        <f>Inputs!$B$31</f>
        <v>7500</v>
      </c>
      <c r="O79" s="46">
        <f>Inputs!$B$31</f>
        <v>7500</v>
      </c>
      <c r="P79" s="46">
        <f>Inputs!$B$31</f>
        <v>7500</v>
      </c>
      <c r="Q79" s="46">
        <f>Inputs!$B$31</f>
        <v>7500</v>
      </c>
      <c r="R79" s="46">
        <f>Inputs!$B$31</f>
        <v>7500</v>
      </c>
      <c r="S79" s="46">
        <f>Inputs!$B$31</f>
        <v>7500</v>
      </c>
      <c r="T79" s="46">
        <f>Inputs!$B$31</f>
        <v>7500</v>
      </c>
      <c r="U79" s="46">
        <f>Inputs!$B$31</f>
        <v>7500</v>
      </c>
      <c r="V79" s="46">
        <f>Inputs!$B$31</f>
        <v>7500</v>
      </c>
      <c r="W79" s="46">
        <f>Inputs!$B$31</f>
        <v>7500</v>
      </c>
      <c r="X79" s="46">
        <f>Inputs!$B$31</f>
        <v>7500</v>
      </c>
      <c r="Y79" s="46">
        <f>Inputs!$B$31</f>
        <v>7500</v>
      </c>
      <c r="Z79" s="46">
        <f>SUMIF($B$13:$Y$13,"Yes",B79:Y79)</f>
        <v>67500</v>
      </c>
      <c r="AA79" s="46">
        <f>SUM(B79:M79)</f>
        <v>90000</v>
      </c>
      <c r="AB79" s="46">
        <f>SUM(B79:Y79)</f>
        <v>180000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14000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14000</v>
      </c>
      <c r="AA80" s="46">
        <f>SUM(B80:M80)</f>
        <v>14000</v>
      </c>
      <c r="AB80" s="46">
        <f>SUM(B80:Y80)</f>
        <v>14000</v>
      </c>
    </row>
    <row r="81" spans="1:30">
      <c r="A81" s="43" t="s">
        <v>51</v>
      </c>
      <c r="B81" s="46">
        <f>(SUM($AA$18:$AA$29)-SUM($AA$36,$AA$42,$AA$48,$AA$54,$AA$60,$AA$66,$AA$72:$AA$79))*Parameters!$B$37/12</f>
        <v>125325.33496338</v>
      </c>
      <c r="C81" s="46">
        <f>(SUM($AA$18:$AA$29)-SUM($AA$36,$AA$42,$AA$48,$AA$54,$AA$60,$AA$66,$AA$72:$AA$79))*Parameters!$B$37/12</f>
        <v>125325.33496338</v>
      </c>
      <c r="D81" s="46">
        <f>(SUM($AA$18:$AA$29)-SUM($AA$36,$AA$42,$AA$48,$AA$54,$AA$60,$AA$66,$AA$72:$AA$79))*Parameters!$B$37/12</f>
        <v>125325.33496338</v>
      </c>
      <c r="E81" s="46">
        <f>(SUM($AA$18:$AA$29)-SUM($AA$36,$AA$42,$AA$48,$AA$54,$AA$60,$AA$66,$AA$72:$AA$79))*Parameters!$B$37/12</f>
        <v>125325.33496338</v>
      </c>
      <c r="F81" s="46">
        <f>(SUM($AA$18:$AA$29)-SUM($AA$36,$AA$42,$AA$48,$AA$54,$AA$60,$AA$66,$AA$72:$AA$79))*Parameters!$B$37/12</f>
        <v>125325.33496338</v>
      </c>
      <c r="G81" s="46">
        <f>(SUM($AA$18:$AA$29)-SUM($AA$36,$AA$42,$AA$48,$AA$54,$AA$60,$AA$66,$AA$72:$AA$79))*Parameters!$B$37/12</f>
        <v>125325.33496338</v>
      </c>
      <c r="H81" s="46">
        <f>(SUM($AA$18:$AA$29)-SUM($AA$36,$AA$42,$AA$48,$AA$54,$AA$60,$AA$66,$AA$72:$AA$79))*Parameters!$B$37/12</f>
        <v>125325.33496338</v>
      </c>
      <c r="I81" s="46">
        <f>(SUM($AA$18:$AA$29)-SUM($AA$36,$AA$42,$AA$48,$AA$54,$AA$60,$AA$66,$AA$72:$AA$79))*Parameters!$B$37/12</f>
        <v>125325.33496338</v>
      </c>
      <c r="J81" s="46">
        <f>(SUM($AA$18:$AA$29)-SUM($AA$36,$AA$42,$AA$48,$AA$54,$AA$60,$AA$66,$AA$72:$AA$79))*Parameters!$B$37/12</f>
        <v>125325.33496338</v>
      </c>
      <c r="K81" s="46">
        <f>(SUM($AA$18:$AA$29)-SUM($AA$36,$AA$42,$AA$48,$AA$54,$AA$60,$AA$66,$AA$72:$AA$79))*Parameters!$B$37/12</f>
        <v>125325.33496338</v>
      </c>
      <c r="L81" s="46">
        <f>(SUM($AA$18:$AA$29)-SUM($AA$36,$AA$42,$AA$48,$AA$54,$AA$60,$AA$66,$AA$72:$AA$79))*Parameters!$B$37/12</f>
        <v>125325.33496338</v>
      </c>
      <c r="M81" s="46">
        <f>(SUM($AA$18:$AA$29)-SUM($AA$36,$AA$42,$AA$48,$AA$54,$AA$60,$AA$66,$AA$72:$AA$79))*Parameters!$B$37/12</f>
        <v>125325.33496338</v>
      </c>
      <c r="N81" s="46">
        <f>(SUM($AA$18:$AA$29)-SUM($AA$36,$AA$42,$AA$48,$AA$54,$AA$60,$AA$66,$AA$72:$AA$79))*Parameters!$B$37/12</f>
        <v>125325.33496338</v>
      </c>
      <c r="O81" s="46">
        <f>(SUM($AA$18:$AA$29)-SUM($AA$36,$AA$42,$AA$48,$AA$54,$AA$60,$AA$66,$AA$72:$AA$79))*Parameters!$B$37/12</f>
        <v>125325.33496338</v>
      </c>
      <c r="P81" s="46">
        <f>(SUM($AA$18:$AA$29)-SUM($AA$36,$AA$42,$AA$48,$AA$54,$AA$60,$AA$66,$AA$72:$AA$79))*Parameters!$B$37/12</f>
        <v>125325.33496338</v>
      </c>
      <c r="Q81" s="46">
        <f>(SUM($AA$18:$AA$29)-SUM($AA$36,$AA$42,$AA$48,$AA$54,$AA$60,$AA$66,$AA$72:$AA$79))*Parameters!$B$37/12</f>
        <v>125325.33496338</v>
      </c>
      <c r="R81" s="46">
        <f>(SUM($AA$18:$AA$29)-SUM($AA$36,$AA$42,$AA$48,$AA$54,$AA$60,$AA$66,$AA$72:$AA$79))*Parameters!$B$37/12</f>
        <v>125325.33496338</v>
      </c>
      <c r="S81" s="46">
        <f>(SUM($AA$18:$AA$29)-SUM($AA$36,$AA$42,$AA$48,$AA$54,$AA$60,$AA$66,$AA$72:$AA$79))*Parameters!$B$37/12</f>
        <v>125325.33496338</v>
      </c>
      <c r="T81" s="46">
        <f>(SUM($AA$18:$AA$29)-SUM($AA$36,$AA$42,$AA$48,$AA$54,$AA$60,$AA$66,$AA$72:$AA$79))*Parameters!$B$37/12</f>
        <v>125325.33496338</v>
      </c>
      <c r="U81" s="46">
        <f>(SUM($AA$18:$AA$29)-SUM($AA$36,$AA$42,$AA$48,$AA$54,$AA$60,$AA$66,$AA$72:$AA$79))*Parameters!$B$37/12</f>
        <v>125325.33496338</v>
      </c>
      <c r="V81" s="46">
        <f>(SUM($AA$18:$AA$29)-SUM($AA$36,$AA$42,$AA$48,$AA$54,$AA$60,$AA$66,$AA$72:$AA$79))*Parameters!$B$37/12</f>
        <v>125325.33496338</v>
      </c>
      <c r="W81" s="46">
        <f>(SUM($AA$18:$AA$29)-SUM($AA$36,$AA$42,$AA$48,$AA$54,$AA$60,$AA$66,$AA$72:$AA$79))*Parameters!$B$37/12</f>
        <v>125325.33496338</v>
      </c>
      <c r="X81" s="46">
        <f>(SUM($AA$18:$AA$29)-SUM($AA$36,$AA$42,$AA$48,$AA$54,$AA$60,$AA$66,$AA$72:$AA$79))*Parameters!$B$37/12</f>
        <v>125325.33496338</v>
      </c>
      <c r="Y81" s="46">
        <f>(SUM($AA$18:$AA$29)-SUM($AA$36,$AA$42,$AA$48,$AA$54,$AA$60,$AA$66,$AA$72:$AA$79))*Parameters!$B$37/12</f>
        <v>125325.33496338</v>
      </c>
      <c r="Z81" s="46">
        <f>SUMIF($B$13:$Y$13,"Yes",B81:Y81)</f>
        <v>1127928.0146704</v>
      </c>
      <c r="AA81" s="46">
        <f>SUM(B81:M81)</f>
        <v>1503904.0195606</v>
      </c>
      <c r="AB81" s="46">
        <f>SUM(B81:Y81)</f>
        <v>3007808.0391212</v>
      </c>
    </row>
    <row r="82" spans="1:30">
      <c r="A82" s="16" t="s">
        <v>52</v>
      </c>
      <c r="B82" s="46">
        <f>SUM(B83:B87)</f>
        <v>1578.5143769968</v>
      </c>
      <c r="C82" s="46">
        <f>SUM(C83:C87)</f>
        <v>371.48562300319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1950</v>
      </c>
      <c r="AA82" s="46">
        <f>SUM(B82:M82)</f>
        <v>1950</v>
      </c>
      <c r="AB82" s="46">
        <f>SUM(B82:Y82)</f>
        <v>1950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1578.5143769968</v>
      </c>
      <c r="C83" s="46">
        <f>IF(Calculations!$E23&gt;COUNT(Output!$B$35:C$35),Calculations!$B23,IF(Calculations!$E23=COUNT(Output!$B$35:C$35),Inputs!$B56-Calculations!$C23*(Calculations!$E23-1)+Calculations!$D23,0))</f>
        <v>371.48562300319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1950</v>
      </c>
      <c r="AA83" s="46">
        <f>SUM(B83:M83)</f>
        <v>1950</v>
      </c>
      <c r="AB83" s="46">
        <f>SUM(B83:Y83)</f>
        <v>1950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173515.18348825</v>
      </c>
      <c r="C88" s="19">
        <f>SUM(C72:C82,C66,C60,C54,C48,C42,C36)</f>
        <v>135858.15473425</v>
      </c>
      <c r="D88" s="19">
        <f>SUM(D72:D82,D66,D60,D54,D48,D42,D36)</f>
        <v>149486.66911125</v>
      </c>
      <c r="E88" s="19">
        <f>SUM(E72:E82,E66,E60,E54,E48,E42,E36)</f>
        <v>179508.66911125</v>
      </c>
      <c r="F88" s="19">
        <f>SUM(F72:F82,F66,F60,F54,F48,F42,F36)</f>
        <v>171936.66911125</v>
      </c>
      <c r="G88" s="19">
        <f>SUM(G72:G82,G66,G60,G54,G48,G42,G36)</f>
        <v>206736.66911125</v>
      </c>
      <c r="H88" s="19">
        <f>SUM(H72:H82,H66,H60,H54,H48,H42,H36)</f>
        <v>171936.66911125</v>
      </c>
      <c r="I88" s="19">
        <f>SUM(I72:I82,I66,I60,I54,I48,I42,I36)</f>
        <v>135486.66911125</v>
      </c>
      <c r="J88" s="19">
        <f>SUM(J72:J82,J66,J60,J54,J48,J42,J36)</f>
        <v>135486.66911125</v>
      </c>
      <c r="K88" s="19">
        <f>SUM(K72:K82,K66,K60,K54,K48,K42,K36)</f>
        <v>179508.66911125</v>
      </c>
      <c r="L88" s="19">
        <f>SUM(L72:L82,L66,L60,L54,L48,L42,L36)</f>
        <v>171936.66911125</v>
      </c>
      <c r="M88" s="19">
        <f>SUM(M72:M82,M66,M60,M54,M48,M42,M36)</f>
        <v>205536.66911125</v>
      </c>
      <c r="N88" s="19">
        <f>SUM(N72:N82,N66,N60,N54,N48,N42,N36)</f>
        <v>171936.66911125</v>
      </c>
      <c r="O88" s="19">
        <f>SUM(O72:O82,O66,O60,O54,O48,O42,O36)</f>
        <v>135486.66911125</v>
      </c>
      <c r="P88" s="19">
        <f>SUM(P72:P82,P66,P60,P54,P48,P42,P36)</f>
        <v>135486.66911125</v>
      </c>
      <c r="Q88" s="19">
        <f>SUM(Q72:Q82,Q66,Q60,Q54,Q48,Q42,Q36)</f>
        <v>179508.66911125</v>
      </c>
      <c r="R88" s="19">
        <f>SUM(R72:R82,R66,R60,R54,R48,R42,R36)</f>
        <v>171936.66911125</v>
      </c>
      <c r="S88" s="19">
        <f>SUM(S72:S82,S66,S60,S54,S48,S42,S36)</f>
        <v>206736.66911125</v>
      </c>
      <c r="T88" s="19">
        <f>SUM(T72:T82,T66,T60,T54,T48,T42,T36)</f>
        <v>171936.66911125</v>
      </c>
      <c r="U88" s="19">
        <f>SUM(U72:U82,U66,U60,U54,U48,U42,U36)</f>
        <v>135486.66911125</v>
      </c>
      <c r="V88" s="19">
        <f>SUM(V72:V82,V66,V60,V54,V48,V42,V36)</f>
        <v>135486.66911125</v>
      </c>
      <c r="W88" s="19">
        <f>SUM(W72:W82,W66,W60,W54,W48,W42,W36)</f>
        <v>179508.66911125</v>
      </c>
      <c r="X88" s="19">
        <f>SUM(X72:X82,X66,X60,X54,X48,X42,X36)</f>
        <v>171936.66911125</v>
      </c>
      <c r="Y88" s="19">
        <f>SUM(Y72:Y82,Y66,Y60,Y54,Y48,Y42,Y36)</f>
        <v>205536.66911125</v>
      </c>
      <c r="Z88" s="19">
        <f>SUMIF($B$13:$Y$13,"Yes",B88:Y88)</f>
        <v>1459952.0220013</v>
      </c>
      <c r="AA88" s="19">
        <f>SUM(B88:M88)</f>
        <v>2016934.029335</v>
      </c>
      <c r="AB88" s="19">
        <f>SUM(B88:Y88)</f>
        <v>4017918.05867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79546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55350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55555</v>
      </c>
    </row>
    <row r="100" spans="1:30" customHeight="1" ht="15.75">
      <c r="A100" s="18" t="s">
        <v>66</v>
      </c>
      <c r="B100" s="37">
        <f>Inputs!B48</f>
        <v>45000</v>
      </c>
    </row>
    <row r="101" spans="1:30" customHeight="1" ht="15.75">
      <c r="A101" s="1" t="s">
        <v>67</v>
      </c>
      <c r="B101" s="19">
        <f>SUM(B94:B100)</f>
        <v>235451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45000</v>
      </c>
    </row>
    <row r="105" spans="1:30">
      <c r="A105" t="s">
        <v>70</v>
      </c>
      <c r="B105" s="36">
        <f>SUM(Inputs!B56:B60)</f>
        <v>1400</v>
      </c>
    </row>
    <row r="106" spans="1:30" customHeight="1" ht="15.75">
      <c r="A106" s="18" t="s">
        <v>71</v>
      </c>
      <c r="B106" s="37">
        <f>Calculations!G35</f>
        <v>121500</v>
      </c>
    </row>
    <row r="107" spans="1:30" customHeight="1" ht="15.75">
      <c r="A107" s="1" t="s">
        <v>72</v>
      </c>
      <c r="B107" s="19">
        <f>SUM(B104:B106)</f>
        <v>167900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:S6">
    <cfRule type="cellIs" dxfId="1" priority="1" operator="lessThan">
      <formula>0</formula>
    </cfRule>
  </conditionalFormatting>
  <conditionalFormatting sqref="Z6:AB6">
    <cfRule type="cellIs" dxfId="1" priority="2" operator="lessThan">
      <formula>0</formula>
    </cfRule>
  </conditionalFormatting>
  <conditionalFormatting sqref="B7:AB7">
    <cfRule type="cellIs" dxfId="1" priority="3" operator="lessThan">
      <formula>0</formula>
    </cfRule>
  </conditionalFormatting>
  <conditionalFormatting sqref="B11:S11">
    <cfRule type="cellIs" dxfId="1" priority="4" operator="lessThan">
      <formula>0</formula>
    </cfRule>
  </conditionalFormatting>
  <conditionalFormatting sqref="Z11:AB11">
    <cfRule type="cellIs" dxfId="1" priority="5" operator="lessThan">
      <formula>0</formula>
    </cfRule>
  </conditionalFormatting>
  <conditionalFormatting sqref="B12:S12">
    <cfRule type="cellIs" dxfId="2" priority="6" operator="greaterThan">
      <formula>0.6</formula>
    </cfRule>
  </conditionalFormatting>
  <conditionalFormatting sqref="T6:Y6">
    <cfRule type="cellIs" dxfId="1" priority="7" operator="lessThan">
      <formula>0</formula>
    </cfRule>
  </conditionalFormatting>
  <conditionalFormatting sqref="T7:Y7">
    <cfRule type="cellIs" dxfId="1" priority="8" operator="lessThan">
      <formula>0</formula>
    </cfRule>
  </conditionalFormatting>
  <conditionalFormatting sqref="T11:Y11">
    <cfRule type="cellIs" dxfId="1" priority="9" operator="lessThan">
      <formula>0</formula>
    </cfRule>
  </conditionalFormatting>
  <conditionalFormatting sqref="T12:Y12">
    <cfRule type="cellIs" dxfId="2" priority="10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>
        <v>5</v>
      </c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3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123</v>
      </c>
      <c r="D19" s="145">
        <v>100</v>
      </c>
      <c r="E19" s="20"/>
      <c r="F19" s="145" t="s">
        <v>109</v>
      </c>
      <c r="G19" s="20"/>
      <c r="H19" s="20"/>
      <c r="I19" s="145" t="s">
        <v>110</v>
      </c>
      <c r="J19" s="145">
        <v>0</v>
      </c>
      <c r="K19" s="145">
        <v>5</v>
      </c>
      <c r="L19" s="25">
        <v>2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15000</v>
      </c>
    </row>
    <row r="31" spans="1:48">
      <c r="A31" s="5" t="s">
        <v>117</v>
      </c>
      <c r="B31" s="158">
        <v>7500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14000</v>
      </c>
      <c r="C35" s="145" t="s">
        <v>124</v>
      </c>
      <c r="D35" s="49">
        <f>IFERROR(VLOOKUP(C35,Parameters!$C$79:$D$90,2,0),"")</f>
        <v>12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109</v>
      </c>
    </row>
    <row r="41" spans="1:48">
      <c r="A41" s="55" t="s">
        <v>127</v>
      </c>
      <c r="B41" s="140">
        <v>1200</v>
      </c>
    </row>
    <row r="42" spans="1:48">
      <c r="A42" s="55" t="s">
        <v>128</v>
      </c>
      <c r="B42" s="139" t="s">
        <v>129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109</v>
      </c>
    </row>
    <row r="45" spans="1:48">
      <c r="A45" s="56" t="s">
        <v>133</v>
      </c>
      <c r="B45" s="161"/>
    </row>
    <row r="46" spans="1:48" customHeight="1" ht="30">
      <c r="A46" s="57" t="s">
        <v>134</v>
      </c>
      <c r="B46" s="161">
        <v>55555</v>
      </c>
    </row>
    <row r="47" spans="1:48" customHeight="1" ht="30">
      <c r="A47" s="57" t="s">
        <v>135</v>
      </c>
      <c r="B47" s="161">
        <v>0</v>
      </c>
    </row>
    <row r="48" spans="1:48" customHeight="1" ht="30">
      <c r="A48" s="57" t="s">
        <v>136</v>
      </c>
      <c r="B48" s="161">
        <v>45000</v>
      </c>
    </row>
    <row r="49" spans="1:48" customHeight="1" ht="30">
      <c r="A49" s="57" t="s">
        <v>137</v>
      </c>
      <c r="B49" s="161">
        <v>79546</v>
      </c>
    </row>
    <row r="50" spans="1:48">
      <c r="A50" s="43"/>
      <c r="B50" s="36"/>
    </row>
    <row r="51" spans="1:48">
      <c r="A51" s="58" t="s">
        <v>138</v>
      </c>
      <c r="B51" s="161">
        <v>45000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15000</v>
      </c>
      <c r="B56" s="159">
        <v>1400</v>
      </c>
      <c r="C56" s="162" t="s">
        <v>146</v>
      </c>
      <c r="D56" s="163" t="s">
        <v>147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94</v>
      </c>
      <c r="B66" s="159">
        <v>12345</v>
      </c>
      <c r="C66" s="163">
        <v>12051</v>
      </c>
      <c r="D66" s="49">
        <f>INDEX(Parameters!$D$79:$D$90,MATCH(Inputs!A66,Parameters!$C$79:$C$90,0))</f>
        <v>1</v>
      </c>
    </row>
    <row r="67" spans="1:48">
      <c r="A67" s="143" t="s">
        <v>151</v>
      </c>
      <c r="B67" s="157">
        <v>1000</v>
      </c>
      <c r="C67" s="165">
        <v>1200</v>
      </c>
      <c r="D67" s="49">
        <f>INDEX(Parameters!$D$79:$D$90,MATCH(Inputs!A67,Parameters!$C$79:$C$90,0))</f>
        <v>2</v>
      </c>
    </row>
    <row r="68" spans="1:48">
      <c r="A68" s="143" t="s">
        <v>129</v>
      </c>
      <c r="B68" s="157">
        <v>47000</v>
      </c>
      <c r="C68" s="165">
        <v>7411</v>
      </c>
      <c r="D68" s="49">
        <f>INDEX(Parameters!$D$79:$D$90,MATCH(Inputs!A68,Parameters!$C$79:$C$90,0))</f>
        <v>3</v>
      </c>
    </row>
    <row r="69" spans="1:48">
      <c r="A69" s="143" t="s">
        <v>152</v>
      </c>
      <c r="B69" s="157">
        <v>8554</v>
      </c>
      <c r="C69" s="165">
        <v>5000</v>
      </c>
      <c r="D69" s="49">
        <f>INDEX(Parameters!$D$79:$D$90,MATCH(Inputs!A69,Parameters!$C$79:$C$90,0))</f>
        <v>4</v>
      </c>
    </row>
    <row r="70" spans="1:48">
      <c r="A70" s="143" t="s">
        <v>153</v>
      </c>
      <c r="B70" s="157">
        <v>9654</v>
      </c>
      <c r="C70" s="165">
        <v>12000</v>
      </c>
      <c r="D70" s="49">
        <f>INDEX(Parameters!$D$79:$D$90,MATCH(Inputs!A70,Parameters!$C$79:$C$90,0))</f>
        <v>5</v>
      </c>
    </row>
    <row r="71" spans="1:48">
      <c r="A71" s="144" t="s">
        <v>154</v>
      </c>
      <c r="B71" s="158">
        <v>1236</v>
      </c>
      <c r="C71" s="167">
        <v>125</v>
      </c>
      <c r="D71" s="49">
        <f>INDEX(Parameters!$D$79:$D$90,MATCH(Inputs!A71,Parameters!$C$79:$C$90,0))</f>
        <v>6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16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121500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2</v>
      </c>
    </row>
    <row r="85" spans="1:48">
      <c r="A85" t="s">
        <v>168</v>
      </c>
      <c r="B85" s="169">
        <v>36</v>
      </c>
    </row>
    <row r="86" spans="1:48">
      <c r="A86" t="s">
        <v>169</v>
      </c>
      <c r="B86" s="161">
        <v>1</v>
      </c>
    </row>
    <row r="87" spans="1:48">
      <c r="A87" t="s">
        <v>170</v>
      </c>
      <c r="B87" s="16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42644</v>
      </c>
      <c r="AD3" s="59">
        <f>Output!C5</f>
        <v>42675</v>
      </c>
      <c r="AE3" s="59">
        <f>Output!D5</f>
        <v>42705</v>
      </c>
      <c r="AF3" s="59">
        <f>Output!E5</f>
        <v>42736</v>
      </c>
      <c r="AG3" s="59">
        <f>Output!F5</f>
        <v>42767</v>
      </c>
      <c r="AH3" s="59">
        <f>Output!G5</f>
        <v>42795</v>
      </c>
      <c r="AI3" s="59">
        <f>Output!H5</f>
        <v>42826</v>
      </c>
      <c r="AJ3" s="59">
        <f>Output!I5</f>
        <v>42856</v>
      </c>
      <c r="AK3" s="59">
        <f>Output!J5</f>
        <v>42887</v>
      </c>
      <c r="AL3" s="59">
        <f>Output!K5</f>
        <v>42917</v>
      </c>
      <c r="AM3" s="59">
        <f>Output!L5</f>
        <v>42948</v>
      </c>
      <c r="AN3" s="59">
        <f>Output!M5</f>
        <v>42979</v>
      </c>
      <c r="AO3" s="59">
        <f>Output!N5</f>
        <v>43009</v>
      </c>
      <c r="AP3" s="59">
        <f>Output!O5</f>
        <v>43040</v>
      </c>
      <c r="AQ3" s="59">
        <f>Output!P5</f>
        <v>43070</v>
      </c>
      <c r="AR3" s="59">
        <f>Output!Q5</f>
        <v>43101</v>
      </c>
      <c r="AS3" s="59">
        <f>Output!R5</f>
        <v>43132</v>
      </c>
      <c r="AT3" s="59">
        <f>Output!S5</f>
        <v>43160</v>
      </c>
    </row>
    <row r="4" spans="1:46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42795</v>
      </c>
      <c r="D4" s="38">
        <f>IFERROR(DATE(YEAR(B4),MONTH(B4)+T4,DAY(B4)),"")</f>
        <v>42826</v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42979</v>
      </c>
      <c r="G4" s="38">
        <f>IFERROR(IF($S4=0,"",IF($S4=2,DATE(YEAR(D4),MONTH(D4)+6,DAY(D4)),IF($S4=1,D4,""))),"")</f>
        <v>43009</v>
      </c>
      <c r="H4" s="20">
        <f>Inputs!C7</f>
        <v>12</v>
      </c>
      <c r="I4" s="137" t="str">
        <f>IFERROR(VLOOKUP(Inputs!E7,Parameters!$J$77:$K$81,2,0),"")</f>
        <v>Yes</v>
      </c>
      <c r="J4" s="26">
        <f>IFERROR(Inputs!G7/Calculations!H4,"")</f>
        <v>0.41666666666667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13009.700038884</v>
      </c>
      <c r="M4" s="25">
        <f>L4*H4</f>
        <v>156116.40046661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14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3934133.2917586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7272</v>
      </c>
      <c r="W4" s="33">
        <f>IFERROR(J4*H4*Parameters!$B$35+IF(OR(Inputs!F7=Parameters!$E$78,Inputs!F7=Parameters!$E$80),Calculations!H4*Parameters!$B$36,0),0)</f>
        <v>300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33600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162000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123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0.48872180451128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142706.76691729</v>
      </c>
      <c r="Q14" s="63">
        <f>IFERROR(D14*INDEX(Parameters!$A$22:$P$29,MATCH(Calculations!$A14,Parameters!$A$22:$A$29,0),MATCH(Parameters!$L$22,Parameters!$A$22:$P$22,0))*IF(Inputs!I19="Always",1,IF(Inputs!I19="Sometimes",0.5,0))*365,"")</f>
        <v>22447.5</v>
      </c>
      <c r="R14" s="63">
        <f>IFERROR(D14*INDEX(Parameters!$A$22:$P$29,MATCH(Calculations!$A14,Parameters!$A$22:$A$29,0),MATCH(Parameters!$M$22,Parameters!$A$22:$P$22,0)),"")</f>
        <v>1049.6</v>
      </c>
      <c r="S14" s="63">
        <f>IFERROR(D14*INDEX(Parameters!$A$22:$P$29,MATCH(Calculations!$A14,Parameters!$A$22:$A$29,0),MATCH(Parameters!$N$22,Parameters!$A$22:$P$22,0)),"")</f>
        <v>8438.9097744361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123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</v>
      </c>
      <c r="H17" s="123">
        <f>IFERROR(IF(B17="meat",INDEX(Parameters!$A$22:$P$29,MATCH(Calculations!A17,Parameters!$A$22:$A$29,0),MATCH(Parameters!$I$22,Parameters!$A$22:$P$22,0))*G17,""),"")</f>
        <v>1.0833333333333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43132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19987.5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46">
      <c r="A23" s="75">
        <f>Inputs!A56</f>
        <v>15000</v>
      </c>
      <c r="B23" s="75">
        <f>SUM(C23:D23)</f>
        <v>1578.5143769968</v>
      </c>
      <c r="C23" s="75">
        <f>IF(Inputs!B56&gt;0,(Inputs!A56-Inputs!B56)/(DATE(YEAR(Inputs!$B$76),MONTH(Inputs!$B$76),DAY(Inputs!$B$76))-DATE(YEAR(Inputs!C56),MONTH(Inputs!C56),DAY(Inputs!C56)))*30,0)</f>
        <v>1303.5143769968</v>
      </c>
      <c r="D23" s="75">
        <f>IF(Inputs!B56&gt;0,Inputs!A56*0.22/12,0)</f>
        <v>275</v>
      </c>
      <c r="E23" s="75">
        <f>IFERROR(ROUNDUP(Inputs!B56/C23,0),0)</f>
        <v>2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Rongai</v>
      </c>
    </row>
    <row r="33" spans="1:46">
      <c r="A33">
        <v>1</v>
      </c>
      <c r="B33" s="128">
        <f>G34</f>
        <v>42670</v>
      </c>
      <c r="C33" s="27">
        <f>IF(B33&lt;&gt;"",IF(COUNT($A$33:A33)&lt;=$G$39,0,$G$41)+IF(COUNT($A$33:A33)&lt;=$G$40,0,$G$42),0)</f>
        <v>0</v>
      </c>
      <c r="D33" s="170">
        <f>IFERROR(DATE(YEAR(B33),MONTH(B33),1)," ")</f>
        <v>42644</v>
      </c>
      <c r="F33" t="s">
        <v>160</v>
      </c>
      <c r="G33" s="128">
        <f>IF(Inputs!B79="","",DATE(YEAR(Inputs!B79),MONTH(Inputs!B79),DAY(Inputs!B79)))</f>
        <v>42656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42684</v>
      </c>
      <c r="C34" s="27">
        <f>IF(B34&lt;&gt;"",IF(COUNT($A$33:A34)&lt;=$G$39,0,$G$41)+IF(COUNT($A$33:A34)&lt;=$G$40,0,$G$42),0)</f>
        <v>8035.2522159549</v>
      </c>
      <c r="D34" s="170">
        <f>IFERROR(DATE(YEAR(B34),MONTH(B34),1)," ")</f>
        <v>42675</v>
      </c>
      <c r="F34" t="s">
        <v>161</v>
      </c>
      <c r="G34" s="128">
        <f>IF(Inputs!B80="","",DATE(YEAR(Inputs!B80),MONTH(Inputs!B80),DAY(Inputs!B80)))</f>
        <v>42670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42698</v>
      </c>
      <c r="C35" s="27">
        <f>IF(B35&lt;&gt;"",IF(COUNT($A$33:A35)&lt;=$G$39,0,$G$41)+IF(COUNT($A$33:A35)&lt;=$G$40,0,$G$42),0)</f>
        <v>8035.2522159549</v>
      </c>
      <c r="D35" s="170">
        <f>IFERROR(DATE(YEAR(B35),MONTH(B35),1)," ")</f>
        <v>42675</v>
      </c>
      <c r="F35" t="s">
        <v>163</v>
      </c>
      <c r="G35" s="27">
        <f>Inputs!B81</f>
        <v>121500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42712</v>
      </c>
      <c r="C36" s="27">
        <f>IF(B36&lt;&gt;"",IF(COUNT($A$33:A36)&lt;=$G$39,0,$G$41)+IF(COUNT($A$33:A36)&lt;=$G$40,0,$G$42),0)</f>
        <v>8035.2522159549</v>
      </c>
      <c r="D36" s="170">
        <f>IFERROR(DATE(YEAR(B36),MONTH(B36),1)," ")</f>
        <v>42705</v>
      </c>
      <c r="F36" t="s">
        <v>164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42726</v>
      </c>
      <c r="C37" s="27">
        <f>IF(B37&lt;&gt;"",IF(COUNT($A$33:A37)&lt;=$G$39,0,$G$41)+IF(COUNT($A$33:A37)&lt;=$G$40,0,$G$42),0)</f>
        <v>8035.2522159549</v>
      </c>
      <c r="D37" s="170">
        <f>IFERROR(DATE(YEAR(B37),MONTH(B37),1)," ")</f>
        <v>42705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42740</v>
      </c>
      <c r="C38" s="27">
        <f>IF(B38&lt;&gt;"",IF(COUNT($A$33:A38)&lt;=$G$39,0,$G$41)+IF(COUNT($A$33:A38)&lt;=$G$40,0,$G$42),0)</f>
        <v>8035.2522159549</v>
      </c>
      <c r="D38" s="170">
        <f>IFERROR(DATE(YEAR(B38),MONTH(B38),1)," ")</f>
        <v>42736</v>
      </c>
      <c r="F38" t="s">
        <v>226</v>
      </c>
      <c r="G38" s="27">
        <f>IFERROR(Inputs!B85/Inputs!B84,"")</f>
        <v>18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42754</v>
      </c>
      <c r="C39" s="27">
        <f>IF(B39&lt;&gt;"",IF(COUNT($A$33:A39)&lt;=$G$39,0,$G$41)+IF(COUNT($A$33:A39)&lt;=$G$40,0,$G$42),0)</f>
        <v>8035.2522159549</v>
      </c>
      <c r="D39" s="170">
        <f>IFERROR(DATE(YEAR(B39),MONTH(B39),1)," ")</f>
        <v>42736</v>
      </c>
      <c r="F39" t="s">
        <v>169</v>
      </c>
      <c r="G39" s="27">
        <f>IF(Inputs!B86="",0,Inputs!B86)</f>
        <v>1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42768</v>
      </c>
      <c r="C40" s="27">
        <f>IF(B40&lt;&gt;"",IF(COUNT($A$33:A40)&lt;=$G$39,0,$G$41)+IF(COUNT($A$33:A40)&lt;=$G$40,0,$G$42),0)</f>
        <v>8035.2522159549</v>
      </c>
      <c r="D40" s="170">
        <f>IFERROR(DATE(YEAR(B40),MONTH(B40),1)," ")</f>
        <v>42767</v>
      </c>
      <c r="F40" t="s">
        <v>170</v>
      </c>
      <c r="G40" s="27">
        <f>IF(Inputs!B87="",0,Inputs!B87)</f>
        <v>1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42782</v>
      </c>
      <c r="C41" s="27">
        <f>IF(B41&lt;&gt;"",IF(COUNT($A$33:A41)&lt;=$G$39,0,$G$41)+IF(COUNT($A$33:A41)&lt;=$G$40,0,$G$42),0)</f>
        <v>8035.2522159549</v>
      </c>
      <c r="D41" s="170">
        <f>IFERROR(DATE(YEAR(B41),MONTH(B41),1)," ")</f>
        <v>42767</v>
      </c>
      <c r="F41" t="s">
        <v>227</v>
      </c>
      <c r="G41" s="73">
        <f>IFERROR(G35/(G38-G39),"")</f>
        <v>7147.0588235294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42796</v>
      </c>
      <c r="C42" s="27">
        <f>IF(B42&lt;&gt;"",IF(COUNT($A$33:A42)&lt;=$G$39,0,$G$41)+IF(COUNT($A$33:A42)&lt;=$G$40,0,$G$42),0)</f>
        <v>8035.2522159549</v>
      </c>
      <c r="D42" s="170">
        <f>IFERROR(DATE(YEAR(B42),MONTH(B42),1)," ")</f>
        <v>42795</v>
      </c>
      <c r="F42" t="s">
        <v>228</v>
      </c>
      <c r="G42" s="73">
        <f>IFERROR(G35*G36*IF(G37="Monthly",G38/12,IF(G37="Fortnightly",G38/(365/14),G38/(365/28)))/(G38-G40),"")</f>
        <v>888.19339242546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42810</v>
      </c>
      <c r="C43" s="27">
        <f>IF(B43&lt;&gt;"",IF(COUNT($A$33:A43)&lt;=$G$39,0,$G$41)+IF(COUNT($A$33:A43)&lt;=$G$40,0,$G$42),0)</f>
        <v>8035.2522159549</v>
      </c>
      <c r="D43" s="170">
        <f>IFERROR(DATE(YEAR(B43),MONTH(B43),1)," ")</f>
        <v>42795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42824</v>
      </c>
      <c r="C44" s="27">
        <f>IF(B44&lt;&gt;"",IF(COUNT($A$33:A44)&lt;=$G$39,0,$G$41)+IF(COUNT($A$33:A44)&lt;=$G$40,0,$G$42),0)</f>
        <v>8035.2522159549</v>
      </c>
      <c r="D44" s="170">
        <f>IFERROR(DATE(YEAR(B44),MONTH(B44),1)," ")</f>
        <v>42795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42838</v>
      </c>
      <c r="C45" s="27">
        <f>IF(B45&lt;&gt;"",IF(COUNT($A$33:A45)&lt;=$G$39,0,$G$41)+IF(COUNT($A$33:A45)&lt;=$G$40,0,$G$42),0)</f>
        <v>8035.2522159549</v>
      </c>
      <c r="D45" s="170">
        <f>IFERROR(DATE(YEAR(B45),MONTH(B45),1)," ")</f>
        <v>42826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42852</v>
      </c>
      <c r="C46" s="27">
        <f>IF(B46&lt;&gt;"",IF(COUNT($A$33:A46)&lt;=$G$39,0,$G$41)+IF(COUNT($A$33:A46)&lt;=$G$40,0,$G$42),0)</f>
        <v>8035.2522159549</v>
      </c>
      <c r="D46" s="170">
        <f>IFERROR(DATE(YEAR(B46),MONTH(B46),1)," ")</f>
        <v>42826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42866</v>
      </c>
      <c r="C47" s="27">
        <f>IF(B47&lt;&gt;"",IF(COUNT($A$33:A47)&lt;=$G$39,0,$G$41)+IF(COUNT($A$33:A47)&lt;=$G$40,0,$G$42),0)</f>
        <v>8035.2522159549</v>
      </c>
      <c r="D47" s="170">
        <f>IFERROR(DATE(YEAR(B47),MONTH(B47),1)," ")</f>
        <v>42856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42880</v>
      </c>
      <c r="C48" s="27">
        <f>IF(B48&lt;&gt;"",IF(COUNT($A$33:A48)&lt;=$G$39,0,$G$41)+IF(COUNT($A$33:A48)&lt;=$G$40,0,$G$42),0)</f>
        <v>8035.2522159549</v>
      </c>
      <c r="D48" s="170">
        <f>IFERROR(DATE(YEAR(B48),MONTH(B48),1)," ")</f>
        <v>42856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42894</v>
      </c>
      <c r="C49" s="27">
        <f>IF(B49&lt;&gt;"",IF(COUNT($A$33:A49)&lt;=$G$39,0,$G$41)+IF(COUNT($A$33:A49)&lt;=$G$40,0,$G$42),0)</f>
        <v>8035.2522159549</v>
      </c>
      <c r="D49" s="170">
        <f>IFERROR(DATE(YEAR(B49),MONTH(B49),1)," ")</f>
        <v>42887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42908</v>
      </c>
      <c r="C50" s="27">
        <f>IF(B50&lt;&gt;"",IF(COUNT($A$33:A50)&lt;=$G$39,0,$G$41)+IF(COUNT($A$33:A50)&lt;=$G$40,0,$G$42),0)</f>
        <v>8035.2522159549</v>
      </c>
      <c r="D50" s="170">
        <f>IFERROR(DATE(YEAR(B50),MONTH(B50),1)," ")</f>
        <v>42887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E37" sqref="E37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264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270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272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263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276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108</v>
      </c>
      <c r="B23" s="21" t="s">
        <v>293</v>
      </c>
      <c r="C23" s="72" t="s">
        <v>294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109</v>
      </c>
      <c r="C41" s="191" t="s">
        <v>92</v>
      </c>
    </row>
    <row r="42" spans="1:36">
      <c r="A42" t="s">
        <v>108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314</v>
      </c>
      <c r="H52" s="12" t="s">
        <v>315</v>
      </c>
      <c r="I52" s="12" t="s">
        <v>131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344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109</v>
      </c>
      <c r="F77" s="12" t="s">
        <v>109</v>
      </c>
      <c r="G77" s="12" t="s">
        <v>351</v>
      </c>
      <c r="H77" s="12" t="s">
        <v>315</v>
      </c>
      <c r="I77" s="12" t="s">
        <v>352</v>
      </c>
      <c r="J77" s="136" t="s">
        <v>353</v>
      </c>
      <c r="K77" s="12" t="s">
        <v>109</v>
      </c>
      <c r="AJ77" s="12"/>
    </row>
    <row r="78" spans="1:36">
      <c r="A78" t="s">
        <v>109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110</v>
      </c>
      <c r="H78" s="12" t="s">
        <v>131</v>
      </c>
      <c r="I78" s="12" t="s">
        <v>166</v>
      </c>
      <c r="J78" s="70" t="s">
        <v>357</v>
      </c>
      <c r="K78" s="12" t="s">
        <v>109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358</v>
      </c>
      <c r="F79" s="12" t="s">
        <v>93</v>
      </c>
      <c r="G79" s="12" t="s">
        <v>359</v>
      </c>
      <c r="I79" s="12" t="s">
        <v>344</v>
      </c>
      <c r="J79" s="70" t="s">
        <v>360</v>
      </c>
      <c r="K79" s="12" t="s">
        <v>109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129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90</v>
      </c>
      <c r="C87" s="12" t="s">
        <v>366</v>
      </c>
      <c r="D87" s="12">
        <f>D86+1</f>
        <v>9</v>
      </c>
    </row>
    <row r="88" spans="1:36">
      <c r="B88" s="176">
        <v>100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124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Gmkau</cp:lastModifiedBy>
  <dcterms:created xsi:type="dcterms:W3CDTF">2016-05-03T10:55:57+00:00</dcterms:created>
  <dcterms:modified xsi:type="dcterms:W3CDTF">2016-10-14T10:16:32+00:00</dcterms:modified>
  <dc:title/>
  <dc:description/>
  <dc:subject/>
  <cp:keywords/>
  <cp:category/>
</cp:coreProperties>
</file>