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th\Justice\Travaux personnels\Thèse\"/>
    </mc:Choice>
  </mc:AlternateContent>
  <bookViews>
    <workbookView xWindow="0" yWindow="0" windowWidth="23040" windowHeight="9384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15" i="1" s="1"/>
  <c r="G115" i="1" s="1"/>
  <c r="O110" i="1" s="1"/>
  <c r="F113" i="1"/>
  <c r="F116" i="1" s="1"/>
  <c r="F114" i="1"/>
  <c r="C122" i="1"/>
  <c r="D119" i="1" s="1"/>
  <c r="U138" i="1"/>
  <c r="T138" i="1"/>
  <c r="I55" i="1" s="1"/>
  <c r="S138" i="1"/>
  <c r="R138" i="1"/>
  <c r="I53" i="1" s="1"/>
  <c r="Q138" i="1"/>
  <c r="I52" i="1" s="1"/>
  <c r="P138" i="1"/>
  <c r="I51" i="1" s="1"/>
  <c r="O138" i="1"/>
  <c r="O139" i="1" s="1"/>
  <c r="N138" i="1"/>
  <c r="I49" i="1" s="1"/>
  <c r="M138" i="1"/>
  <c r="I48" i="1" s="1"/>
  <c r="L138" i="1"/>
  <c r="K138" i="1"/>
  <c r="J138" i="1"/>
  <c r="I138" i="1"/>
  <c r="H138" i="1"/>
  <c r="I43" i="1" s="1"/>
  <c r="G138" i="1"/>
  <c r="F138" i="1"/>
  <c r="I41" i="1" s="1"/>
  <c r="P41" i="1" s="1"/>
  <c r="Q41" i="1" s="1"/>
  <c r="E138" i="1"/>
  <c r="I40" i="1" s="1"/>
  <c r="P40" i="1" s="1"/>
  <c r="Q40" i="1" s="1"/>
  <c r="D138" i="1"/>
  <c r="H135" i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D93" i="1"/>
  <c r="B90" i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D85" i="1"/>
  <c r="E85" i="1" s="1"/>
  <c r="V64" i="1"/>
  <c r="O108" i="1" s="1"/>
  <c r="T59" i="1"/>
  <c r="L59" i="1"/>
  <c r="K59" i="1"/>
  <c r="I59" i="1"/>
  <c r="G59" i="1"/>
  <c r="D59" i="1"/>
  <c r="B59" i="1"/>
  <c r="A59" i="1"/>
  <c r="Y58" i="1"/>
  <c r="AG57" i="1"/>
  <c r="X56" i="1"/>
  <c r="T56" i="1"/>
  <c r="L56" i="1"/>
  <c r="M56" i="1" s="1"/>
  <c r="N56" i="1" s="1"/>
  <c r="J56" i="1"/>
  <c r="H56" i="1"/>
  <c r="Z55" i="1"/>
  <c r="AC55" i="1" s="1"/>
  <c r="X55" i="1"/>
  <c r="T55" i="1"/>
  <c r="L55" i="1"/>
  <c r="M55" i="1" s="1"/>
  <c r="O55" i="1" s="1"/>
  <c r="J55" i="1"/>
  <c r="H55" i="1"/>
  <c r="Z54" i="1"/>
  <c r="AC54" i="1" s="1"/>
  <c r="X54" i="1"/>
  <c r="T54" i="1"/>
  <c r="L54" i="1"/>
  <c r="M54" i="1" s="1"/>
  <c r="O54" i="1" s="1"/>
  <c r="J54" i="1"/>
  <c r="H54" i="1"/>
  <c r="Z53" i="1"/>
  <c r="X53" i="1"/>
  <c r="T53" i="1"/>
  <c r="L53" i="1"/>
  <c r="M53" i="1" s="1"/>
  <c r="O53" i="1" s="1"/>
  <c r="J53" i="1"/>
  <c r="H53" i="1"/>
  <c r="Z52" i="1"/>
  <c r="AC52" i="1" s="1"/>
  <c r="X52" i="1"/>
  <c r="T52" i="1"/>
  <c r="L52" i="1"/>
  <c r="M52" i="1" s="1"/>
  <c r="O52" i="1" s="1"/>
  <c r="J52" i="1"/>
  <c r="B52" i="1"/>
  <c r="H52" i="1" s="1"/>
  <c r="Z51" i="1"/>
  <c r="AC51" i="1" s="1"/>
  <c r="X51" i="1"/>
  <c r="T51" i="1"/>
  <c r="L51" i="1"/>
  <c r="M51" i="1" s="1"/>
  <c r="O51" i="1" s="1"/>
  <c r="J51" i="1"/>
  <c r="H51" i="1"/>
  <c r="Z50" i="1"/>
  <c r="AC50" i="1" s="1"/>
  <c r="X50" i="1"/>
  <c r="T50" i="1"/>
  <c r="L50" i="1"/>
  <c r="M50" i="1" s="1"/>
  <c r="O50" i="1" s="1"/>
  <c r="P50" i="1" s="1"/>
  <c r="Q50" i="1" s="1"/>
  <c r="J50" i="1"/>
  <c r="I50" i="1"/>
  <c r="H50" i="1"/>
  <c r="Z49" i="1"/>
  <c r="X49" i="1"/>
  <c r="T49" i="1"/>
  <c r="L49" i="1"/>
  <c r="M49" i="1" s="1"/>
  <c r="O49" i="1" s="1"/>
  <c r="J49" i="1"/>
  <c r="H49" i="1"/>
  <c r="Z48" i="1"/>
  <c r="AC48" i="1" s="1"/>
  <c r="X48" i="1"/>
  <c r="T48" i="1"/>
  <c r="L48" i="1"/>
  <c r="M48" i="1" s="1"/>
  <c r="O48" i="1" s="1"/>
  <c r="P48" i="1" s="1"/>
  <c r="Q48" i="1" s="1"/>
  <c r="J48" i="1"/>
  <c r="H48" i="1"/>
  <c r="G48" i="1"/>
  <c r="Z47" i="1"/>
  <c r="AC47" i="1" s="1"/>
  <c r="X47" i="1"/>
  <c r="T47" i="1"/>
  <c r="L47" i="1"/>
  <c r="M47" i="1" s="1"/>
  <c r="O47" i="1" s="1"/>
  <c r="J47" i="1"/>
  <c r="H47" i="1"/>
  <c r="Z46" i="1"/>
  <c r="AC46" i="1" s="1"/>
  <c r="X46" i="1"/>
  <c r="T46" i="1"/>
  <c r="L46" i="1"/>
  <c r="M46" i="1" s="1"/>
  <c r="O46" i="1" s="1"/>
  <c r="J46" i="1"/>
  <c r="H46" i="1"/>
  <c r="Z45" i="1"/>
  <c r="X45" i="1"/>
  <c r="T45" i="1"/>
  <c r="L45" i="1"/>
  <c r="M45" i="1" s="1"/>
  <c r="O45" i="1" s="1"/>
  <c r="J45" i="1"/>
  <c r="I45" i="1"/>
  <c r="B45" i="1"/>
  <c r="H45" i="1" s="1"/>
  <c r="Z44" i="1"/>
  <c r="AC44" i="1" s="1"/>
  <c r="X44" i="1"/>
  <c r="T44" i="1"/>
  <c r="L44" i="1"/>
  <c r="M44" i="1" s="1"/>
  <c r="O44" i="1" s="1"/>
  <c r="J44" i="1"/>
  <c r="H44" i="1"/>
  <c r="Z43" i="1"/>
  <c r="AC43" i="1" s="1"/>
  <c r="X43" i="1"/>
  <c r="T43" i="1"/>
  <c r="L43" i="1"/>
  <c r="M43" i="1" s="1"/>
  <c r="O43" i="1" s="1"/>
  <c r="J43" i="1"/>
  <c r="B43" i="1"/>
  <c r="H43" i="1" s="1"/>
  <c r="Z42" i="1"/>
  <c r="AC42" i="1" s="1"/>
  <c r="X42" i="1"/>
  <c r="T42" i="1"/>
  <c r="L42" i="1"/>
  <c r="M42" i="1" s="1"/>
  <c r="O42" i="1" s="1"/>
  <c r="J42" i="1"/>
  <c r="H42" i="1"/>
  <c r="C42" i="1"/>
  <c r="Z41" i="1"/>
  <c r="X41" i="1"/>
  <c r="T41" i="1"/>
  <c r="L41" i="1"/>
  <c r="M41" i="1" s="1"/>
  <c r="O41" i="1" s="1"/>
  <c r="H41" i="1"/>
  <c r="Z40" i="1"/>
  <c r="T40" i="1"/>
  <c r="O40" i="1"/>
  <c r="K40" i="1"/>
  <c r="J40" i="1"/>
  <c r="B40" i="1"/>
  <c r="C40" i="1" s="1"/>
  <c r="Z39" i="1"/>
  <c r="AC39" i="1" s="1"/>
  <c r="T39" i="1"/>
  <c r="O39" i="1"/>
  <c r="J39" i="1"/>
  <c r="I39" i="1"/>
  <c r="P39" i="1" s="1"/>
  <c r="Q39" i="1" s="1"/>
  <c r="H39" i="1"/>
  <c r="C39" i="1"/>
  <c r="Z38" i="1"/>
  <c r="AC38" i="1" s="1"/>
  <c r="T38" i="1"/>
  <c r="O38" i="1"/>
  <c r="J38" i="1"/>
  <c r="H38" i="1"/>
  <c r="C38" i="1"/>
  <c r="T37" i="1"/>
  <c r="O37" i="1"/>
  <c r="J37" i="1"/>
  <c r="H37" i="1"/>
  <c r="C37" i="1"/>
  <c r="Z36" i="1"/>
  <c r="T36" i="1"/>
  <c r="O36" i="1"/>
  <c r="J36" i="1"/>
  <c r="H36" i="1"/>
  <c r="C36" i="1"/>
  <c r="Z35" i="1"/>
  <c r="AC35" i="1" s="1"/>
  <c r="T35" i="1"/>
  <c r="O35" i="1"/>
  <c r="L35" i="1"/>
  <c r="J35" i="1"/>
  <c r="H35" i="1"/>
  <c r="C35" i="1"/>
  <c r="Z34" i="1"/>
  <c r="AC34" i="1" s="1"/>
  <c r="T34" i="1"/>
  <c r="O34" i="1"/>
  <c r="L34" i="1"/>
  <c r="J34" i="1"/>
  <c r="H34" i="1"/>
  <c r="C34" i="1"/>
  <c r="Z33" i="1"/>
  <c r="AC33" i="1" s="1"/>
  <c r="T33" i="1"/>
  <c r="O33" i="1"/>
  <c r="L33" i="1"/>
  <c r="J33" i="1"/>
  <c r="H33" i="1"/>
  <c r="C33" i="1"/>
  <c r="Z32" i="1"/>
  <c r="AC32" i="1" s="1"/>
  <c r="T32" i="1"/>
  <c r="O32" i="1"/>
  <c r="L32" i="1"/>
  <c r="J32" i="1"/>
  <c r="H32" i="1"/>
  <c r="G32" i="1"/>
  <c r="C32" i="1"/>
  <c r="Z31" i="1"/>
  <c r="AC31" i="1" s="1"/>
  <c r="T31" i="1"/>
  <c r="O31" i="1"/>
  <c r="L31" i="1"/>
  <c r="H31" i="1"/>
  <c r="C31" i="1"/>
  <c r="Z30" i="1"/>
  <c r="T30" i="1"/>
  <c r="K30" i="1"/>
  <c r="H30" i="1"/>
  <c r="C30" i="1"/>
  <c r="T29" i="1"/>
  <c r="N29" i="1"/>
  <c r="J29" i="1"/>
  <c r="H29" i="1"/>
  <c r="C29" i="1"/>
  <c r="T28" i="1"/>
  <c r="Q28" i="1"/>
  <c r="V28" i="1" s="1"/>
  <c r="L28" i="1"/>
  <c r="M28" i="1" s="1"/>
  <c r="O28" i="1" s="1"/>
  <c r="J28" i="1"/>
  <c r="H28" i="1"/>
  <c r="C28" i="1"/>
  <c r="T27" i="1"/>
  <c r="Q27" i="1"/>
  <c r="V27" i="1" s="1"/>
  <c r="M27" i="1"/>
  <c r="O27" i="1" s="1"/>
  <c r="J27" i="1"/>
  <c r="H27" i="1"/>
  <c r="C27" i="1"/>
  <c r="T26" i="1"/>
  <c r="Q26" i="1"/>
  <c r="V26" i="1" s="1"/>
  <c r="M26" i="1"/>
  <c r="O26" i="1" s="1"/>
  <c r="J26" i="1"/>
  <c r="H26" i="1"/>
  <c r="C26" i="1"/>
  <c r="T25" i="1"/>
  <c r="Q25" i="1"/>
  <c r="V25" i="1" s="1"/>
  <c r="M25" i="1"/>
  <c r="O25" i="1" s="1"/>
  <c r="J25" i="1"/>
  <c r="B25" i="1"/>
  <c r="H25" i="1" s="1"/>
  <c r="T24" i="1"/>
  <c r="Q24" i="1"/>
  <c r="V24" i="1" s="1"/>
  <c r="J24" i="1"/>
  <c r="H24" i="1"/>
  <c r="T23" i="1"/>
  <c r="Q23" i="1"/>
  <c r="V23" i="1" s="1"/>
  <c r="J23" i="1"/>
  <c r="B23" i="1"/>
  <c r="H23" i="1" s="1"/>
  <c r="T22" i="1"/>
  <c r="Q22" i="1"/>
  <c r="V22" i="1" s="1"/>
  <c r="O22" i="1"/>
  <c r="J22" i="1"/>
  <c r="H22" i="1"/>
  <c r="F22" i="1"/>
  <c r="C22" i="1"/>
  <c r="Z21" i="1"/>
  <c r="AC21" i="1" s="1"/>
  <c r="V21" i="1"/>
  <c r="T21" i="1"/>
  <c r="Q21" i="1"/>
  <c r="O21" i="1"/>
  <c r="L21" i="1"/>
  <c r="L22" i="1" s="1"/>
  <c r="L23" i="1" s="1"/>
  <c r="H21" i="1"/>
  <c r="C21" i="1"/>
  <c r="Z20" i="1"/>
  <c r="T20" i="1"/>
  <c r="Q20" i="1"/>
  <c r="V20" i="1" s="1"/>
  <c r="O20" i="1"/>
  <c r="K20" i="1"/>
  <c r="H20" i="1" s="1"/>
  <c r="C20" i="1"/>
  <c r="Z19" i="1"/>
  <c r="AC19" i="1" s="1"/>
  <c r="T19" i="1"/>
  <c r="Q19" i="1"/>
  <c r="O19" i="1"/>
  <c r="L19" i="1"/>
  <c r="H19" i="1"/>
  <c r="C19" i="1"/>
  <c r="AN18" i="1"/>
  <c r="AO18" i="1" s="1"/>
  <c r="Z18" i="1"/>
  <c r="AC18" i="1" s="1"/>
  <c r="T18" i="1"/>
  <c r="Q18" i="1"/>
  <c r="V18" i="1" s="1"/>
  <c r="O18" i="1"/>
  <c r="L18" i="1"/>
  <c r="H18" i="1"/>
  <c r="C18" i="1"/>
  <c r="AN17" i="1"/>
  <c r="AO17" i="1" s="1"/>
  <c r="Z17" i="1"/>
  <c r="AC17" i="1" s="1"/>
  <c r="T17" i="1"/>
  <c r="Q17" i="1"/>
  <c r="O17" i="1"/>
  <c r="L17" i="1"/>
  <c r="H17" i="1"/>
  <c r="C17" i="1"/>
  <c r="AN16" i="1"/>
  <c r="AO16" i="1" s="1"/>
  <c r="Z16" i="1"/>
  <c r="AC16" i="1" s="1"/>
  <c r="T16" i="1"/>
  <c r="Q16" i="1"/>
  <c r="O16" i="1"/>
  <c r="L16" i="1"/>
  <c r="H16" i="1"/>
  <c r="C16" i="1"/>
  <c r="AN15" i="1"/>
  <c r="AO15" i="1" s="1"/>
  <c r="Z15" i="1"/>
  <c r="T15" i="1"/>
  <c r="T14" i="1" s="1"/>
  <c r="U14" i="1" s="1"/>
  <c r="V14" i="1" s="1"/>
  <c r="Q15" i="1"/>
  <c r="O15" i="1"/>
  <c r="L15" i="1"/>
  <c r="H15" i="1"/>
  <c r="E15" i="1"/>
  <c r="C15" i="1"/>
  <c r="AN14" i="1"/>
  <c r="AO14" i="1" s="1"/>
  <c r="Z14" i="1"/>
  <c r="AC14" i="1" s="1"/>
  <c r="Q14" i="1"/>
  <c r="O14" i="1"/>
  <c r="L14" i="1"/>
  <c r="H14" i="1"/>
  <c r="C14" i="1"/>
  <c r="AN13" i="1"/>
  <c r="AO13" i="1" s="1"/>
  <c r="Z13" i="1"/>
  <c r="AC13" i="1" s="1"/>
  <c r="Q13" i="1"/>
  <c r="O13" i="1"/>
  <c r="L13" i="1"/>
  <c r="J13" i="1"/>
  <c r="M12" i="1" s="1"/>
  <c r="L12" i="1" s="1"/>
  <c r="H13" i="1"/>
  <c r="AN12" i="1"/>
  <c r="AO12" i="1" s="1"/>
  <c r="Z12" i="1"/>
  <c r="AC12" i="1" s="1"/>
  <c r="Q12" i="1"/>
  <c r="J12" i="1"/>
  <c r="AT11" i="1"/>
  <c r="AN11" i="1"/>
  <c r="AO11" i="1" s="1"/>
  <c r="Z11" i="1"/>
  <c r="AC11" i="1" s="1"/>
  <c r="Q11" i="1"/>
  <c r="J11" i="1"/>
  <c r="AU10" i="1"/>
  <c r="AN10" i="1"/>
  <c r="AO10" i="1" s="1"/>
  <c r="Z10" i="1"/>
  <c r="AC10" i="1" s="1"/>
  <c r="Q10" i="1"/>
  <c r="J10" i="1"/>
  <c r="AU9" i="1"/>
  <c r="AU11" i="1" s="1"/>
  <c r="AN9" i="1"/>
  <c r="AO9" i="1" s="1"/>
  <c r="Z9" i="1"/>
  <c r="AC9" i="1" s="1"/>
  <c r="Q9" i="1"/>
  <c r="J9" i="1"/>
  <c r="AU8" i="1"/>
  <c r="AN8" i="1"/>
  <c r="AO8" i="1" s="1"/>
  <c r="Z8" i="1"/>
  <c r="AC8" i="1" s="1"/>
  <c r="Q8" i="1"/>
  <c r="J8" i="1"/>
  <c r="AN7" i="1"/>
  <c r="AO7" i="1" s="1"/>
  <c r="Z7" i="1"/>
  <c r="AC7" i="1" s="1"/>
  <c r="Q7" i="1"/>
  <c r="J7" i="1"/>
  <c r="Z6" i="1"/>
  <c r="AC6" i="1" s="1"/>
  <c r="Q6" i="1"/>
  <c r="J6" i="1"/>
  <c r="Z5" i="1"/>
  <c r="C95" i="1" s="1"/>
  <c r="Q5" i="1"/>
  <c r="Z4" i="1"/>
  <c r="B95" i="1" s="1"/>
  <c r="B99" i="1" s="1"/>
  <c r="AI3" i="1"/>
  <c r="AD38" i="1" l="1"/>
  <c r="C99" i="1"/>
  <c r="P43" i="1"/>
  <c r="Q43" i="1" s="1"/>
  <c r="AD48" i="1"/>
  <c r="AF48" i="1" s="1"/>
  <c r="AD34" i="1"/>
  <c r="AD14" i="1"/>
  <c r="AD47" i="1"/>
  <c r="K139" i="1"/>
  <c r="I46" i="1"/>
  <c r="L139" i="1"/>
  <c r="AD46" i="1"/>
  <c r="AF46" i="1" s="1"/>
  <c r="AD9" i="1"/>
  <c r="AF9" i="1" s="1"/>
  <c r="AD21" i="1"/>
  <c r="AF21" i="1" s="1"/>
  <c r="AD8" i="1"/>
  <c r="AF8" i="1" s="1"/>
  <c r="C41" i="1"/>
  <c r="AD51" i="1"/>
  <c r="AF51" i="1" s="1"/>
  <c r="AD35" i="1"/>
  <c r="AF35" i="1" s="1"/>
  <c r="AD6" i="1"/>
  <c r="P49" i="1"/>
  <c r="Q49" i="1" s="1"/>
  <c r="V49" i="1" s="1"/>
  <c r="AU12" i="1"/>
  <c r="AM19" i="1" s="1"/>
  <c r="AN19" i="1" s="1"/>
  <c r="AO19" i="1" s="1"/>
  <c r="AD12" i="1"/>
  <c r="AF12" i="1" s="1"/>
  <c r="H40" i="1"/>
  <c r="I139" i="1"/>
  <c r="AD33" i="1"/>
  <c r="AF33" i="1" s="1"/>
  <c r="AD44" i="1"/>
  <c r="AF44" i="1" s="1"/>
  <c r="AD32" i="1"/>
  <c r="AF32" i="1" s="1"/>
  <c r="AD7" i="1"/>
  <c r="AD10" i="1"/>
  <c r="AF10" i="1" s="1"/>
  <c r="AD17" i="1"/>
  <c r="AD13" i="1"/>
  <c r="AF13" i="1" s="1"/>
  <c r="AD19" i="1"/>
  <c r="AF19" i="1" s="1"/>
  <c r="S139" i="1"/>
  <c r="I47" i="1"/>
  <c r="P47" i="1" s="1"/>
  <c r="Q47" i="1" s="1"/>
  <c r="V47" i="1" s="1"/>
  <c r="P46" i="1"/>
  <c r="Q46" i="1" s="1"/>
  <c r="V46" i="1" s="1"/>
  <c r="P45" i="1"/>
  <c r="Q45" i="1" s="1"/>
  <c r="V45" i="1" s="1"/>
  <c r="Z22" i="1"/>
  <c r="Z23" i="1" s="1"/>
  <c r="AC23" i="1" s="1"/>
  <c r="AD23" i="1" s="1"/>
  <c r="P52" i="1"/>
  <c r="Q52" i="1" s="1"/>
  <c r="V52" i="1" s="1"/>
  <c r="I54" i="1"/>
  <c r="P54" i="1" s="1"/>
  <c r="Q54" i="1" s="1"/>
  <c r="AD39" i="1"/>
  <c r="AF39" i="1" s="1"/>
  <c r="R139" i="1"/>
  <c r="P55" i="1"/>
  <c r="Q55" i="1" s="1"/>
  <c r="Q60" i="1" s="1"/>
  <c r="V43" i="1"/>
  <c r="AF7" i="1"/>
  <c r="AM21" i="1"/>
  <c r="AN21" i="1" s="1"/>
  <c r="AO21" i="1" s="1"/>
  <c r="AM23" i="1"/>
  <c r="AM20" i="1"/>
  <c r="AN20" i="1" s="1"/>
  <c r="AO20" i="1" s="1"/>
  <c r="AF17" i="1"/>
  <c r="V39" i="1"/>
  <c r="L24" i="1"/>
  <c r="M24" i="1" s="1"/>
  <c r="O24" i="1" s="1"/>
  <c r="M23" i="1"/>
  <c r="O23" i="1" s="1"/>
  <c r="AF34" i="1"/>
  <c r="AF47" i="1"/>
  <c r="V40" i="1"/>
  <c r="AF6" i="1"/>
  <c r="D87" i="1"/>
  <c r="V50" i="1"/>
  <c r="V41" i="1"/>
  <c r="Z24" i="1"/>
  <c r="AC20" i="1"/>
  <c r="AD20" i="1" s="1"/>
  <c r="AC49" i="1"/>
  <c r="AD49" i="1" s="1"/>
  <c r="Z56" i="1"/>
  <c r="AC15" i="1"/>
  <c r="AD15" i="1" s="1"/>
  <c r="V17" i="1"/>
  <c r="V16" i="1"/>
  <c r="V65" i="1"/>
  <c r="V66" i="1" s="1"/>
  <c r="I42" i="1"/>
  <c r="P42" i="1" s="1"/>
  <c r="Q42" i="1" s="1"/>
  <c r="H139" i="1"/>
  <c r="G139" i="1"/>
  <c r="AD11" i="1"/>
  <c r="V48" i="1"/>
  <c r="AD54" i="1"/>
  <c r="X58" i="1"/>
  <c r="T139" i="1"/>
  <c r="AD16" i="1"/>
  <c r="AC30" i="1"/>
  <c r="AD30" i="1" s="1"/>
  <c r="T13" i="1"/>
  <c r="I44" i="1"/>
  <c r="P44" i="1" s="1"/>
  <c r="Q44" i="1" s="1"/>
  <c r="AF38" i="1"/>
  <c r="D94" i="1"/>
  <c r="D95" i="1"/>
  <c r="E93" i="1"/>
  <c r="M11" i="1"/>
  <c r="AC5" i="1"/>
  <c r="O12" i="1"/>
  <c r="AF14" i="1"/>
  <c r="Z37" i="1"/>
  <c r="AC36" i="1"/>
  <c r="AD36" i="1" s="1"/>
  <c r="AC41" i="1"/>
  <c r="AD41" i="1" s="1"/>
  <c r="P53" i="1"/>
  <c r="Q53" i="1" s="1"/>
  <c r="V54" i="1"/>
  <c r="F85" i="1"/>
  <c r="E87" i="1"/>
  <c r="AC40" i="1"/>
  <c r="AD40" i="1" s="1"/>
  <c r="U139" i="1"/>
  <c r="I56" i="1"/>
  <c r="AC53" i="1"/>
  <c r="AD53" i="1" s="1"/>
  <c r="O56" i="1"/>
  <c r="AD31" i="1"/>
  <c r="AD50" i="1"/>
  <c r="V15" i="1"/>
  <c r="V19" i="1"/>
  <c r="AD52" i="1"/>
  <c r="C94" i="1"/>
  <c r="C98" i="1" s="1"/>
  <c r="AD5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AD18" i="1"/>
  <c r="AD42" i="1"/>
  <c r="M139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O29" i="1"/>
  <c r="N139" i="1"/>
  <c r="AC4" i="1"/>
  <c r="AD4" i="1" s="1"/>
  <c r="Q29" i="1"/>
  <c r="N30" i="1"/>
  <c r="N58" i="1" s="1"/>
  <c r="P51" i="1"/>
  <c r="Q51" i="1" s="1"/>
  <c r="AC45" i="1"/>
  <c r="AD45" i="1" s="1"/>
  <c r="E139" i="1"/>
  <c r="Q139" i="1"/>
  <c r="P139" i="1"/>
  <c r="AD43" i="1"/>
  <c r="F139" i="1"/>
  <c r="J139" i="1"/>
  <c r="AA22" i="1" l="1"/>
  <c r="AA23" i="1" s="1"/>
  <c r="AM24" i="1"/>
  <c r="AM22" i="1"/>
  <c r="AN22" i="1" s="1"/>
  <c r="AO22" i="1" s="1"/>
  <c r="V55" i="1"/>
  <c r="AC22" i="1"/>
  <c r="AD22" i="1" s="1"/>
  <c r="V67" i="1"/>
  <c r="V68" i="1" s="1"/>
  <c r="V69" i="1" s="1"/>
  <c r="O11" i="1"/>
  <c r="L11" i="1"/>
  <c r="M10" i="1"/>
  <c r="AF41" i="1"/>
  <c r="V51" i="1"/>
  <c r="B87" i="1"/>
  <c r="B91" i="1" s="1"/>
  <c r="AF4" i="1"/>
  <c r="AE4" i="1"/>
  <c r="AG4" i="1" s="1"/>
  <c r="AF18" i="1"/>
  <c r="AF15" i="1"/>
  <c r="T12" i="1"/>
  <c r="U13" i="1"/>
  <c r="V13" i="1" s="1"/>
  <c r="AF30" i="1"/>
  <c r="BB95" i="1"/>
  <c r="AC56" i="1"/>
  <c r="AD56" i="1" s="1"/>
  <c r="AN23" i="1"/>
  <c r="AO23" i="1" s="1"/>
  <c r="AF55" i="1"/>
  <c r="V53" i="1"/>
  <c r="AF49" i="1"/>
  <c r="AF45" i="1"/>
  <c r="AF20" i="1"/>
  <c r="AC24" i="1"/>
  <c r="AD24" i="1" s="1"/>
  <c r="AA24" i="1"/>
  <c r="Z25" i="1"/>
  <c r="AF36" i="1"/>
  <c r="O30" i="1"/>
  <c r="Q30" i="1"/>
  <c r="AC37" i="1"/>
  <c r="AD37" i="1" s="1"/>
  <c r="AF23" i="1"/>
  <c r="E94" i="1"/>
  <c r="F93" i="1"/>
  <c r="E95" i="1"/>
  <c r="AN24" i="1"/>
  <c r="AO24" i="1" s="1"/>
  <c r="AF52" i="1"/>
  <c r="D99" i="1"/>
  <c r="E99" i="1" s="1"/>
  <c r="AF43" i="1"/>
  <c r="F87" i="1"/>
  <c r="G85" i="1"/>
  <c r="V42" i="1"/>
  <c r="AF53" i="1"/>
  <c r="AD5" i="1"/>
  <c r="V139" i="1"/>
  <c r="I38" i="1" s="1"/>
  <c r="P56" i="1"/>
  <c r="Q56" i="1" s="1"/>
  <c r="AF16" i="1"/>
  <c r="AF50" i="1"/>
  <c r="AF22" i="1"/>
  <c r="AF31" i="1"/>
  <c r="AF54" i="1"/>
  <c r="AF40" i="1"/>
  <c r="V44" i="1"/>
  <c r="R29" i="1"/>
  <c r="V29" i="1"/>
  <c r="AF42" i="1"/>
  <c r="D98" i="1"/>
  <c r="AF11" i="1"/>
  <c r="E98" i="1" l="1"/>
  <c r="AA25" i="1"/>
  <c r="Z26" i="1"/>
  <c r="AC25" i="1"/>
  <c r="F94" i="1"/>
  <c r="G93" i="1"/>
  <c r="F95" i="1"/>
  <c r="T11" i="1"/>
  <c r="U12" i="1"/>
  <c r="V12" i="1" s="1"/>
  <c r="BB94" i="1"/>
  <c r="V56" i="1"/>
  <c r="P38" i="1"/>
  <c r="Q38" i="1" s="1"/>
  <c r="I37" i="1"/>
  <c r="C87" i="1"/>
  <c r="C91" i="1" s="1"/>
  <c r="D91" i="1" s="1"/>
  <c r="E91" i="1" s="1"/>
  <c r="F91" i="1" s="1"/>
  <c r="AF5" i="1"/>
  <c r="AE5" i="1"/>
  <c r="AF37" i="1"/>
  <c r="AF56" i="1"/>
  <c r="BB87" i="1"/>
  <c r="V30" i="1"/>
  <c r="R30" i="1"/>
  <c r="O10" i="1"/>
  <c r="L10" i="1"/>
  <c r="M9" i="1"/>
  <c r="H85" i="1"/>
  <c r="G87" i="1"/>
  <c r="AF24" i="1"/>
  <c r="G91" i="1" l="1"/>
  <c r="F99" i="1"/>
  <c r="I36" i="1"/>
  <c r="P37" i="1"/>
  <c r="Q37" i="1" s="1"/>
  <c r="AE6" i="1"/>
  <c r="H93" i="1"/>
  <c r="G94" i="1"/>
  <c r="G95" i="1"/>
  <c r="Z27" i="1"/>
  <c r="AC26" i="1"/>
  <c r="AD26" i="1" s="1"/>
  <c r="AA26" i="1"/>
  <c r="H87" i="1"/>
  <c r="H91" i="1" s="1"/>
  <c r="I85" i="1"/>
  <c r="U11" i="1"/>
  <c r="V11" i="1" s="1"/>
  <c r="T10" i="1"/>
  <c r="M8" i="1"/>
  <c r="O9" i="1"/>
  <c r="L9" i="1"/>
  <c r="V38" i="1"/>
  <c r="F98" i="1"/>
  <c r="BB86" i="1"/>
  <c r="AD25" i="1"/>
  <c r="AF25" i="1" l="1"/>
  <c r="AE7" i="1"/>
  <c r="V37" i="1"/>
  <c r="G98" i="1"/>
  <c r="AC27" i="1"/>
  <c r="AA27" i="1"/>
  <c r="Z28" i="1"/>
  <c r="G99" i="1"/>
  <c r="O8" i="1"/>
  <c r="L8" i="1"/>
  <c r="M7" i="1"/>
  <c r="T9" i="1"/>
  <c r="U10" i="1"/>
  <c r="V10" i="1" s="1"/>
  <c r="I93" i="1"/>
  <c r="H94" i="1"/>
  <c r="H95" i="1"/>
  <c r="J85" i="1"/>
  <c r="I87" i="1"/>
  <c r="I91" i="1" s="1"/>
  <c r="I86" i="1"/>
  <c r="AF26" i="1"/>
  <c r="P36" i="1"/>
  <c r="Q36" i="1" s="1"/>
  <c r="I35" i="1"/>
  <c r="H98" i="1" l="1"/>
  <c r="U9" i="1"/>
  <c r="V9" i="1" s="1"/>
  <c r="T8" i="1"/>
  <c r="AE8" i="1"/>
  <c r="H99" i="1"/>
  <c r="AD27" i="1"/>
  <c r="H86" i="1"/>
  <c r="I34" i="1"/>
  <c r="P35" i="1"/>
  <c r="Q35" i="1" s="1"/>
  <c r="M6" i="1"/>
  <c r="O7" i="1"/>
  <c r="L7" i="1"/>
  <c r="I94" i="1"/>
  <c r="I95" i="1"/>
  <c r="J93" i="1"/>
  <c r="V36" i="1"/>
  <c r="K85" i="1"/>
  <c r="J87" i="1"/>
  <c r="J91" i="1" s="1"/>
  <c r="J86" i="1"/>
  <c r="Z29" i="1"/>
  <c r="AC28" i="1"/>
  <c r="AD28" i="1" s="1"/>
  <c r="AA28" i="1"/>
  <c r="AF27" i="1" l="1"/>
  <c r="AE9" i="1"/>
  <c r="T7" i="1"/>
  <c r="U8" i="1"/>
  <c r="V8" i="1" s="1"/>
  <c r="O6" i="1"/>
  <c r="L6" i="1"/>
  <c r="M5" i="1"/>
  <c r="I98" i="1"/>
  <c r="I33" i="1"/>
  <c r="P34" i="1"/>
  <c r="Q34" i="1" s="1"/>
  <c r="J94" i="1"/>
  <c r="K93" i="1"/>
  <c r="J95" i="1"/>
  <c r="I99" i="1"/>
  <c r="AF28" i="1"/>
  <c r="AC29" i="1"/>
  <c r="AA29" i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8" i="1" s="1"/>
  <c r="Z58" i="1"/>
  <c r="G86" i="1"/>
  <c r="K87" i="1"/>
  <c r="K91" i="1" s="1"/>
  <c r="K86" i="1"/>
  <c r="L85" i="1"/>
  <c r="V35" i="1"/>
  <c r="J99" i="1" l="1"/>
  <c r="O5" i="1"/>
  <c r="L5" i="1"/>
  <c r="F86" i="1"/>
  <c r="L87" i="1"/>
  <c r="L91" i="1" s="1"/>
  <c r="L86" i="1"/>
  <c r="M85" i="1"/>
  <c r="AE10" i="1"/>
  <c r="V34" i="1"/>
  <c r="P33" i="1"/>
  <c r="Q33" i="1" s="1"/>
  <c r="I32" i="1"/>
  <c r="AD29" i="1"/>
  <c r="AC58" i="1"/>
  <c r="O107" i="1" s="1"/>
  <c r="T6" i="1"/>
  <c r="U7" i="1"/>
  <c r="V7" i="1" s="1"/>
  <c r="L93" i="1"/>
  <c r="K95" i="1"/>
  <c r="K94" i="1"/>
  <c r="AB58" i="1"/>
  <c r="J98" i="1"/>
  <c r="O109" i="1" l="1"/>
  <c r="O111" i="1" s="1"/>
  <c r="L95" i="1"/>
  <c r="M93" i="1"/>
  <c r="L94" i="1"/>
  <c r="AE11" i="1"/>
  <c r="E86" i="1"/>
  <c r="M87" i="1"/>
  <c r="M91" i="1" s="1"/>
  <c r="M86" i="1"/>
  <c r="N85" i="1"/>
  <c r="T5" i="1"/>
  <c r="U5" i="1" s="1"/>
  <c r="U6" i="1"/>
  <c r="V6" i="1" s="1"/>
  <c r="K99" i="1"/>
  <c r="K98" i="1"/>
  <c r="AF29" i="1"/>
  <c r="AF58" i="1" s="1"/>
  <c r="AD58" i="1"/>
  <c r="I31" i="1"/>
  <c r="P31" i="1" s="1"/>
  <c r="P32" i="1"/>
  <c r="Q32" i="1" s="1"/>
  <c r="V33" i="1"/>
  <c r="O112" i="1" l="1"/>
  <c r="O113" i="1" s="1"/>
  <c r="AE12" i="1"/>
  <c r="N87" i="1"/>
  <c r="N91" i="1" s="1"/>
  <c r="O85" i="1"/>
  <c r="N86" i="1"/>
  <c r="P58" i="1"/>
  <c r="Q58" i="1" s="1"/>
  <c r="Q31" i="1"/>
  <c r="M95" i="1"/>
  <c r="M94" i="1"/>
  <c r="N93" i="1"/>
  <c r="AI2" i="1"/>
  <c r="V5" i="1"/>
  <c r="V32" i="1"/>
  <c r="L98" i="1"/>
  <c r="L99" i="1"/>
  <c r="D86" i="1"/>
  <c r="M99" i="1" l="1"/>
  <c r="V31" i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8" i="1" s="1"/>
  <c r="M98" i="1"/>
  <c r="P85" i="1"/>
  <c r="O87" i="1"/>
  <c r="O91" i="1" s="1"/>
  <c r="O86" i="1"/>
  <c r="C86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V58" i="1"/>
  <c r="N113" i="1" s="1"/>
  <c r="P113" i="1" s="1"/>
  <c r="W5" i="1"/>
  <c r="N95" i="1"/>
  <c r="N94" i="1"/>
  <c r="O93" i="1"/>
  <c r="AE13" i="1"/>
  <c r="N98" i="1" l="1"/>
  <c r="AE58" i="1"/>
  <c r="AG58" i="1" s="1"/>
  <c r="P86" i="1"/>
  <c r="P90" i="1" s="1"/>
  <c r="Q85" i="1"/>
  <c r="P87" i="1"/>
  <c r="P91" i="1" s="1"/>
  <c r="AE14" i="1"/>
  <c r="O95" i="1"/>
  <c r="P93" i="1"/>
  <c r="O94" i="1"/>
  <c r="N99" i="1"/>
  <c r="AG5" i="1"/>
  <c r="W6" i="1"/>
  <c r="O98" i="1" l="1"/>
  <c r="P95" i="1"/>
  <c r="Q93" i="1"/>
  <c r="P94" i="1"/>
  <c r="AE15" i="1"/>
  <c r="AG6" i="1"/>
  <c r="W7" i="1"/>
  <c r="Q86" i="1"/>
  <c r="Q90" i="1" s="1"/>
  <c r="Q87" i="1"/>
  <c r="Q91" i="1" s="1"/>
  <c r="R85" i="1"/>
  <c r="O99" i="1"/>
  <c r="AG7" i="1" l="1"/>
  <c r="W8" i="1"/>
  <c r="Q94" i="1"/>
  <c r="R93" i="1"/>
  <c r="Q95" i="1"/>
  <c r="P98" i="1"/>
  <c r="Q98" i="1" s="1"/>
  <c r="P99" i="1"/>
  <c r="AE16" i="1"/>
  <c r="R86" i="1"/>
  <c r="R90" i="1" s="1"/>
  <c r="S85" i="1"/>
  <c r="R87" i="1"/>
  <c r="R91" i="1" s="1"/>
  <c r="Q99" i="1" l="1"/>
  <c r="R95" i="1"/>
  <c r="S93" i="1"/>
  <c r="R94" i="1"/>
  <c r="AE17" i="1"/>
  <c r="AG8" i="1"/>
  <c r="W9" i="1"/>
  <c r="T85" i="1"/>
  <c r="S86" i="1"/>
  <c r="S87" i="1"/>
  <c r="S91" i="1" s="1"/>
  <c r="S90" i="1"/>
  <c r="R98" i="1" l="1"/>
  <c r="U85" i="1"/>
  <c r="T87" i="1"/>
  <c r="T91" i="1" s="1"/>
  <c r="T86" i="1"/>
  <c r="T90" i="1" s="1"/>
  <c r="AE18" i="1"/>
  <c r="T93" i="1"/>
  <c r="S94" i="1"/>
  <c r="S95" i="1"/>
  <c r="W10" i="1"/>
  <c r="AG9" i="1"/>
  <c r="R99" i="1"/>
  <c r="W11" i="1" l="1"/>
  <c r="AG10" i="1"/>
  <c r="AE19" i="1"/>
  <c r="S99" i="1"/>
  <c r="V85" i="1"/>
  <c r="U87" i="1"/>
  <c r="U91" i="1" s="1"/>
  <c r="U86" i="1"/>
  <c r="U90" i="1" s="1"/>
  <c r="T94" i="1"/>
  <c r="T95" i="1"/>
  <c r="U93" i="1"/>
  <c r="S98" i="1"/>
  <c r="T99" i="1" l="1"/>
  <c r="W85" i="1"/>
  <c r="V86" i="1"/>
  <c r="V90" i="1" s="1"/>
  <c r="V87" i="1"/>
  <c r="V91" i="1" s="1"/>
  <c r="AE20" i="1"/>
  <c r="W12" i="1"/>
  <c r="AG11" i="1"/>
  <c r="U94" i="1"/>
  <c r="V93" i="1"/>
  <c r="U95" i="1"/>
  <c r="T98" i="1"/>
  <c r="X85" i="1" l="1"/>
  <c r="W87" i="1"/>
  <c r="W91" i="1" s="1"/>
  <c r="W86" i="1"/>
  <c r="W90" i="1" s="1"/>
  <c r="U99" i="1"/>
  <c r="W93" i="1"/>
  <c r="V94" i="1"/>
  <c r="V95" i="1"/>
  <c r="W13" i="1"/>
  <c r="AG12" i="1"/>
  <c r="AE21" i="1"/>
  <c r="U98" i="1"/>
  <c r="V98" i="1" l="1"/>
  <c r="X87" i="1"/>
  <c r="X91" i="1" s="1"/>
  <c r="X86" i="1"/>
  <c r="X90" i="1" s="1"/>
  <c r="Y85" i="1"/>
  <c r="W14" i="1"/>
  <c r="AG13" i="1"/>
  <c r="X93" i="1"/>
  <c r="W94" i="1"/>
  <c r="W95" i="1"/>
  <c r="AE22" i="1"/>
  <c r="V99" i="1"/>
  <c r="X95" i="1" l="1"/>
  <c r="Y93" i="1"/>
  <c r="X94" i="1"/>
  <c r="W15" i="1"/>
  <c r="AG14" i="1"/>
  <c r="W99" i="1"/>
  <c r="X99" i="1" s="1"/>
  <c r="Y87" i="1"/>
  <c r="Y91" i="1" s="1"/>
  <c r="Y86" i="1"/>
  <c r="Y90" i="1" s="1"/>
  <c r="Z85" i="1"/>
  <c r="W98" i="1"/>
  <c r="AE23" i="1"/>
  <c r="AA85" i="1" l="1"/>
  <c r="Z86" i="1"/>
  <c r="Z90" i="1" s="1"/>
  <c r="Z87" i="1"/>
  <c r="Z91" i="1" s="1"/>
  <c r="W16" i="1"/>
  <c r="AG15" i="1"/>
  <c r="Z93" i="1"/>
  <c r="Y95" i="1"/>
  <c r="Y94" i="1"/>
  <c r="AE24" i="1"/>
  <c r="X98" i="1"/>
  <c r="Y98" i="1" l="1"/>
  <c r="Z95" i="1"/>
  <c r="Z94" i="1"/>
  <c r="AA93" i="1"/>
  <c r="W17" i="1"/>
  <c r="AG16" i="1"/>
  <c r="Y99" i="1"/>
  <c r="Z99" i="1" s="1"/>
  <c r="AA87" i="1"/>
  <c r="AA91" i="1" s="1"/>
  <c r="AA86" i="1"/>
  <c r="AA90" i="1" s="1"/>
  <c r="AB85" i="1"/>
  <c r="AE25" i="1"/>
  <c r="W18" i="1" l="1"/>
  <c r="AG17" i="1"/>
  <c r="AA95" i="1"/>
  <c r="AA94" i="1"/>
  <c r="AB93" i="1"/>
  <c r="AE26" i="1"/>
  <c r="Z98" i="1"/>
  <c r="AA98" i="1" s="1"/>
  <c r="AB87" i="1"/>
  <c r="AB91" i="1" s="1"/>
  <c r="AB86" i="1"/>
  <c r="AB90" i="1" s="1"/>
  <c r="AC85" i="1"/>
  <c r="AE27" i="1" l="1"/>
  <c r="AB94" i="1"/>
  <c r="AB95" i="1"/>
  <c r="AC93" i="1"/>
  <c r="W19" i="1"/>
  <c r="AG18" i="1"/>
  <c r="AC86" i="1"/>
  <c r="AC90" i="1" s="1"/>
  <c r="AC87" i="1"/>
  <c r="AC91" i="1" s="1"/>
  <c r="AD85" i="1"/>
  <c r="AA99" i="1"/>
  <c r="W20" i="1" l="1"/>
  <c r="AG19" i="1"/>
  <c r="AC94" i="1"/>
  <c r="AC95" i="1"/>
  <c r="AD93" i="1"/>
  <c r="AE28" i="1"/>
  <c r="AB99" i="1"/>
  <c r="AC99" i="1" s="1"/>
  <c r="AB98" i="1"/>
  <c r="AC98" i="1" s="1"/>
  <c r="AD86" i="1"/>
  <c r="AD90" i="1" s="1"/>
  <c r="AD87" i="1"/>
  <c r="AD91" i="1" s="1"/>
  <c r="AE85" i="1"/>
  <c r="AE29" i="1" l="1"/>
  <c r="AD95" i="1"/>
  <c r="AD94" i="1"/>
  <c r="AE93" i="1"/>
  <c r="AF85" i="1"/>
  <c r="AE86" i="1"/>
  <c r="AE90" i="1" s="1"/>
  <c r="AE87" i="1"/>
  <c r="AE91" i="1" s="1"/>
  <c r="W21" i="1"/>
  <c r="AG20" i="1"/>
  <c r="AF86" i="1" l="1"/>
  <c r="AF90" i="1" s="1"/>
  <c r="AF87" i="1"/>
  <c r="AF91" i="1" s="1"/>
  <c r="AG85" i="1"/>
  <c r="AF93" i="1"/>
  <c r="AE95" i="1"/>
  <c r="AE94" i="1"/>
  <c r="AE30" i="1"/>
  <c r="AD99" i="1"/>
  <c r="AD98" i="1"/>
  <c r="W22" i="1"/>
  <c r="AG21" i="1"/>
  <c r="AE99" i="1" l="1"/>
  <c r="AE31" i="1"/>
  <c r="AF94" i="1"/>
  <c r="AG93" i="1"/>
  <c r="AF95" i="1"/>
  <c r="AG86" i="1"/>
  <c r="AG90" i="1" s="1"/>
  <c r="AH85" i="1"/>
  <c r="AG87" i="1"/>
  <c r="AG91" i="1" s="1"/>
  <c r="W23" i="1"/>
  <c r="AG22" i="1"/>
  <c r="AE98" i="1"/>
  <c r="W24" i="1" l="1"/>
  <c r="AG23" i="1"/>
  <c r="AG94" i="1"/>
  <c r="AH93" i="1"/>
  <c r="AG95" i="1"/>
  <c r="AE32" i="1"/>
  <c r="AF99" i="1"/>
  <c r="AH86" i="1"/>
  <c r="AH90" i="1" s="1"/>
  <c r="AI85" i="1"/>
  <c r="AH87" i="1"/>
  <c r="AH91" i="1" s="1"/>
  <c r="AF98" i="1"/>
  <c r="AG99" i="1" l="1"/>
  <c r="AE33" i="1"/>
  <c r="AG98" i="1"/>
  <c r="W25" i="1"/>
  <c r="AG24" i="1"/>
  <c r="AH94" i="1"/>
  <c r="AI93" i="1"/>
  <c r="AH95" i="1"/>
  <c r="AJ85" i="1"/>
  <c r="AI87" i="1"/>
  <c r="AI91" i="1" s="1"/>
  <c r="AI86" i="1"/>
  <c r="AI90" i="1" s="1"/>
  <c r="AI94" i="1" l="1"/>
  <c r="AJ93" i="1"/>
  <c r="AI95" i="1"/>
  <c r="W26" i="1"/>
  <c r="AG25" i="1"/>
  <c r="AH99" i="1"/>
  <c r="AI99" i="1" s="1"/>
  <c r="AE34" i="1"/>
  <c r="AH98" i="1"/>
  <c r="AI98" i="1" s="1"/>
  <c r="AJ87" i="1"/>
  <c r="AJ91" i="1" s="1"/>
  <c r="AK85" i="1"/>
  <c r="AJ86" i="1"/>
  <c r="AJ90" i="1" s="1"/>
  <c r="AE35" i="1" l="1"/>
  <c r="W27" i="1"/>
  <c r="AG26" i="1"/>
  <c r="AK87" i="1"/>
  <c r="AK91" i="1" s="1"/>
  <c r="AK86" i="1"/>
  <c r="AK90" i="1" s="1"/>
  <c r="AL85" i="1"/>
  <c r="AJ95" i="1"/>
  <c r="AJ94" i="1"/>
  <c r="AK93" i="1"/>
  <c r="AJ98" i="1" l="1"/>
  <c r="AJ99" i="1"/>
  <c r="AL87" i="1"/>
  <c r="AL91" i="1" s="1"/>
  <c r="AL86" i="1"/>
  <c r="AL90" i="1" s="1"/>
  <c r="AM85" i="1"/>
  <c r="AK98" i="1"/>
  <c r="W28" i="1"/>
  <c r="AG27" i="1"/>
  <c r="AE36" i="1"/>
  <c r="AL93" i="1"/>
  <c r="AK95" i="1"/>
  <c r="AK94" i="1"/>
  <c r="AE37" i="1" l="1"/>
  <c r="AK99" i="1"/>
  <c r="AM93" i="1"/>
  <c r="AL95" i="1"/>
  <c r="AL94" i="1"/>
  <c r="W29" i="1"/>
  <c r="AG28" i="1"/>
  <c r="AM87" i="1"/>
  <c r="AM91" i="1" s="1"/>
  <c r="AN85" i="1"/>
  <c r="AM86" i="1"/>
  <c r="AM90" i="1" s="1"/>
  <c r="AL99" i="1" l="1"/>
  <c r="W30" i="1"/>
  <c r="AG29" i="1"/>
  <c r="AN87" i="1"/>
  <c r="AN91" i="1" s="1"/>
  <c r="AO85" i="1"/>
  <c r="AN86" i="1"/>
  <c r="AN90" i="1" s="1"/>
  <c r="AM95" i="1"/>
  <c r="AM94" i="1"/>
  <c r="AN93" i="1"/>
  <c r="AL98" i="1"/>
  <c r="AE38" i="1"/>
  <c r="AO86" i="1" l="1"/>
  <c r="AO90" i="1" s="1"/>
  <c r="AO87" i="1"/>
  <c r="AO91" i="1" s="1"/>
  <c r="AP85" i="1"/>
  <c r="AE39" i="1"/>
  <c r="AN95" i="1"/>
  <c r="AN94" i="1"/>
  <c r="AO93" i="1"/>
  <c r="AM99" i="1"/>
  <c r="AN99" i="1" s="1"/>
  <c r="W31" i="1"/>
  <c r="AG30" i="1"/>
  <c r="AM98" i="1"/>
  <c r="AO94" i="1" l="1"/>
  <c r="AO95" i="1"/>
  <c r="AP93" i="1"/>
  <c r="AE40" i="1"/>
  <c r="AP87" i="1"/>
  <c r="AP91" i="1" s="1"/>
  <c r="AQ85" i="1"/>
  <c r="AP86" i="1"/>
  <c r="AP90" i="1" s="1"/>
  <c r="AN98" i="1"/>
  <c r="W32" i="1"/>
  <c r="AG31" i="1"/>
  <c r="AE41" i="1" l="1"/>
  <c r="AP95" i="1"/>
  <c r="AP94" i="1"/>
  <c r="AQ93" i="1"/>
  <c r="W33" i="1"/>
  <c r="AG32" i="1"/>
  <c r="AR85" i="1"/>
  <c r="AQ87" i="1"/>
  <c r="AQ91" i="1" s="1"/>
  <c r="AQ86" i="1"/>
  <c r="AQ90" i="1" s="1"/>
  <c r="AO99" i="1"/>
  <c r="AO98" i="1"/>
  <c r="AP98" i="1" l="1"/>
  <c r="AR87" i="1"/>
  <c r="AR91" i="1" s="1"/>
  <c r="AR86" i="1"/>
  <c r="AR90" i="1" s="1"/>
  <c r="AS85" i="1"/>
  <c r="W34" i="1"/>
  <c r="AG33" i="1"/>
  <c r="AR93" i="1"/>
  <c r="AQ95" i="1"/>
  <c r="AQ94" i="1"/>
  <c r="AE42" i="1"/>
  <c r="AP99" i="1"/>
  <c r="AS87" i="1" l="1"/>
  <c r="AS91" i="1" s="1"/>
  <c r="AS86" i="1"/>
  <c r="AS90" i="1" s="1"/>
  <c r="AT85" i="1"/>
  <c r="AR95" i="1"/>
  <c r="AS93" i="1"/>
  <c r="AR94" i="1"/>
  <c r="W35" i="1"/>
  <c r="AG34" i="1"/>
  <c r="AQ99" i="1"/>
  <c r="AQ98" i="1"/>
  <c r="AE43" i="1"/>
  <c r="AR99" i="1" l="1"/>
  <c r="AS95" i="1"/>
  <c r="AT93" i="1"/>
  <c r="AS94" i="1"/>
  <c r="AS99" i="1"/>
  <c r="W36" i="1"/>
  <c r="AG35" i="1"/>
  <c r="AT86" i="1"/>
  <c r="AT90" i="1" s="1"/>
  <c r="AU85" i="1"/>
  <c r="AT87" i="1"/>
  <c r="AT91" i="1" s="1"/>
  <c r="AE44" i="1"/>
  <c r="AR98" i="1"/>
  <c r="AS98" i="1" l="1"/>
  <c r="AU86" i="1"/>
  <c r="AU90" i="1" s="1"/>
  <c r="AV85" i="1"/>
  <c r="AU87" i="1"/>
  <c r="AU91" i="1" s="1"/>
  <c r="W37" i="1"/>
  <c r="AG36" i="1"/>
  <c r="AT95" i="1"/>
  <c r="AU93" i="1"/>
  <c r="AT94" i="1"/>
  <c r="AE45" i="1"/>
  <c r="AU94" i="1" l="1"/>
  <c r="AV93" i="1"/>
  <c r="AU95" i="1"/>
  <c r="W38" i="1"/>
  <c r="AG37" i="1"/>
  <c r="AT98" i="1"/>
  <c r="AV87" i="1"/>
  <c r="AV91" i="1" s="1"/>
  <c r="AW85" i="1"/>
  <c r="AV86" i="1"/>
  <c r="AV90" i="1" s="1"/>
  <c r="AT99" i="1"/>
  <c r="AE46" i="1"/>
  <c r="W39" i="1" l="1"/>
  <c r="AG38" i="1"/>
  <c r="AE47" i="1"/>
  <c r="AX85" i="1"/>
  <c r="AW86" i="1"/>
  <c r="AW90" i="1" s="1"/>
  <c r="AW87" i="1"/>
  <c r="AW91" i="1" s="1"/>
  <c r="AU98" i="1"/>
  <c r="AV95" i="1"/>
  <c r="AV94" i="1"/>
  <c r="AW93" i="1"/>
  <c r="AU99" i="1"/>
  <c r="AV98" i="1" l="1"/>
  <c r="AX87" i="1"/>
  <c r="AX91" i="1" s="1"/>
  <c r="AX86" i="1"/>
  <c r="AX90" i="1" s="1"/>
  <c r="AY85" i="1"/>
  <c r="AE48" i="1"/>
  <c r="AV99" i="1"/>
  <c r="W40" i="1"/>
  <c r="AG39" i="1"/>
  <c r="AW94" i="1"/>
  <c r="AW95" i="1"/>
  <c r="AX93" i="1"/>
  <c r="AW99" i="1" l="1"/>
  <c r="AE49" i="1"/>
  <c r="AW98" i="1"/>
  <c r="W41" i="1"/>
  <c r="AG40" i="1"/>
  <c r="AY93" i="1"/>
  <c r="AX94" i="1"/>
  <c r="AX95" i="1"/>
  <c r="AY87" i="1"/>
  <c r="AY91" i="1" s="1"/>
  <c r="AY86" i="1"/>
  <c r="AY90" i="1" s="1"/>
  <c r="AZ85" i="1"/>
  <c r="AX99" i="1" l="1"/>
  <c r="AZ93" i="1"/>
  <c r="AY94" i="1"/>
  <c r="AY95" i="1"/>
  <c r="BA85" i="1"/>
  <c r="AZ86" i="1"/>
  <c r="AZ90" i="1" s="1"/>
  <c r="AZ87" i="1"/>
  <c r="AZ91" i="1" s="1"/>
  <c r="W42" i="1"/>
  <c r="AG41" i="1"/>
  <c r="AX98" i="1"/>
  <c r="AE50" i="1"/>
  <c r="BA86" i="1" l="1"/>
  <c r="BA90" i="1" s="1"/>
  <c r="BB90" i="1" s="1"/>
  <c r="BA87" i="1"/>
  <c r="BA91" i="1" s="1"/>
  <c r="BB91" i="1" s="1"/>
  <c r="BC91" i="1" s="1"/>
  <c r="AZ95" i="1"/>
  <c r="AZ94" i="1"/>
  <c r="BA93" i="1"/>
  <c r="W43" i="1"/>
  <c r="AG42" i="1"/>
  <c r="AE51" i="1"/>
  <c r="AY99" i="1"/>
  <c r="AY98" i="1"/>
  <c r="BA94" i="1" l="1"/>
  <c r="BA95" i="1"/>
  <c r="W44" i="1"/>
  <c r="AG43" i="1"/>
  <c r="AZ98" i="1"/>
  <c r="BA98" i="1" s="1"/>
  <c r="BB98" i="1" s="1"/>
  <c r="BC98" i="1" s="1"/>
  <c r="AE52" i="1"/>
  <c r="AZ99" i="1"/>
  <c r="BA99" i="1" s="1"/>
  <c r="BB99" i="1" s="1"/>
  <c r="W45" i="1" l="1"/>
  <c r="AG44" i="1"/>
  <c r="AE53" i="1"/>
  <c r="AE54" i="1" l="1"/>
  <c r="W46" i="1"/>
  <c r="AG45" i="1"/>
  <c r="AE55" i="1" l="1"/>
  <c r="W47" i="1"/>
  <c r="AG46" i="1"/>
  <c r="AE56" i="1" l="1"/>
  <c r="W48" i="1"/>
  <c r="AG47" i="1"/>
  <c r="W49" i="1" l="1"/>
  <c r="AG48" i="1"/>
  <c r="W50" i="1" l="1"/>
  <c r="AG49" i="1"/>
  <c r="W51" i="1" l="1"/>
  <c r="AG50" i="1"/>
  <c r="W52" i="1" l="1"/>
  <c r="AG51" i="1"/>
  <c r="W53" i="1" l="1"/>
  <c r="AG52" i="1"/>
  <c r="W54" i="1" l="1"/>
  <c r="AG53" i="1"/>
  <c r="W55" i="1" l="1"/>
  <c r="AG54" i="1"/>
  <c r="W56" i="1" l="1"/>
  <c r="AG56" i="1" s="1"/>
  <c r="AG55" i="1"/>
</calcChain>
</file>

<file path=xl/comments1.xml><?xml version="1.0" encoding="utf-8"?>
<comments xmlns="http://schemas.openxmlformats.org/spreadsheetml/2006/main">
  <authors>
    <author>Bruno Mathis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IMG5070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IMG0697 début des francs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IMG7664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IMG4099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IMG7664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img5124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img7664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img5124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img4891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img-1151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IMG7664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total Etat (civil) : 5,86MdsF (IMG_4839)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img0844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img0743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img0949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img6160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img6160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Gottawald/Schneider, Umsetzung… note 5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img0889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img0889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début des euros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img0889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Bauer Gref, Jedi in Austria, p106
EUR courants
</t>
        </r>
      </text>
    </comment>
    <comment ref="Z3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16*13,7603 = 220 ATS courants.
 https://www.eurologisch.at/docroot/waehrungsrechner/ donne 28,6 euros constants 
On ajoute le caiser judiciaire, figé en euros constants
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Rapport sénat justice 2004 p126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https://www.senat.fr/rap/l04-074-327/l04-074-3271.pdf p126 hors CE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https://docplayer.org/115649039-Juengste-entwicklungen-zum-it-einsatz-in-der-oesterreichischen-justiz.html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SD2003-2007 p111</t>
        </r>
      </text>
    </comment>
    <comment ref="X3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https://docplayer.org/80799495-It-anwendungen-in-der-oesterreichischen-justiz-justiz-online.html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https://docplayer.org/62319092-Adv-in-der-justiz-e-justiz-dr-martin-schneider-rechtsinformatikabteilung-bundesministerium-fuer-justiz.html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avis garraud 2008 p64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avis garraud 2008, p52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CA BRZ annuel * part des ministères * part de la justice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AU : 3,3M actes (Gottwald)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https://www.budget.gouv.fr/sites/performance_publique/files/farandole/ressources/2009/rap/html/DRGPGMJPEPGM310.htm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https://www.budget.gouv.fr/sites/performance_publique/files/farandole/ressources/2009/rap/html/DRGPGMJPEPGM166.htm
https://www.budget.gouv.fr/sites/performance_publique/files/farandole/ressources/2009/rap/html/DRGPGMJPEPGM107.htm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Gottawald/Schneider, Umsetzung… note 5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https://www.budget.gouv.fr/sites/performance_publique/files/farandole/ressources/2010/rap/html/DRGPGMJPEPGM310.htm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https://www.budget.gouv.fr/sites/performance_publique/files/farandole/ressources/2010/rap/html/DRGPGMJPEPGM166.htm
https://www.budget.gouv.fr/sites/performance_publique/files/farandole/ressources/2010/rap/html/DRGPGMJPEPGM107.htm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https://www.budget.gouv.fr/sites/performance_publique/files/farandole/ressources/2011/rap/html/DRGPGMJPEPGM310.htm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https://www.budget.gouv.fr/sites/performance_publique/files/farandole/ressources/2011/rap/html/DRGPGMJPEPGM166.htm
https://www.budget.gouv.fr/sites/performance_publique/files/farandole/ressources/2011/rap/html/DRGPGMJPEPGM107.htm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Free Download PDF 2012
https://silo.tips/download/it-anwendungen-in-der-sterreichischen-justiz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https://www.budget.gouv.fr/sites/performance_publique/files/farandole/ressources/2012/rap/html/DRGPGMJPEPGM310.htm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https://www.budget.gouv.fr/sites/performance_publique/files/farandole/ressources/2012/rap/html/DRGPGMJPEPGM107.htm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https://www.budget.gouv.fr/sites/performance_publique/files/farandole/ressources/2013/rap/html/DRGPGMJPEPGM310.htm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https://www.budget.gouv.fr/sites/performance_publique/files/farandole/ressources/2013/rap/html/DRGPGMJPEPGM166.htm
+ https://www.budget.gouv.fr/sites/performance_publique/files/farandole/ressources/2013/rap/html/DRGPGMJPEPGM107.htm (bracelets)
+
https://www.budget.gouv.fr/sites/performance_publique/files/farandole/ressources/2013/rap/html/DRGPGMJPEPGM182.htm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https://www.budget.gouv.fr/sites/performance_publique/files/farandole/ressources/2014/rap/html/DRGPGMJPEPGM310.htm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6 fixé arbitrairement pour services judiciaires +
https://www.budget.gouv.fr/sites/performance_publique/files/farandole/ressources/2014/rap/html/DRGPGMJPEPGM107.htm (bracelets) 
-5 millions / 2013
+
https://www.budget.gouv.fr/sites/performance_publique/files/farandole/ressources/2014/rap/html/DRGPGMJPEPGM182.htm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dont 92 en pénal (Touré, p5)
https://www.budget.gouv.fr/sites/performance_publique/files/farandole/ressources/2015/rap/html/DRGPGMJPEPGM310.htm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https://www.budget.gouv.fr/sites/performance_publique/files/farandole/ressources/2015/rap/html/DRGPGMJPEPGM166.htm
+
https://www.budget.gouv.fr/sites/performance_publique/files/farandole/ressources/2015/rap/html/DRGPGMJPEPGM107.htm (GENESIS)
+
https://www.budget.gouv.fr/sites/performance_publique/files/farandole/ressources/2015/rap/html/DRGPGMJPEPGM182.htm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https://www.budget.gouv.fr/sites/performance_publique/files/farandole/ressources/2016/rap/html/DRGPGMJPEPGM310.htm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https://www.budget.gouv.fr/sites/performance_publique/files/farandole/ressources/2016/rap/html/DRGPGMJPEPGM166.htm
+
https://www.budget.gouv.fr/sites/performance_publique/files/farandole/ressources/2016/rap/html/DRGPGMJPEPGM107.htm (GENESIS)
+
https://www.budget.gouv.fr/sites/performance_publique/files/farandole/ressources/2016/rap/html/DRGPGMJPEPGM182.htm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https://docplayer.org/41568073-It-anwendungen-in-der-oesterreichischen-justiz.html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https://www.budget.gouv.fr/sites/performance_publique/files/farandole/ressources/2017/rap/html/DRGPGMJPEPGM310.htm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https://www.budget.gouv.fr/sites/performance_publique/files/farandole/ressources/2017/rap/html/DRGPGMJPEPGM166.htm+
https://www.budget.gouv.fr/sites/performance_publique/files/farandole/ressources/2017/rap/html/DRGPGMJPEPGM107.htm (GENESIS)
+
https://www.budget.gouv.fr/sites/performance_publique/files/farandole/ressources/2017/rap/html/DRGPGMJPEPGM182.htm</t>
        </r>
      </text>
    </comment>
    <comment ref="Y50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it-justizbroschüre englisch_stand dezember 2018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https://www.budget.gouv.fr/sites/performance_publique/files/farandole/ressources/2018/rap/html/DRGPGMJPEPGM310.htm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https://www.budget.gouv.fr/sites/performance_publique/files/farandole/ressources/2018/rap/html/DRGPGMJPEPGM166.htm
+
https://www.budget.gouv.fr/sites/performance_publique/files/farandole/ressources/2018/rap/html/DRGPGMJPEPGM107.htm (GENESIS)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https://www.budget.gouv.fr/files/uploads/extract/2019/PLR/BG/PGM/166/FR_2019_PLR_BG_PGM_166_JPE.html
+
https://www.budget.gouv.fr/files/uploads/extract/2019/PLR/BG/PGM/107/FR_2019_PLR_BG_PGM_107_JPE.html
+
https://www.budget.gouv.fr/files/uploads/extract/2019/PLR/BG/PGM/182/FR_2019_PLR_BG_PGM_182_JPE.html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9150 exécutés, p18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https://www.budget.gouv.fr/files/uploads/extract/2020/PLR/BG/PGM/166/FR_2020_PLR_BG_PGM_166_JPE.html
+
https://www.budget.gouv.fr/files/uploads/extract/2020/PLR/BG/PGM/107/FR_2020_PLR_BG_PGM_107_JPE.html
+
https://www.budget.gouv.fr/files/uploads/extract/2020/PLR/BG/PGM/182/FR_2020_PLR_BG_PGM_182_JPE.html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https://www.budget.gouv.fr/files/uploads/extract/2021/PLR/BG/PGM/166/FR_2021_PLR_BG_PGM_166_JPE.html
+
https://www.budget.gouv.fr/files/uploads/extract/2021/PLR/BG/PGM/182/FR_2021_PLR_BG_PGM_182_JPE.html</t>
        </r>
      </text>
    </comment>
    <comment ref="X54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https://www.brz.gv.at/dam/jcr:d8440c8e-1a03-4cf2-a77e-e46fb91a9d35/BRZ%20Einzel%202022%20JA%20final%20e.h.pdf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https://www.budget.gouv.fr/files/uploads/extract/2022/PLR/BG/PGM/107/FR_2022_PLR_BG_PGM_107_JPE.html
+
https://www.budget.gouv.fr/files/uploads/extract/2022/PLR/BG/PGM/182/FR_2022_PLR_BG_PGM_182_JPE.html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https://www.budget.gouv.fr/files/uploads/extract/2023/PLR/BG/PGM/107/FR_2023_PLR_BG_PGM_107_JPE.html
+
https://www.budget.gouv.fr/files/uploads/extract/2023/PLR/BG/PGM/182/FR_2023_PLR_BG_PGM_182_JPE.html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PAP 310</t>
        </r>
      </text>
    </comment>
    <comment ref="AD77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CGE 2023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>Bruno Mathis:</t>
        </r>
        <r>
          <rPr>
            <sz val="9"/>
            <color indexed="81"/>
            <rFont val="Tahoma"/>
            <family val="2"/>
          </rPr>
          <t xml:space="preserve">
chiffres-clef justice 2022, p. 4</t>
        </r>
      </text>
    </comment>
  </commentList>
</comments>
</file>

<file path=xl/sharedStrings.xml><?xml version="1.0" encoding="utf-8"?>
<sst xmlns="http://schemas.openxmlformats.org/spreadsheetml/2006/main" count="100" uniqueCount="91">
  <si>
    <t>https://www.insee.fr/fr/information/2417794</t>
  </si>
  <si>
    <t>Austria IT spending (early times)</t>
  </si>
  <si>
    <t>global ministry budget</t>
  </si>
  <si>
    <t>delta/N-1</t>
  </si>
  <si>
    <t>personnel (chiffres clés de la justice)</t>
  </si>
  <si>
    <t>judges</t>
  </si>
  <si>
    <t>reported variation</t>
  </si>
  <si>
    <t>crédits services judiciaires hors aide judiciaire</t>
  </si>
  <si>
    <t>%/global</t>
  </si>
  <si>
    <t>conseil d'Etat</t>
  </si>
  <si>
    <t>action informatique ministérielle N/N-1</t>
  </si>
  <si>
    <t>action informatique ministérielle (payment credits)</t>
  </si>
  <si>
    <t>informatique initiative locale</t>
  </si>
  <si>
    <t>total ordre judiciaire</t>
  </si>
  <si>
    <t>total ordre judiciaire (€ constants)</t>
  </si>
  <si>
    <t>discount factor</t>
  </si>
  <si>
    <t>ordre administratif (€ constants)</t>
  </si>
  <si>
    <t>ordre judiciaire + ordre administratif</t>
  </si>
  <si>
    <t>ordre judiciaire + ordre administratif (en cumulé)</t>
  </si>
  <si>
    <t>French metropolan population https://www.insee.fr/fr/statistiques/6037741?sommaire=6036447</t>
  </si>
  <si>
    <t>French overseas population</t>
  </si>
  <si>
    <t>Total French population https://www.insee.fr/fr/statistiques/6037741?sommaire=6036447</t>
  </si>
  <si>
    <t>per capita spending</t>
  </si>
  <si>
    <t>cumulative per capital spending</t>
  </si>
  <si>
    <t>Austrian judicial IT spending M€</t>
  </si>
  <si>
    <t>Judicial IT spending including criminal records (constant M€ - https://www.eurologisch.at/docroot/waehrungsrechner/)</t>
  </si>
  <si>
    <t xml:space="preserve">Cumulative Judicial IT spending including criminal records </t>
  </si>
  <si>
    <t>Austrian population (https://www.laenderdaten.info/Europa/Oesterreich/bevoelkerungswachstum.php)</t>
  </si>
  <si>
    <t>per capita IT spending</t>
  </si>
  <si>
    <t>adjusted per capita IT spending</t>
  </si>
  <si>
    <t>Cumulative adjusted per capita IT spending</t>
  </si>
  <si>
    <t>Cumulative adjusted IT spending</t>
  </si>
  <si>
    <t>gap</t>
  </si>
  <si>
    <t>KATS (schilling)</t>
  </si>
  <si>
    <t>Min. Justice</t>
  </si>
  <si>
    <t>criminal records (ministry of Interior)</t>
  </si>
  <si>
    <t>https://www.eurologisch.at/docroot/waehrungsrechner/#/</t>
  </si>
  <si>
    <t>source</t>
  </si>
  <si>
    <t>imfname 553284 p144</t>
  </si>
  <si>
    <t>imfname 572433 p64</t>
  </si>
  <si>
    <t>imfname 564225 p106</t>
  </si>
  <si>
    <t>estimation</t>
  </si>
  <si>
    <t>total CR</t>
  </si>
  <si>
    <t>bmj+bmi</t>
  </si>
  <si>
    <t>in constant k€</t>
  </si>
  <si>
    <t>imfname 553284 p124</t>
  </si>
  <si>
    <t>?</t>
  </si>
  <si>
    <t>budget de la justice autrichienne pour 2023</t>
  </si>
  <si>
    <t>France</t>
  </si>
  <si>
    <t>budget des services judiciaires autrichiens pour 2023</t>
  </si>
  <si>
    <t>part des dépenses proportionnelles au volume de décisions judiciaires</t>
  </si>
  <si>
    <t>budget informatique consacré aux services judiciaires pour 2023</t>
  </si>
  <si>
    <t>budget informatique consacré aux services judiciaires à périmètre français équivalent</t>
  </si>
  <si>
    <t>budget informatique consacré à l'administration pénitentiaire</t>
  </si>
  <si>
    <t>budget informatique consacré à l'administration pénitentiaire à périmètre français équivalent</t>
  </si>
  <si>
    <t>budget informatique  à périmètre français équivalent</t>
  </si>
  <si>
    <t>par hab.</t>
  </si>
  <si>
    <t>Austria</t>
  </si>
  <si>
    <t>année</t>
  </si>
  <si>
    <t>en cumulé</t>
  </si>
  <si>
    <t>ratio</t>
  </si>
  <si>
    <t>Dép. inf cum. / hab</t>
  </si>
  <si>
    <t>part des services judiciaires dans les dépenses informatiques (2023)</t>
  </si>
  <si>
    <t>Dép. inf cum. / hab / services judiciaires</t>
  </si>
  <si>
    <t>part des services judiciaires hors périmètre</t>
  </si>
  <si>
    <t>Dép. inf cum. / hab / services judiciaires à périmètre équivalent</t>
  </si>
  <si>
    <t>Dép. inf cum. / hab / hors services judiciaires</t>
  </si>
  <si>
    <t>Dép. inf cum. / hab / à périmètre équivalent</t>
  </si>
  <si>
    <t>Total</t>
  </si>
  <si>
    <t>PAP</t>
  </si>
  <si>
    <t>RAP 2022 Programme 165 - Conseil d'Etat et ordre administratif - M€</t>
  </si>
  <si>
    <t>moyenne</t>
  </si>
  <si>
    <t>judicial services</t>
  </si>
  <si>
    <t>penitentiary administration</t>
  </si>
  <si>
    <t>judicial protection of youth</t>
  </si>
  <si>
    <t>executed payment credits (M€)</t>
  </si>
  <si>
    <t>new cases other than criminal</t>
  </si>
  <si>
    <t>new cases related to registers</t>
  </si>
  <si>
    <t>new administrative cases</t>
  </si>
  <si>
    <t>new other cases</t>
  </si>
  <si>
    <t>new civil cases according to French scope</t>
  </si>
  <si>
    <t>new criminal cases</t>
  </si>
  <si>
    <t>new appeals</t>
  </si>
  <si>
    <t>Austrian production according to French scope (excluding adm.)</t>
  </si>
  <si>
    <t>total Austrian production</t>
  </si>
  <si>
    <t>new final appeals</t>
  </si>
  <si>
    <t>CEPEJ - 2018 survey, response from Austria, p. 61-66</t>
  </si>
  <si>
    <t>BMI total IT spending (kATS)</t>
  </si>
  <si>
    <t>IT spending for criminal records</t>
  </si>
  <si>
    <t>operating expendinture</t>
  </si>
  <si>
    <t>investment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</si>
</sst>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\ _€_-;\-* #,##0.00\ _€_-;_-* &quot;-&quot;??\ _€_-;_-@_-"/>
    <numFmt numFmtId="164" formatCode="#,##0_ ;\-#,##0\ "/>
    <numFmt numFmtId="165" formatCode="0.0"/>
    <numFmt numFmtId="166" formatCode="#,##0.0000_ ;\-#,##0.0000\ "/>
    <numFmt numFmtId="167" formatCode="#,##0.00_ ;\-#,##0.00\ "/>
    <numFmt numFmtId="168" formatCode="0.000"/>
    <numFmt numFmtId="169" formatCode="#,##0.0000"/>
    <numFmt numFmtId="170" formatCode="0.0000"/>
    <numFmt numFmtId="171" formatCode="#,##0.000"/>
    <numFmt numFmtId="172" formatCode="0.000%"/>
    <numFmt numFmtId="173" formatCode="0.0%"/>
    <numFmt numFmtId="174" formatCode="#,##0.00000_ ;\-#,##0.00000\ "/>
    <numFmt numFmtId="175" formatCode="#,##0.000000_ ;\-#,##0.000000\ "/>
    <numFmt numFmtId="176" formatCode="#,##0.0_ ;\-#,##0.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6" fillId="0" borderId="0" xfId="5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8" fillId="2" borderId="0" xfId="3" applyFont="1" applyAlignment="1">
      <alignment horizontal="center" vertical="center" wrapText="1"/>
    </xf>
    <xf numFmtId="0" fontId="8" fillId="2" borderId="0" xfId="3" applyFont="1" applyAlignment="1">
      <alignment horizontal="left" vertical="center" wrapText="1"/>
    </xf>
    <xf numFmtId="164" fontId="8" fillId="2" borderId="0" xfId="3" applyNumberFormat="1" applyFont="1" applyAlignment="1">
      <alignment horizontal="center" vertical="center" wrapText="1"/>
    </xf>
    <xf numFmtId="165" fontId="9" fillId="3" borderId="0" xfId="4" applyNumberFormat="1" applyFont="1" applyAlignment="1">
      <alignment horizontal="center" vertical="center" wrapText="1"/>
    </xf>
    <xf numFmtId="3" fontId="9" fillId="3" borderId="0" xfId="4" applyNumberFormat="1" applyFont="1" applyAlignment="1">
      <alignment horizontal="left" vertical="center" wrapText="1"/>
    </xf>
    <xf numFmtId="2" fontId="9" fillId="3" borderId="0" xfId="4" applyNumberFormat="1" applyFont="1" applyAlignment="1">
      <alignment horizontal="left" vertical="center" wrapText="1"/>
    </xf>
    <xf numFmtId="164" fontId="9" fillId="3" borderId="0" xfId="4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2" borderId="0" xfId="3" applyAlignment="1">
      <alignment horizontal="center"/>
    </xf>
    <xf numFmtId="0" fontId="2" fillId="2" borderId="0" xfId="3" applyAlignment="1">
      <alignment horizontal="left"/>
    </xf>
    <xf numFmtId="164" fontId="2" fillId="2" borderId="0" xfId="3" applyNumberFormat="1" applyAlignment="1">
      <alignment horizontal="center"/>
    </xf>
    <xf numFmtId="165" fontId="3" fillId="3" borderId="0" xfId="4" applyNumberFormat="1" applyAlignment="1">
      <alignment horizontal="left"/>
    </xf>
    <xf numFmtId="3" fontId="3" fillId="3" borderId="0" xfId="4" applyNumberFormat="1" applyAlignment="1">
      <alignment horizontal="left"/>
    </xf>
    <xf numFmtId="2" fontId="3" fillId="3" borderId="0" xfId="4" applyNumberFormat="1" applyAlignment="1">
      <alignment horizontal="left"/>
    </xf>
    <xf numFmtId="164" fontId="3" fillId="3" borderId="0" xfId="4" applyNumberFormat="1" applyAlignment="1">
      <alignment horizontal="center"/>
    </xf>
    <xf numFmtId="165" fontId="3" fillId="3" borderId="0" xfId="4" applyNumberFormat="1" applyAlignment="1">
      <alignment horizontal="center"/>
    </xf>
    <xf numFmtId="2" fontId="3" fillId="3" borderId="0" xfId="4" applyNumberFormat="1" applyAlignment="1">
      <alignment horizontal="center"/>
    </xf>
    <xf numFmtId="166" fontId="3" fillId="3" borderId="0" xfId="4" applyNumberFormat="1" applyAlignment="1">
      <alignment horizontal="center"/>
    </xf>
    <xf numFmtId="167" fontId="3" fillId="3" borderId="0" xfId="4" applyNumberFormat="1" applyAlignment="1">
      <alignment horizontal="center"/>
    </xf>
    <xf numFmtId="2" fontId="2" fillId="2" borderId="0" xfId="3" applyNumberFormat="1" applyAlignment="1">
      <alignment horizontal="center"/>
    </xf>
    <xf numFmtId="167" fontId="2" fillId="2" borderId="0" xfId="3" applyNumberFormat="1" applyAlignment="1">
      <alignment horizontal="center"/>
    </xf>
    <xf numFmtId="168" fontId="2" fillId="2" borderId="0" xfId="3" applyNumberFormat="1" applyAlignment="1">
      <alignment horizontal="center"/>
    </xf>
    <xf numFmtId="168" fontId="2" fillId="2" borderId="0" xfId="2" applyNumberFormat="1" applyFont="1" applyFill="1" applyAlignment="1">
      <alignment horizontal="center"/>
    </xf>
    <xf numFmtId="166" fontId="2" fillId="2" borderId="0" xfId="3" applyNumberFormat="1" applyAlignment="1">
      <alignment horizontal="center"/>
    </xf>
    <xf numFmtId="3" fontId="3" fillId="3" borderId="0" xfId="4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5" applyAlignment="1">
      <alignment horizontal="center"/>
    </xf>
    <xf numFmtId="10" fontId="2" fillId="2" borderId="0" xfId="2" applyNumberFormat="1" applyFont="1" applyFill="1" applyAlignment="1">
      <alignment horizontal="center"/>
    </xf>
    <xf numFmtId="9" fontId="0" fillId="0" borderId="0" xfId="2" applyFont="1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4" fillId="3" borderId="0" xfId="4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2" fillId="2" borderId="0" xfId="3" applyNumberFormat="1" applyAlignment="1">
      <alignment horizontal="center"/>
    </xf>
    <xf numFmtId="165" fontId="4" fillId="3" borderId="0" xfId="4" applyNumberFormat="1" applyFont="1" applyAlignment="1">
      <alignment horizontal="center"/>
    </xf>
    <xf numFmtId="0" fontId="0" fillId="0" borderId="0" xfId="0" quotePrefix="1" applyAlignment="1">
      <alignment horizontal="left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2" fontId="0" fillId="0" borderId="0" xfId="2" applyNumberFormat="1" applyFont="1" applyAlignment="1">
      <alignment horizontal="center"/>
    </xf>
    <xf numFmtId="0" fontId="5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right"/>
    </xf>
    <xf numFmtId="173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174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left"/>
    </xf>
    <xf numFmtId="175" fontId="0" fillId="0" borderId="0" xfId="1" applyNumberFormat="1" applyFont="1" applyAlignment="1">
      <alignment horizontal="center"/>
    </xf>
    <xf numFmtId="176" fontId="0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6">
    <cellStyle name="Lien hypertexte" xfId="5" builtinId="8"/>
    <cellStyle name="Milliers" xfId="1" builtinId="3"/>
    <cellStyle name="Neutre" xfId="4" builtinId="28"/>
    <cellStyle name="Normal" xfId="0" builtinId="0"/>
    <cellStyle name="Pourcentage" xfId="2" builtinId="5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876567874163195E-2"/>
          <c:y val="1.6764530862310459E-2"/>
          <c:w val="0.92675558747955056"/>
          <c:h val="0.79625164749278277"/>
        </c:manualLayout>
      </c:layout>
      <c:lineChart>
        <c:grouping val="standard"/>
        <c:varyColors val="0"/>
        <c:ser>
          <c:idx val="0"/>
          <c:order val="0"/>
          <c:tx>
            <c:strRef>
              <c:f>[1]budget!$A$86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[1]budget!$B$85:$BB$85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[1]budget!$B$86:$BB$86</c:f>
              <c:numCache>
                <c:formatCode>General</c:formatCode>
                <c:ptCount val="53"/>
                <c:pt idx="1">
                  <c:v>9.817643099365693E-2</c:v>
                </c:pt>
                <c:pt idx="2" formatCode="0.000">
                  <c:v>0.14678184743043601</c:v>
                </c:pt>
                <c:pt idx="3" formatCode="0.000">
                  <c:v>0.1768855523893138</c:v>
                </c:pt>
                <c:pt idx="4" formatCode="0.000">
                  <c:v>0.34196104571130514</c:v>
                </c:pt>
                <c:pt idx="5" formatCode="0.000">
                  <c:v>0.52564190460393534</c:v>
                </c:pt>
                <c:pt idx="6" formatCode="0.000">
                  <c:v>0.59330522920072915</c:v>
                </c:pt>
                <c:pt idx="7" formatCode="0.000">
                  <c:v>0.60837301362759344</c:v>
                </c:pt>
                <c:pt idx="8" formatCode="0.000">
                  <c:v>0.60128067473032054</c:v>
                </c:pt>
                <c:pt idx="9" formatCode="0.000">
                  <c:v>0.5646769458130072</c:v>
                </c:pt>
                <c:pt idx="10" formatCode="0.000">
                  <c:v>0.44344970255172983</c:v>
                </c:pt>
                <c:pt idx="11" formatCode="0.000">
                  <c:v>0.58338076676026673</c:v>
                </c:pt>
                <c:pt idx="12" formatCode="0.000">
                  <c:v>0.49315397816241918</c:v>
                </c:pt>
                <c:pt idx="13" formatCode="0.000">
                  <c:v>0.52754170993484961</c:v>
                </c:pt>
                <c:pt idx="14" formatCode="0.000">
                  <c:v>0.61511480217787495</c:v>
                </c:pt>
                <c:pt idx="15" formatCode="0.000">
                  <c:v>0.7697470034124686</c:v>
                </c:pt>
                <c:pt idx="16" formatCode="0.000">
                  <c:v>0.86121815045140815</c:v>
                </c:pt>
                <c:pt idx="17" formatCode="0.000">
                  <c:v>0.83331802589000659</c:v>
                </c:pt>
                <c:pt idx="18" formatCode="0.000">
                  <c:v>0.90427357192674196</c:v>
                </c:pt>
                <c:pt idx="19" formatCode="0.000">
                  <c:v>1.0948955263620583</c:v>
                </c:pt>
                <c:pt idx="20" formatCode="0.000">
                  <c:v>1.7482800957822078</c:v>
                </c:pt>
                <c:pt idx="21" formatCode="0.000">
                  <c:v>2.0912995230064886</c:v>
                </c:pt>
                <c:pt idx="22" formatCode="0.000">
                  <c:v>2.1178548862279993</c:v>
                </c:pt>
                <c:pt idx="23" formatCode="0.000">
                  <c:v>1.905533321041718</c:v>
                </c:pt>
                <c:pt idx="24" formatCode="0.000">
                  <c:v>1.853389517446836</c:v>
                </c:pt>
                <c:pt idx="25" formatCode="0.000">
                  <c:v>1.5731058938468212</c:v>
                </c:pt>
                <c:pt idx="26" formatCode="0.000">
                  <c:v>1.4312835546868174</c:v>
                </c:pt>
                <c:pt idx="27" formatCode="0.000">
                  <c:v>1.3416246112063579</c:v>
                </c:pt>
                <c:pt idx="28" formatCode="0.000">
                  <c:v>1.494637223597675</c:v>
                </c:pt>
                <c:pt idx="29" formatCode="0.000">
                  <c:v>1.5307093425664438</c:v>
                </c:pt>
                <c:pt idx="30" formatCode="0.000">
                  <c:v>1.5545259289463031</c:v>
                </c:pt>
                <c:pt idx="31" formatCode="0.000">
                  <c:v>1.5346984612548289</c:v>
                </c:pt>
                <c:pt idx="32" formatCode="0.000">
                  <c:v>1.8020212009356329</c:v>
                </c:pt>
                <c:pt idx="33" formatCode="0.000">
                  <c:v>1.7655769781542419</c:v>
                </c:pt>
                <c:pt idx="34" formatCode="0.000">
                  <c:v>1.9732501123633945</c:v>
                </c:pt>
                <c:pt idx="35" formatCode="0.000">
                  <c:v>2.5506089105754959</c:v>
                </c:pt>
                <c:pt idx="36" formatCode="0.000">
                  <c:v>2.1204484722668204</c:v>
                </c:pt>
                <c:pt idx="37" formatCode="0.000">
                  <c:v>1.5668898015214314</c:v>
                </c:pt>
                <c:pt idx="38" formatCode="0.000">
                  <c:v>2.1096743590186131</c:v>
                </c:pt>
                <c:pt idx="39" formatCode="0.000">
                  <c:v>2.0488309358741619</c:v>
                </c:pt>
                <c:pt idx="40" formatCode="0.000">
                  <c:v>2.3397300402421402</c:v>
                </c:pt>
                <c:pt idx="41" formatCode="0.000">
                  <c:v>2.323031623019709</c:v>
                </c:pt>
                <c:pt idx="42" formatCode="0.000">
                  <c:v>2.7591464066134801</c:v>
                </c:pt>
                <c:pt idx="43" formatCode="0.000">
                  <c:v>2.6410974188025325</c:v>
                </c:pt>
                <c:pt idx="44" formatCode="0.000">
                  <c:v>2.7551410069662676</c:v>
                </c:pt>
                <c:pt idx="45" formatCode="0.000">
                  <c:v>2.9861232738024102</c:v>
                </c:pt>
                <c:pt idx="46" formatCode="0.000">
                  <c:v>3.2619315974124548</c:v>
                </c:pt>
                <c:pt idx="47" formatCode="0.000">
                  <c:v>3.8454499843353367</c:v>
                </c:pt>
                <c:pt idx="48" formatCode="0.000">
                  <c:v>4.4766370636284467</c:v>
                </c:pt>
                <c:pt idx="49" formatCode="0.000">
                  <c:v>5.0780506076216589</c:v>
                </c:pt>
                <c:pt idx="50" formatCode="0.000">
                  <c:v>5.6040332972576348</c:v>
                </c:pt>
                <c:pt idx="51" formatCode="0.000">
                  <c:v>6.2346773027019298</c:v>
                </c:pt>
                <c:pt idx="52" formatCode="0.000">
                  <c:v>5.9913872524150111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[1]budget!$A$87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[1]budget!$B$85:$BB$85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[1]budget!$B$87:$BB$87</c:f>
              <c:numCache>
                <c:formatCode>#\ ##0.0000_ ;\-#\ ##0.0000\ </c:formatCode>
                <c:ptCount val="53"/>
                <c:pt idx="0">
                  <c:v>0.46585159730866832</c:v>
                </c:pt>
                <c:pt idx="1">
                  <c:v>0.40045084382349044</c:v>
                </c:pt>
                <c:pt idx="2">
                  <c:v>0.3700176191191063</c:v>
                </c:pt>
                <c:pt idx="3">
                  <c:v>0.33738917534788149</c:v>
                </c:pt>
                <c:pt idx="4">
                  <c:v>0.31191234217860198</c:v>
                </c:pt>
                <c:pt idx="5">
                  <c:v>0.32024494153141769</c:v>
                </c:pt>
                <c:pt idx="6">
                  <c:v>0.311346532469018</c:v>
                </c:pt>
                <c:pt idx="7">
                  <c:v>0.33946804543927256</c:v>
                </c:pt>
                <c:pt idx="8">
                  <c:v>0.38933172064332183</c:v>
                </c:pt>
                <c:pt idx="9">
                  <c:v>0.37217406486075288</c:v>
                </c:pt>
                <c:pt idx="10">
                  <c:v>0.60440732323837953</c:v>
                </c:pt>
                <c:pt idx="11">
                  <c:v>0.52833081499061063</c:v>
                </c:pt>
                <c:pt idx="12">
                  <c:v>0.71859128511070702</c:v>
                </c:pt>
                <c:pt idx="13">
                  <c:v>0.68001314553670256</c:v>
                </c:pt>
                <c:pt idx="14">
                  <c:v>1.1672335072632154</c:v>
                </c:pt>
                <c:pt idx="15">
                  <c:v>1.3015145562696699</c:v>
                </c:pt>
                <c:pt idx="16">
                  <c:v>1.2706145863386995</c:v>
                </c:pt>
                <c:pt idx="17">
                  <c:v>1.5488270451319262</c:v>
                </c:pt>
                <c:pt idx="18">
                  <c:v>1.6692331035302526</c:v>
                </c:pt>
                <c:pt idx="19">
                  <c:v>1.7919999819414545</c:v>
                </c:pt>
                <c:pt idx="20">
                  <c:v>1.9214309380564931</c:v>
                </c:pt>
                <c:pt idx="21">
                  <c:v>2.0551223381470312</c:v>
                </c:pt>
                <c:pt idx="22">
                  <c:v>2.2039641188142465</c:v>
                </c:pt>
                <c:pt idx="23">
                  <c:v>2.3756790159403005</c:v>
                </c:pt>
                <c:pt idx="24">
                  <c:v>2.5672513811653328</c:v>
                </c:pt>
                <c:pt idx="25">
                  <c:v>2.7742763386490052</c:v>
                </c:pt>
                <c:pt idx="26">
                  <c:v>3.0530552283052734</c:v>
                </c:pt>
                <c:pt idx="27">
                  <c:v>3.8961344283959409</c:v>
                </c:pt>
                <c:pt idx="28">
                  <c:v>3.7541441684537862</c:v>
                </c:pt>
                <c:pt idx="29">
                  <c:v>2.672776593617348</c:v>
                </c:pt>
                <c:pt idx="30">
                  <c:v>3.2999171813214039</c:v>
                </c:pt>
                <c:pt idx="31">
                  <c:v>3.9990758318007673</c:v>
                </c:pt>
                <c:pt idx="32">
                  <c:v>4.2565065036508143</c:v>
                </c:pt>
                <c:pt idx="33">
                  <c:v>5.4241575166635219</c:v>
                </c:pt>
                <c:pt idx="34">
                  <c:v>6.5696113016570248</c:v>
                </c:pt>
                <c:pt idx="35">
                  <c:v>6.4250557248242899</c:v>
                </c:pt>
                <c:pt idx="36">
                  <c:v>5.5643913734076538</c:v>
                </c:pt>
                <c:pt idx="37">
                  <c:v>4.7040211558012999</c:v>
                </c:pt>
                <c:pt idx="38">
                  <c:v>4.8125619797262935</c:v>
                </c:pt>
                <c:pt idx="39">
                  <c:v>4.7594328556842651</c:v>
                </c:pt>
                <c:pt idx="40">
                  <c:v>5.2364896675314796</c:v>
                </c:pt>
                <c:pt idx="41">
                  <c:v>5.4127254661961173</c:v>
                </c:pt>
                <c:pt idx="42">
                  <c:v>5.0761641462014966</c:v>
                </c:pt>
                <c:pt idx="43">
                  <c:v>4.8709750534828089</c:v>
                </c:pt>
                <c:pt idx="44">
                  <c:v>4.8682136193269541</c:v>
                </c:pt>
                <c:pt idx="45">
                  <c:v>4.8912791582214199</c:v>
                </c:pt>
                <c:pt idx="46">
                  <c:v>5.0185931478650643</c:v>
                </c:pt>
                <c:pt idx="47">
                  <c:v>4.7513741230314697</c:v>
                </c:pt>
                <c:pt idx="48">
                  <c:v>4.5632530025822984</c:v>
                </c:pt>
                <c:pt idx="49">
                  <c:v>4.3950758680018884</c:v>
                </c:pt>
                <c:pt idx="50">
                  <c:v>4.3448874480372064</c:v>
                </c:pt>
                <c:pt idx="51">
                  <c:v>4.3382375770044295</c:v>
                </c:pt>
                <c:pt idx="52">
                  <c:v>4.5559160176849085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27368"/>
        <c:axId val="647226192"/>
      </c:lineChart>
      <c:catAx>
        <c:axId val="6472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26192"/>
        <c:crosses val="autoZero"/>
        <c:auto val="1"/>
        <c:lblAlgn val="ctr"/>
        <c:lblOffset val="100"/>
        <c:noMultiLvlLbl val="0"/>
      </c:catAx>
      <c:valAx>
        <c:axId val="6472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[1]budget!$A$94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[1]budget!$B$93:$BB$93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 formatCode="#,##0">
                  <c:v>1987</c:v>
                </c:pt>
                <c:pt idx="17" formatCode="#,##0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[1]budget!$B$94:$BB$94</c:f>
              <c:numCache>
                <c:formatCode>#\ ##0.0000_ ;\-#\ ##0.0000\ </c:formatCode>
                <c:ptCount val="53"/>
                <c:pt idx="1">
                  <c:v>5.16</c:v>
                </c:pt>
                <c:pt idx="2">
                  <c:v>7.78</c:v>
                </c:pt>
                <c:pt idx="3">
                  <c:v>9.4499999999999993</c:v>
                </c:pt>
                <c:pt idx="4">
                  <c:v>18.37</c:v>
                </c:pt>
                <c:pt idx="5">
                  <c:v>28.35</c:v>
                </c:pt>
                <c:pt idx="6">
                  <c:v>32.14</c:v>
                </c:pt>
                <c:pt idx="7">
                  <c:v>33.119999999999997</c:v>
                </c:pt>
                <c:pt idx="8">
                  <c:v>32.869999999999997</c:v>
                </c:pt>
                <c:pt idx="9">
                  <c:v>31.02</c:v>
                </c:pt>
                <c:pt idx="10">
                  <c:v>24.5</c:v>
                </c:pt>
                <c:pt idx="11">
                  <c:v>32.42</c:v>
                </c:pt>
                <c:pt idx="12">
                  <c:v>27.57</c:v>
                </c:pt>
                <c:pt idx="13">
                  <c:v>29.63</c:v>
                </c:pt>
                <c:pt idx="14">
                  <c:v>34.72</c:v>
                </c:pt>
                <c:pt idx="15">
                  <c:v>43.66</c:v>
                </c:pt>
                <c:pt idx="16">
                  <c:v>49.1</c:v>
                </c:pt>
                <c:pt idx="17">
                  <c:v>47.77</c:v>
                </c:pt>
                <c:pt idx="18">
                  <c:v>52.14</c:v>
                </c:pt>
                <c:pt idx="19">
                  <c:v>63.5</c:v>
                </c:pt>
                <c:pt idx="20">
                  <c:v>101.89</c:v>
                </c:pt>
                <c:pt idx="21">
                  <c:v>122.49</c:v>
                </c:pt>
                <c:pt idx="22">
                  <c:v>124.64</c:v>
                </c:pt>
                <c:pt idx="23">
                  <c:v>112.56</c:v>
                </c:pt>
                <c:pt idx="24">
                  <c:v>109.87</c:v>
                </c:pt>
                <c:pt idx="25">
                  <c:v>93.580000000000013</c:v>
                </c:pt>
                <c:pt idx="26">
                  <c:v>85.435000000000002</c:v>
                </c:pt>
                <c:pt idx="27">
                  <c:v>80.36243813038972</c:v>
                </c:pt>
                <c:pt idx="28">
                  <c:v>89.861573090893103</c:v>
                </c:pt>
                <c:pt idx="29">
                  <c:v>92.620390506411766</c:v>
                </c:pt>
                <c:pt idx="30">
                  <c:v>94.73500199154752</c:v>
                </c:pt>
                <c:pt idx="31">
                  <c:v>94.207572473019951</c:v>
                </c:pt>
                <c:pt idx="32">
                  <c:v>111.40821278728059</c:v>
                </c:pt>
                <c:pt idx="33">
                  <c:v>109.90904193285236</c:v>
                </c:pt>
                <c:pt idx="34">
                  <c:v>123.78303918386608</c:v>
                </c:pt>
                <c:pt idx="35">
                  <c:v>161.16307304486583</c:v>
                </c:pt>
                <c:pt idx="36">
                  <c:v>134.86198594561566</c:v>
                </c:pt>
                <c:pt idx="37">
                  <c:v>100.22118455345178</c:v>
                </c:pt>
                <c:pt idx="38">
                  <c:v>135.66155481951239</c:v>
                </c:pt>
                <c:pt idx="39">
                  <c:v>132.38098828095013</c:v>
                </c:pt>
                <c:pt idx="40">
                  <c:v>151.92662659505896</c:v>
                </c:pt>
                <c:pt idx="41">
                  <c:v>151.55746596804997</c:v>
                </c:pt>
                <c:pt idx="42">
                  <c:v>180.90276091788959</c:v>
                </c:pt>
                <c:pt idx="43">
                  <c:v>174.65807798345807</c:v>
                </c:pt>
                <c:pt idx="44">
                  <c:v>183.00326812584569</c:v>
                </c:pt>
                <c:pt idx="45">
                  <c:v>198.88370833129972</c:v>
                </c:pt>
                <c:pt idx="46">
                  <c:v>217.81379273664922</c:v>
                </c:pt>
                <c:pt idx="47">
                  <c:v>257.61499677714039</c:v>
                </c:pt>
                <c:pt idx="48">
                  <c:v>301.0895750460549</c:v>
                </c:pt>
                <c:pt idx="49">
                  <c:v>342.53544520868553</c:v>
                </c:pt>
                <c:pt idx="50">
                  <c:v>378.98057495753051</c:v>
                </c:pt>
                <c:pt idx="51">
                  <c:v>422.79464086033784</c:v>
                </c:pt>
                <c:pt idx="52">
                  <c:v>407.11476380159996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[1]budget!$A$95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[1]budget!$B$93:$BB$93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 formatCode="#,##0">
                  <c:v>1987</c:v>
                </c:pt>
                <c:pt idx="17" formatCode="#,##0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[1]budget!$B$95:$BB$95</c:f>
              <c:numCache>
                <c:formatCode>#\ ##0.0000_ ;\-#\ ##0.0000\ </c:formatCode>
                <c:ptCount val="53"/>
                <c:pt idx="0">
                  <c:v>4.72</c:v>
                </c:pt>
                <c:pt idx="1">
                  <c:v>4.0789999999999997</c:v>
                </c:pt>
                <c:pt idx="2">
                  <c:v>3.794</c:v>
                </c:pt>
                <c:pt idx="3">
                  <c:v>3.464</c:v>
                </c:pt>
                <c:pt idx="4">
                  <c:v>3.194</c:v>
                </c:pt>
                <c:pt idx="5">
                  <c:v>3.2749999999999999</c:v>
                </c:pt>
                <c:pt idx="6">
                  <c:v>3.1840000000000002</c:v>
                </c:pt>
                <c:pt idx="7">
                  <c:v>3.4670000000000001</c:v>
                </c:pt>
                <c:pt idx="8">
                  <c:v>3.9710000000000001</c:v>
                </c:pt>
                <c:pt idx="9">
                  <c:v>3.7959999999999998</c:v>
                </c:pt>
                <c:pt idx="10">
                  <c:v>6.181</c:v>
                </c:pt>
                <c:pt idx="11">
                  <c:v>5.4029999999999996</c:v>
                </c:pt>
                <c:pt idx="12">
                  <c:v>7.3390000000000004</c:v>
                </c:pt>
                <c:pt idx="13">
                  <c:v>6.9450000000000003</c:v>
                </c:pt>
                <c:pt idx="14">
                  <c:v>11.920999999999999</c:v>
                </c:pt>
                <c:pt idx="15">
                  <c:v>13.31</c:v>
                </c:pt>
                <c:pt idx="16">
                  <c:v>12.994</c:v>
                </c:pt>
                <c:pt idx="17">
                  <c:v>15.881</c:v>
                </c:pt>
                <c:pt idx="18">
                  <c:v>17.183242</c:v>
                </c:pt>
                <c:pt idx="19">
                  <c:v>18.592267844000002</c:v>
                </c:pt>
                <c:pt idx="20">
                  <c:v>20.116833807208003</c:v>
                </c:pt>
                <c:pt idx="21">
                  <c:v>21.76641417939906</c:v>
                </c:pt>
                <c:pt idx="22">
                  <c:v>23.551260142109786</c:v>
                </c:pt>
                <c:pt idx="23">
                  <c:v>25.482463473762792</c:v>
                </c:pt>
                <c:pt idx="24">
                  <c:v>27.572025478611341</c:v>
                </c:pt>
                <c:pt idx="25">
                  <c:v>29.832931567857472</c:v>
                </c:pt>
                <c:pt idx="26">
                  <c:v>32.872</c:v>
                </c:pt>
                <c:pt idx="27">
                  <c:v>42.001999999999995</c:v>
                </c:pt>
                <c:pt idx="28">
                  <c:v>40.522000000000006</c:v>
                </c:pt>
                <c:pt idx="29">
                  <c:v>28.922000000000001</c:v>
                </c:pt>
                <c:pt idx="30">
                  <c:v>35.841999999999999</c:v>
                </c:pt>
                <c:pt idx="31">
                  <c:v>43.652000000000001</c:v>
                </c:pt>
                <c:pt idx="32">
                  <c:v>46.691999999999993</c:v>
                </c:pt>
                <c:pt idx="33">
                  <c:v>59.866999999999997</c:v>
                </c:pt>
                <c:pt idx="34">
                  <c:v>73.042000000000002</c:v>
                </c:pt>
                <c:pt idx="35">
                  <c:v>71.781999999999996</c:v>
                </c:pt>
                <c:pt idx="36">
                  <c:v>62.391999999999996</c:v>
                </c:pt>
                <c:pt idx="37">
                  <c:v>52.872</c:v>
                </c:pt>
                <c:pt idx="38">
                  <c:v>54.221999999999994</c:v>
                </c:pt>
                <c:pt idx="39">
                  <c:v>53.751999999999995</c:v>
                </c:pt>
                <c:pt idx="40">
                  <c:v>59.352000000000004</c:v>
                </c:pt>
                <c:pt idx="41">
                  <c:v>61.641999999999996</c:v>
                </c:pt>
                <c:pt idx="42">
                  <c:v>58.152000000000001</c:v>
                </c:pt>
                <c:pt idx="43">
                  <c:v>56.262</c:v>
                </c:pt>
                <c:pt idx="44">
                  <c:v>56.822000000000003</c:v>
                </c:pt>
                <c:pt idx="45">
                  <c:v>57.751999999999995</c:v>
                </c:pt>
                <c:pt idx="46">
                  <c:v>59.662000000000006</c:v>
                </c:pt>
                <c:pt idx="47">
                  <c:v>56.742000000000004</c:v>
                </c:pt>
                <c:pt idx="48">
                  <c:v>54.742000000000004</c:v>
                </c:pt>
                <c:pt idx="49">
                  <c:v>52.962000000000003</c:v>
                </c:pt>
                <c:pt idx="50">
                  <c:v>52.591999999999999</c:v>
                </c:pt>
                <c:pt idx="51">
                  <c:v>53.331999999999994</c:v>
                </c:pt>
                <c:pt idx="52">
                  <c:v>56.315760100000006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28152"/>
        <c:axId val="647228544"/>
      </c:lineChart>
      <c:catAx>
        <c:axId val="6472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28544"/>
        <c:crosses val="autoZero"/>
        <c:auto val="1"/>
        <c:lblAlgn val="ctr"/>
        <c:lblOffset val="100"/>
        <c:noMultiLvlLbl val="0"/>
      </c:catAx>
      <c:valAx>
        <c:axId val="6472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535478</xdr:colOff>
      <xdr:row>104</xdr:row>
      <xdr:rowOff>106680</xdr:rowOff>
    </xdr:from>
    <xdr:to>
      <xdr:col>34</xdr:col>
      <xdr:colOff>60960</xdr:colOff>
      <xdr:row>128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104</xdr:row>
      <xdr:rowOff>70756</xdr:rowOff>
    </xdr:from>
    <xdr:to>
      <xdr:col>25</xdr:col>
      <xdr:colOff>13565</xdr:colOff>
      <xdr:row>128</xdr:row>
      <xdr:rowOff>60959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ormation%20num&#233;rique%20de%20la%20justice%20-%20Pourquoi%20&#231;a%20ne%20marche%20p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blio"/>
      <sheetName val="personnes"/>
      <sheetName val="Yannick Meneceur"/>
      <sheetName val="historique applications"/>
      <sheetName val="PAP"/>
      <sheetName val="budget"/>
      <sheetName val="Maturité SI"/>
      <sheetName val="Données brutes CEPEJ"/>
      <sheetName val="tests"/>
      <sheetName val="François Molins"/>
      <sheetName val="benchmark UE"/>
      <sheetName val="productivité"/>
      <sheetName val="synthèse efficacité"/>
      <sheetName val="Laurent Willemez"/>
      <sheetName val="inflation normative"/>
      <sheetName val="BRZ"/>
      <sheetName val="Jury"/>
      <sheetName val="applicatifs"/>
      <sheetName val="Délibérations CNIL"/>
      <sheetName val="recherche efficacité"/>
      <sheetName val="Nicole Belloubet"/>
      <sheetName val="benchmark"/>
      <sheetName val="Le Douaron"/>
      <sheetName val="Feuil3"/>
      <sheetName val="Philippe Lemaire"/>
      <sheetName val="Martin schneider"/>
      <sheetName val="Haffide Boulakras"/>
      <sheetName val="Jean-Marie Paulot"/>
      <sheetName val="Philippe Marcillière"/>
      <sheetName val="Moise Serero"/>
      <sheetName val="projets"/>
      <sheetName val="inconnues"/>
      <sheetName val="Maelle Thaemiss"/>
      <sheetName val="taskforce EGJ"/>
      <sheetName val="fr vs AT"/>
    </sheetNames>
    <sheetDataSet>
      <sheetData sheetId="0"/>
      <sheetData sheetId="1"/>
      <sheetData sheetId="2"/>
      <sheetData sheetId="3"/>
      <sheetData sheetId="4"/>
      <sheetData sheetId="5">
        <row r="85">
          <cell r="B85">
            <v>1971</v>
          </cell>
          <cell r="C85">
            <v>1972</v>
          </cell>
          <cell r="D85">
            <v>1973</v>
          </cell>
          <cell r="E85">
            <v>1974</v>
          </cell>
          <cell r="F85">
            <v>1975</v>
          </cell>
          <cell r="G85">
            <v>1976</v>
          </cell>
          <cell r="H85">
            <v>1977</v>
          </cell>
          <cell r="I85">
            <v>1978</v>
          </cell>
          <cell r="J85">
            <v>1979</v>
          </cell>
          <cell r="K85">
            <v>1980</v>
          </cell>
          <cell r="L85">
            <v>1981</v>
          </cell>
          <cell r="M85">
            <v>1982</v>
          </cell>
          <cell r="N85">
            <v>1983</v>
          </cell>
          <cell r="O85">
            <v>1984</v>
          </cell>
          <cell r="P85">
            <v>1985</v>
          </cell>
          <cell r="Q85">
            <v>1986</v>
          </cell>
          <cell r="R85">
            <v>1987</v>
          </cell>
          <cell r="S85">
            <v>1988</v>
          </cell>
          <cell r="T85">
            <v>1989</v>
          </cell>
          <cell r="U85">
            <v>1990</v>
          </cell>
          <cell r="V85">
            <v>1991</v>
          </cell>
          <cell r="W85">
            <v>1992</v>
          </cell>
          <cell r="X85">
            <v>1993</v>
          </cell>
          <cell r="Y85">
            <v>1994</v>
          </cell>
          <cell r="Z85">
            <v>1995</v>
          </cell>
          <cell r="AA85">
            <v>1996</v>
          </cell>
          <cell r="AB85">
            <v>1997</v>
          </cell>
          <cell r="AC85">
            <v>1998</v>
          </cell>
          <cell r="AD85">
            <v>1999</v>
          </cell>
          <cell r="AE85">
            <v>2000</v>
          </cell>
          <cell r="AF85">
            <v>2001</v>
          </cell>
          <cell r="AG85">
            <v>2002</v>
          </cell>
          <cell r="AH85">
            <v>2003</v>
          </cell>
          <cell r="AI85">
            <v>2004</v>
          </cell>
          <cell r="AJ85">
            <v>2005</v>
          </cell>
          <cell r="AK85">
            <v>2006</v>
          </cell>
          <cell r="AL85">
            <v>2007</v>
          </cell>
          <cell r="AM85">
            <v>2008</v>
          </cell>
          <cell r="AN85">
            <v>2009</v>
          </cell>
          <cell r="AO85">
            <v>2010</v>
          </cell>
          <cell r="AP85">
            <v>2011</v>
          </cell>
          <cell r="AQ85">
            <v>2012</v>
          </cell>
          <cell r="AR85">
            <v>2013</v>
          </cell>
          <cell r="AS85">
            <v>2014</v>
          </cell>
          <cell r="AT85">
            <v>2015</v>
          </cell>
          <cell r="AU85">
            <v>2016</v>
          </cell>
          <cell r="AV85">
            <v>2017</v>
          </cell>
          <cell r="AW85">
            <v>2018</v>
          </cell>
          <cell r="AX85">
            <v>2019</v>
          </cell>
          <cell r="AY85">
            <v>2020</v>
          </cell>
          <cell r="AZ85">
            <v>2021</v>
          </cell>
          <cell r="BA85">
            <v>2022</v>
          </cell>
          <cell r="BB85">
            <v>2023</v>
          </cell>
        </row>
        <row r="86">
          <cell r="A86" t="str">
            <v>France</v>
          </cell>
          <cell r="C86">
            <v>9.817643099365693E-2</v>
          </cell>
          <cell r="D86">
            <v>0.14678184743043601</v>
          </cell>
          <cell r="E86">
            <v>0.1768855523893138</v>
          </cell>
          <cell r="F86">
            <v>0.34196104571130514</v>
          </cell>
          <cell r="G86">
            <v>0.52564190460393534</v>
          </cell>
          <cell r="H86">
            <v>0.59330522920072915</v>
          </cell>
          <cell r="I86">
            <v>0.60837301362759344</v>
          </cell>
          <cell r="J86">
            <v>0.60128067473032054</v>
          </cell>
          <cell r="K86">
            <v>0.5646769458130072</v>
          </cell>
          <cell r="L86">
            <v>0.44344970255172983</v>
          </cell>
          <cell r="M86">
            <v>0.58338076676026673</v>
          </cell>
          <cell r="N86">
            <v>0.49315397816241918</v>
          </cell>
          <cell r="O86">
            <v>0.52754170993484961</v>
          </cell>
          <cell r="P86">
            <v>0.61511480217787495</v>
          </cell>
          <cell r="Q86">
            <v>0.7697470034124686</v>
          </cell>
          <cell r="R86">
            <v>0.86121815045140815</v>
          </cell>
          <cell r="S86">
            <v>0.83331802589000659</v>
          </cell>
          <cell r="T86">
            <v>0.90427357192674196</v>
          </cell>
          <cell r="U86">
            <v>1.0948955263620583</v>
          </cell>
          <cell r="V86">
            <v>1.7482800957822078</v>
          </cell>
          <cell r="W86">
            <v>2.0912995230064886</v>
          </cell>
          <cell r="X86">
            <v>2.1178548862279993</v>
          </cell>
          <cell r="Y86">
            <v>1.905533321041718</v>
          </cell>
          <cell r="Z86">
            <v>1.853389517446836</v>
          </cell>
          <cell r="AA86">
            <v>1.5731058938468212</v>
          </cell>
          <cell r="AB86">
            <v>1.4312835546868174</v>
          </cell>
          <cell r="AC86">
            <v>1.3416246112063579</v>
          </cell>
          <cell r="AD86">
            <v>1.494637223597675</v>
          </cell>
          <cell r="AE86">
            <v>1.5307093425664438</v>
          </cell>
          <cell r="AF86">
            <v>1.5545259289463031</v>
          </cell>
          <cell r="AG86">
            <v>1.5346984612548289</v>
          </cell>
          <cell r="AH86">
            <v>1.8020212009356329</v>
          </cell>
          <cell r="AI86">
            <v>1.7655769781542419</v>
          </cell>
          <cell r="AJ86">
            <v>1.9732501123633945</v>
          </cell>
          <cell r="AK86">
            <v>2.5506089105754959</v>
          </cell>
          <cell r="AL86">
            <v>2.1204484722668204</v>
          </cell>
          <cell r="AM86">
            <v>1.5668898015214314</v>
          </cell>
          <cell r="AN86">
            <v>2.1096743590186131</v>
          </cell>
          <cell r="AO86">
            <v>2.0488309358741619</v>
          </cell>
          <cell r="AP86">
            <v>2.3397300402421402</v>
          </cell>
          <cell r="AQ86">
            <v>2.323031623019709</v>
          </cell>
          <cell r="AR86">
            <v>2.7591464066134801</v>
          </cell>
          <cell r="AS86">
            <v>2.6410974188025325</v>
          </cell>
          <cell r="AT86">
            <v>2.7551410069662676</v>
          </cell>
          <cell r="AU86">
            <v>2.9861232738024102</v>
          </cell>
          <cell r="AV86">
            <v>3.2619315974124548</v>
          </cell>
          <cell r="AW86">
            <v>3.8454499843353367</v>
          </cell>
          <cell r="AX86">
            <v>4.4766370636284467</v>
          </cell>
          <cell r="AY86">
            <v>5.0780506076216589</v>
          </cell>
          <cell r="AZ86">
            <v>5.6040332972576348</v>
          </cell>
          <cell r="BA86">
            <v>6.2346773027019298</v>
          </cell>
          <cell r="BB86">
            <v>5.9913872524150111</v>
          </cell>
        </row>
        <row r="87">
          <cell r="A87" t="str">
            <v>Austria</v>
          </cell>
          <cell r="B87">
            <v>0.46585159730866832</v>
          </cell>
          <cell r="C87">
            <v>0.40045084382349044</v>
          </cell>
          <cell r="D87">
            <v>0.3700176191191063</v>
          </cell>
          <cell r="E87">
            <v>0.33738917534788149</v>
          </cell>
          <cell r="F87">
            <v>0.31191234217860198</v>
          </cell>
          <cell r="G87">
            <v>0.32024494153141769</v>
          </cell>
          <cell r="H87">
            <v>0.311346532469018</v>
          </cell>
          <cell r="I87">
            <v>0.33946804543927256</v>
          </cell>
          <cell r="J87">
            <v>0.38933172064332183</v>
          </cell>
          <cell r="K87">
            <v>0.37217406486075288</v>
          </cell>
          <cell r="L87">
            <v>0.60440732323837953</v>
          </cell>
          <cell r="M87">
            <v>0.52833081499061063</v>
          </cell>
          <cell r="N87">
            <v>0.71859128511070702</v>
          </cell>
          <cell r="O87">
            <v>0.68001314553670256</v>
          </cell>
          <cell r="P87">
            <v>1.1672335072632154</v>
          </cell>
          <cell r="Q87">
            <v>1.3015145562696699</v>
          </cell>
          <cell r="R87">
            <v>1.2706145863386995</v>
          </cell>
          <cell r="S87">
            <v>1.5488270451319262</v>
          </cell>
          <cell r="T87">
            <v>1.6692331035302526</v>
          </cell>
          <cell r="U87">
            <v>1.7919999819414545</v>
          </cell>
          <cell r="V87">
            <v>1.9214309380564931</v>
          </cell>
          <cell r="W87">
            <v>2.0551223381470312</v>
          </cell>
          <cell r="X87">
            <v>2.2039641188142465</v>
          </cell>
          <cell r="Y87">
            <v>2.3756790159403005</v>
          </cell>
          <cell r="Z87">
            <v>2.5672513811653328</v>
          </cell>
          <cell r="AA87">
            <v>2.7742763386490052</v>
          </cell>
          <cell r="AB87">
            <v>3.0530552283052734</v>
          </cell>
          <cell r="AC87">
            <v>3.8961344283959409</v>
          </cell>
          <cell r="AD87">
            <v>3.7541441684537862</v>
          </cell>
          <cell r="AE87">
            <v>2.672776593617348</v>
          </cell>
          <cell r="AF87">
            <v>3.2999171813214039</v>
          </cell>
          <cell r="AG87">
            <v>3.9990758318007673</v>
          </cell>
          <cell r="AH87">
            <v>4.2565065036508143</v>
          </cell>
          <cell r="AI87">
            <v>5.4241575166635219</v>
          </cell>
          <cell r="AJ87">
            <v>6.5696113016570248</v>
          </cell>
          <cell r="AK87">
            <v>6.4250557248242899</v>
          </cell>
          <cell r="AL87">
            <v>5.5643913734076538</v>
          </cell>
          <cell r="AM87">
            <v>4.7040211558012999</v>
          </cell>
          <cell r="AN87">
            <v>4.8125619797262935</v>
          </cell>
          <cell r="AO87">
            <v>4.7594328556842651</v>
          </cell>
          <cell r="AP87">
            <v>5.2364896675314796</v>
          </cell>
          <cell r="AQ87">
            <v>5.4127254661961173</v>
          </cell>
          <cell r="AR87">
            <v>5.0761641462014966</v>
          </cell>
          <cell r="AS87">
            <v>4.8709750534828089</v>
          </cell>
          <cell r="AT87">
            <v>4.8682136193269541</v>
          </cell>
          <cell r="AU87">
            <v>4.8912791582214199</v>
          </cell>
          <cell r="AV87">
            <v>5.0185931478650643</v>
          </cell>
          <cell r="AW87">
            <v>4.7513741230314697</v>
          </cell>
          <cell r="AX87">
            <v>4.5632530025822984</v>
          </cell>
          <cell r="AY87">
            <v>4.3950758680018884</v>
          </cell>
          <cell r="AZ87">
            <v>4.3448874480372064</v>
          </cell>
          <cell r="BA87">
            <v>4.3382375770044295</v>
          </cell>
          <cell r="BB87">
            <v>4.5559160176849085</v>
          </cell>
        </row>
        <row r="89">
          <cell r="B89">
            <v>1971</v>
          </cell>
          <cell r="C89">
            <v>1972</v>
          </cell>
          <cell r="D89">
            <v>1973</v>
          </cell>
          <cell r="E89">
            <v>1974</v>
          </cell>
          <cell r="F89">
            <v>1975</v>
          </cell>
          <cell r="G89">
            <v>1976</v>
          </cell>
          <cell r="H89">
            <v>1977</v>
          </cell>
          <cell r="I89">
            <v>1978</v>
          </cell>
          <cell r="J89">
            <v>1979</v>
          </cell>
          <cell r="K89">
            <v>1980</v>
          </cell>
          <cell r="L89">
            <v>1981</v>
          </cell>
          <cell r="M89">
            <v>1982</v>
          </cell>
          <cell r="N89">
            <v>1983</v>
          </cell>
          <cell r="O89">
            <v>1984</v>
          </cell>
          <cell r="P89">
            <v>1985</v>
          </cell>
          <cell r="Q89">
            <v>1986</v>
          </cell>
          <cell r="R89">
            <v>1987</v>
          </cell>
          <cell r="S89">
            <v>1988</v>
          </cell>
          <cell r="T89">
            <v>1989</v>
          </cell>
          <cell r="U89">
            <v>1990</v>
          </cell>
          <cell r="V89">
            <v>1991</v>
          </cell>
          <cell r="W89">
            <v>1992</v>
          </cell>
          <cell r="X89">
            <v>1993</v>
          </cell>
          <cell r="Y89">
            <v>1994</v>
          </cell>
          <cell r="Z89">
            <v>1995</v>
          </cell>
          <cell r="AA89">
            <v>1996</v>
          </cell>
          <cell r="AB89">
            <v>1997</v>
          </cell>
          <cell r="AC89">
            <v>1998</v>
          </cell>
          <cell r="AD89">
            <v>1999</v>
          </cell>
          <cell r="AE89">
            <v>2000</v>
          </cell>
          <cell r="AF89">
            <v>2001</v>
          </cell>
          <cell r="AG89">
            <v>2002</v>
          </cell>
          <cell r="AH89">
            <v>2003</v>
          </cell>
          <cell r="AI89">
            <v>2004</v>
          </cell>
          <cell r="AJ89">
            <v>2005</v>
          </cell>
          <cell r="AK89">
            <v>2006</v>
          </cell>
          <cell r="AL89">
            <v>2007</v>
          </cell>
          <cell r="AM89">
            <v>2008</v>
          </cell>
          <cell r="AN89">
            <v>2009</v>
          </cell>
          <cell r="AO89">
            <v>2010</v>
          </cell>
          <cell r="AP89">
            <v>2011</v>
          </cell>
          <cell r="AQ89">
            <v>2012</v>
          </cell>
          <cell r="AR89">
            <v>2013</v>
          </cell>
          <cell r="AS89">
            <v>2014</v>
          </cell>
          <cell r="AT89">
            <v>2015</v>
          </cell>
          <cell r="AU89">
            <v>2016</v>
          </cell>
          <cell r="AV89">
            <v>2017</v>
          </cell>
          <cell r="AW89">
            <v>2018</v>
          </cell>
          <cell r="AX89">
            <v>2019</v>
          </cell>
          <cell r="AY89">
            <v>2020</v>
          </cell>
          <cell r="AZ89">
            <v>2021</v>
          </cell>
          <cell r="BA89">
            <v>2022</v>
          </cell>
          <cell r="BB89">
            <v>2023</v>
          </cell>
        </row>
        <row r="90">
          <cell r="A90" t="str">
            <v>France</v>
          </cell>
          <cell r="B90">
            <v>0</v>
          </cell>
          <cell r="C90">
            <v>9.817643099365693E-2</v>
          </cell>
          <cell r="D90">
            <v>0.24495827842409296</v>
          </cell>
          <cell r="E90">
            <v>0.42184383081340676</v>
          </cell>
          <cell r="F90">
            <v>0.76380487652471185</v>
          </cell>
          <cell r="G90">
            <v>1.2894467811286472</v>
          </cell>
          <cell r="H90">
            <v>1.8827520103293764</v>
          </cell>
          <cell r="I90">
            <v>2.49112502395697</v>
          </cell>
          <cell r="J90">
            <v>3.0924056986872905</v>
          </cell>
          <cell r="K90">
            <v>3.6570826445002975</v>
          </cell>
          <cell r="L90">
            <v>4.1005323470520274</v>
          </cell>
          <cell r="M90">
            <v>4.6839131138122942</v>
          </cell>
          <cell r="N90">
            <v>5.1770670919747133</v>
          </cell>
          <cell r="O90">
            <v>5.7046088019095631</v>
          </cell>
          <cell r="P90">
            <v>6.3197236040874376</v>
          </cell>
          <cell r="Q90">
            <v>7.0894706074999059</v>
          </cell>
          <cell r="R90">
            <v>7.9506887579513137</v>
          </cell>
          <cell r="S90">
            <v>8.7840067838413205</v>
          </cell>
          <cell r="T90">
            <v>9.6882803557680628</v>
          </cell>
          <cell r="U90">
            <v>10.783175882130122</v>
          </cell>
          <cell r="V90">
            <v>12.53145597791233</v>
          </cell>
          <cell r="W90">
            <v>14.622755500918819</v>
          </cell>
          <cell r="X90">
            <v>16.74061038714682</v>
          </cell>
          <cell r="Y90">
            <v>18.646143708188539</v>
          </cell>
          <cell r="Z90">
            <v>20.499533225635375</v>
          </cell>
          <cell r="AA90">
            <v>22.072639119482197</v>
          </cell>
          <cell r="AB90">
            <v>23.503922674169015</v>
          </cell>
          <cell r="AC90">
            <v>24.845547285375375</v>
          </cell>
          <cell r="AD90">
            <v>26.340184508973049</v>
          </cell>
          <cell r="AE90">
            <v>27.870893851539492</v>
          </cell>
          <cell r="AF90">
            <v>29.425419780485797</v>
          </cell>
          <cell r="AG90">
            <v>30.960118241740627</v>
          </cell>
          <cell r="AH90">
            <v>32.762139442676258</v>
          </cell>
          <cell r="AI90">
            <v>34.527716420830501</v>
          </cell>
          <cell r="AJ90">
            <v>36.500966533193896</v>
          </cell>
          <cell r="AK90">
            <v>39.051575443769394</v>
          </cell>
          <cell r="AL90">
            <v>41.172023916036217</v>
          </cell>
          <cell r="AM90">
            <v>42.738913717557651</v>
          </cell>
          <cell r="AN90">
            <v>44.848588076576263</v>
          </cell>
          <cell r="AO90">
            <v>46.897419012450428</v>
          </cell>
          <cell r="AP90">
            <v>49.237149052692565</v>
          </cell>
          <cell r="AQ90">
            <v>51.560180675712274</v>
          </cell>
          <cell r="AR90">
            <v>54.319327082325756</v>
          </cell>
          <cell r="AS90">
            <v>56.960424501128287</v>
          </cell>
          <cell r="AT90">
            <v>59.715565508094556</v>
          </cell>
          <cell r="AU90">
            <v>62.701688781896969</v>
          </cell>
          <cell r="AV90">
            <v>65.963620379309418</v>
          </cell>
          <cell r="AW90">
            <v>69.80907036364475</v>
          </cell>
          <cell r="AX90">
            <v>74.285707427273195</v>
          </cell>
          <cell r="AY90">
            <v>79.363758034894857</v>
          </cell>
          <cell r="AZ90">
            <v>84.967791332152487</v>
          </cell>
          <cell r="BA90">
            <v>91.202468634854412</v>
          </cell>
          <cell r="BB90">
            <v>97.193855887269422</v>
          </cell>
        </row>
        <row r="91">
          <cell r="A91" t="str">
            <v>Austria</v>
          </cell>
          <cell r="B91">
            <v>0.46585159730866832</v>
          </cell>
          <cell r="C91">
            <v>0.86630244113215871</v>
          </cell>
          <cell r="D91">
            <v>1.236320060251265</v>
          </cell>
          <cell r="E91">
            <v>1.5737092355991464</v>
          </cell>
          <cell r="F91">
            <v>1.8856215777777483</v>
          </cell>
          <cell r="G91">
            <v>2.2058665193091658</v>
          </cell>
          <cell r="H91">
            <v>2.5172130517781839</v>
          </cell>
          <cell r="I91">
            <v>2.8566810972174563</v>
          </cell>
          <cell r="J91">
            <v>3.2460128178607781</v>
          </cell>
          <cell r="K91">
            <v>3.6181868827215311</v>
          </cell>
          <cell r="L91">
            <v>4.2225942059599104</v>
          </cell>
          <cell r="M91">
            <v>4.7509250209505209</v>
          </cell>
          <cell r="N91">
            <v>5.4695163060612284</v>
          </cell>
          <cell r="O91">
            <v>6.1495294515979309</v>
          </cell>
          <cell r="P91">
            <v>7.3167629588611458</v>
          </cell>
          <cell r="Q91">
            <v>8.6182775151308153</v>
          </cell>
          <cell r="R91">
            <v>9.8888921014695157</v>
          </cell>
          <cell r="S91">
            <v>11.437719146601442</v>
          </cell>
          <cell r="T91">
            <v>13.106952250131695</v>
          </cell>
          <cell r="U91">
            <v>14.89895223207315</v>
          </cell>
          <cell r="V91">
            <v>16.820383170129642</v>
          </cell>
          <cell r="W91">
            <v>18.875505508276675</v>
          </cell>
          <cell r="X91">
            <v>21.079469627090923</v>
          </cell>
          <cell r="Y91">
            <v>23.455148643031222</v>
          </cell>
          <cell r="Z91">
            <v>26.022400024196557</v>
          </cell>
          <cell r="AA91">
            <v>28.796676362845563</v>
          </cell>
          <cell r="AB91">
            <v>31.849731591150835</v>
          </cell>
          <cell r="AC91">
            <v>35.745866019546774</v>
          </cell>
          <cell r="AD91">
            <v>39.500010188000559</v>
          </cell>
          <cell r="AE91">
            <v>42.172786781617909</v>
          </cell>
          <cell r="AF91">
            <v>45.472703962939313</v>
          </cell>
          <cell r="AG91">
            <v>49.47177979474008</v>
          </cell>
          <cell r="AH91">
            <v>53.728286298390891</v>
          </cell>
          <cell r="AI91">
            <v>59.152443815054411</v>
          </cell>
          <cell r="AJ91">
            <v>65.722055116711431</v>
          </cell>
          <cell r="AK91">
            <v>72.147110841535721</v>
          </cell>
          <cell r="AL91">
            <v>77.71150221494338</v>
          </cell>
          <cell r="AM91">
            <v>82.41552337074468</v>
          </cell>
          <cell r="AN91">
            <v>87.228085350470977</v>
          </cell>
          <cell r="AO91">
            <v>91.987518206155244</v>
          </cell>
          <cell r="AP91">
            <v>97.22400787368673</v>
          </cell>
          <cell r="AQ91">
            <v>102.63673333988285</v>
          </cell>
          <cell r="AR91">
            <v>107.71289748608434</v>
          </cell>
          <cell r="AS91">
            <v>112.58387253956715</v>
          </cell>
          <cell r="AT91">
            <v>117.4520861588941</v>
          </cell>
          <cell r="AU91">
            <v>122.34336531711553</v>
          </cell>
          <cell r="AV91">
            <v>127.36195846498059</v>
          </cell>
          <cell r="AW91">
            <v>132.11333258801207</v>
          </cell>
          <cell r="AX91">
            <v>136.67658559059436</v>
          </cell>
          <cell r="AY91">
            <v>141.07166145859625</v>
          </cell>
          <cell r="AZ91">
            <v>145.41654890663347</v>
          </cell>
          <cell r="BA91">
            <v>149.7547864836379</v>
          </cell>
          <cell r="BB91">
            <v>154.31070250132282</v>
          </cell>
        </row>
        <row r="93">
          <cell r="B93">
            <v>1971</v>
          </cell>
          <cell r="C93">
            <v>1972</v>
          </cell>
          <cell r="D93">
            <v>1973</v>
          </cell>
          <cell r="E93">
            <v>1974</v>
          </cell>
          <cell r="F93">
            <v>1975</v>
          </cell>
          <cell r="G93">
            <v>1976</v>
          </cell>
          <cell r="H93">
            <v>1977</v>
          </cell>
          <cell r="I93">
            <v>1978</v>
          </cell>
          <cell r="J93">
            <v>1979</v>
          </cell>
          <cell r="K93">
            <v>1980</v>
          </cell>
          <cell r="L93">
            <v>1981</v>
          </cell>
          <cell r="M93">
            <v>1982</v>
          </cell>
          <cell r="N93">
            <v>1983</v>
          </cell>
          <cell r="O93">
            <v>1984</v>
          </cell>
          <cell r="P93">
            <v>1985</v>
          </cell>
          <cell r="Q93">
            <v>1986</v>
          </cell>
          <cell r="R93">
            <v>1987</v>
          </cell>
          <cell r="S93">
            <v>1988</v>
          </cell>
          <cell r="T93">
            <v>1989</v>
          </cell>
          <cell r="U93">
            <v>1990</v>
          </cell>
          <cell r="V93">
            <v>1991</v>
          </cell>
          <cell r="W93">
            <v>1992</v>
          </cell>
          <cell r="X93">
            <v>1993</v>
          </cell>
          <cell r="Y93">
            <v>1994</v>
          </cell>
          <cell r="Z93">
            <v>1995</v>
          </cell>
          <cell r="AA93">
            <v>1996</v>
          </cell>
          <cell r="AB93">
            <v>1997</v>
          </cell>
          <cell r="AC93">
            <v>1998</v>
          </cell>
          <cell r="AD93">
            <v>1999</v>
          </cell>
          <cell r="AE93">
            <v>2000</v>
          </cell>
          <cell r="AF93">
            <v>2001</v>
          </cell>
          <cell r="AG93">
            <v>2002</v>
          </cell>
          <cell r="AH93">
            <v>2003</v>
          </cell>
          <cell r="AI93">
            <v>2004</v>
          </cell>
          <cell r="AJ93">
            <v>2005</v>
          </cell>
          <cell r="AK93">
            <v>2006</v>
          </cell>
          <cell r="AL93">
            <v>2007</v>
          </cell>
          <cell r="AM93">
            <v>2008</v>
          </cell>
          <cell r="AN93">
            <v>2009</v>
          </cell>
          <cell r="AO93">
            <v>2010</v>
          </cell>
          <cell r="AP93">
            <v>2011</v>
          </cell>
          <cell r="AQ93">
            <v>2012</v>
          </cell>
          <cell r="AR93">
            <v>2013</v>
          </cell>
          <cell r="AS93">
            <v>2014</v>
          </cell>
          <cell r="AT93">
            <v>2015</v>
          </cell>
          <cell r="AU93">
            <v>2016</v>
          </cell>
          <cell r="AV93">
            <v>2017</v>
          </cell>
          <cell r="AW93">
            <v>2018</v>
          </cell>
          <cell r="AX93">
            <v>2019</v>
          </cell>
          <cell r="AY93">
            <v>2020</v>
          </cell>
          <cell r="AZ93">
            <v>2021</v>
          </cell>
          <cell r="BA93">
            <v>2022</v>
          </cell>
          <cell r="BB93">
            <v>2023</v>
          </cell>
        </row>
        <row r="94">
          <cell r="A94" t="str">
            <v>France</v>
          </cell>
          <cell r="C94">
            <v>5.16</v>
          </cell>
          <cell r="D94">
            <v>7.78</v>
          </cell>
          <cell r="E94">
            <v>9.4499999999999993</v>
          </cell>
          <cell r="F94">
            <v>18.37</v>
          </cell>
          <cell r="G94">
            <v>28.35</v>
          </cell>
          <cell r="H94">
            <v>32.14</v>
          </cell>
          <cell r="I94">
            <v>33.119999999999997</v>
          </cell>
          <cell r="J94">
            <v>32.869999999999997</v>
          </cell>
          <cell r="K94">
            <v>31.02</v>
          </cell>
          <cell r="L94">
            <v>24.5</v>
          </cell>
          <cell r="M94">
            <v>32.42</v>
          </cell>
          <cell r="N94">
            <v>27.57</v>
          </cell>
          <cell r="O94">
            <v>29.63</v>
          </cell>
          <cell r="P94">
            <v>34.72</v>
          </cell>
          <cell r="Q94">
            <v>43.66</v>
          </cell>
          <cell r="R94">
            <v>49.1</v>
          </cell>
          <cell r="S94">
            <v>47.77</v>
          </cell>
          <cell r="T94">
            <v>52.14</v>
          </cell>
          <cell r="U94">
            <v>63.5</v>
          </cell>
          <cell r="V94">
            <v>101.89</v>
          </cell>
          <cell r="W94">
            <v>122.49</v>
          </cell>
          <cell r="X94">
            <v>124.64</v>
          </cell>
          <cell r="Y94">
            <v>112.56</v>
          </cell>
          <cell r="Z94">
            <v>109.87</v>
          </cell>
          <cell r="AA94">
            <v>93.580000000000013</v>
          </cell>
          <cell r="AB94">
            <v>85.435000000000002</v>
          </cell>
          <cell r="AC94">
            <v>80.36243813038972</v>
          </cell>
          <cell r="AD94">
            <v>89.861573090893103</v>
          </cell>
          <cell r="AE94">
            <v>92.620390506411766</v>
          </cell>
          <cell r="AF94">
            <v>94.73500199154752</v>
          </cell>
          <cell r="AG94">
            <v>94.207572473019951</v>
          </cell>
          <cell r="AH94">
            <v>111.40821278728059</v>
          </cell>
          <cell r="AI94">
            <v>109.90904193285236</v>
          </cell>
          <cell r="AJ94">
            <v>123.78303918386608</v>
          </cell>
          <cell r="AK94">
            <v>161.16307304486583</v>
          </cell>
          <cell r="AL94">
            <v>134.86198594561566</v>
          </cell>
          <cell r="AM94">
            <v>100.22118455345178</v>
          </cell>
          <cell r="AN94">
            <v>135.66155481951239</v>
          </cell>
          <cell r="AO94">
            <v>132.38098828095013</v>
          </cell>
          <cell r="AP94">
            <v>151.92662659505896</v>
          </cell>
          <cell r="AQ94">
            <v>151.55746596804997</v>
          </cell>
          <cell r="AR94">
            <v>180.90276091788959</v>
          </cell>
          <cell r="AS94">
            <v>174.65807798345807</v>
          </cell>
          <cell r="AT94">
            <v>183.00326812584569</v>
          </cell>
          <cell r="AU94">
            <v>198.88370833129972</v>
          </cell>
          <cell r="AV94">
            <v>217.81379273664922</v>
          </cell>
          <cell r="AW94">
            <v>257.61499677714039</v>
          </cell>
          <cell r="AX94">
            <v>301.0895750460549</v>
          </cell>
          <cell r="AY94">
            <v>342.53544520868553</v>
          </cell>
          <cell r="AZ94">
            <v>378.98057495753051</v>
          </cell>
          <cell r="BA94">
            <v>422.79464086033784</v>
          </cell>
          <cell r="BB94">
            <v>407.11476380159996</v>
          </cell>
        </row>
        <row r="95">
          <cell r="A95" t="str">
            <v>Austria</v>
          </cell>
          <cell r="B95">
            <v>4.72</v>
          </cell>
          <cell r="C95">
            <v>4.0789999999999997</v>
          </cell>
          <cell r="D95">
            <v>3.794</v>
          </cell>
          <cell r="E95">
            <v>3.464</v>
          </cell>
          <cell r="F95">
            <v>3.194</v>
          </cell>
          <cell r="G95">
            <v>3.2749999999999999</v>
          </cell>
          <cell r="H95">
            <v>3.1840000000000002</v>
          </cell>
          <cell r="I95">
            <v>3.4670000000000001</v>
          </cell>
          <cell r="J95">
            <v>3.9710000000000001</v>
          </cell>
          <cell r="K95">
            <v>3.7959999999999998</v>
          </cell>
          <cell r="L95">
            <v>6.181</v>
          </cell>
          <cell r="M95">
            <v>5.4029999999999996</v>
          </cell>
          <cell r="N95">
            <v>7.3390000000000004</v>
          </cell>
          <cell r="O95">
            <v>6.9450000000000003</v>
          </cell>
          <cell r="P95">
            <v>11.920999999999999</v>
          </cell>
          <cell r="Q95">
            <v>13.31</v>
          </cell>
          <cell r="R95">
            <v>12.994</v>
          </cell>
          <cell r="S95">
            <v>15.881</v>
          </cell>
          <cell r="T95">
            <v>17.183242</v>
          </cell>
          <cell r="U95">
            <v>18.592267844000002</v>
          </cell>
          <cell r="V95">
            <v>20.116833807208003</v>
          </cell>
          <cell r="W95">
            <v>21.76641417939906</v>
          </cell>
          <cell r="X95">
            <v>23.551260142109786</v>
          </cell>
          <cell r="Y95">
            <v>25.482463473762792</v>
          </cell>
          <cell r="Z95">
            <v>27.572025478611341</v>
          </cell>
          <cell r="AA95">
            <v>29.832931567857472</v>
          </cell>
          <cell r="AB95">
            <v>32.872</v>
          </cell>
          <cell r="AC95">
            <v>42.001999999999995</v>
          </cell>
          <cell r="AD95">
            <v>40.522000000000006</v>
          </cell>
          <cell r="AE95">
            <v>28.922000000000001</v>
          </cell>
          <cell r="AF95">
            <v>35.841999999999999</v>
          </cell>
          <cell r="AG95">
            <v>43.652000000000001</v>
          </cell>
          <cell r="AH95">
            <v>46.691999999999993</v>
          </cell>
          <cell r="AI95">
            <v>59.866999999999997</v>
          </cell>
          <cell r="AJ95">
            <v>73.042000000000002</v>
          </cell>
          <cell r="AK95">
            <v>71.781999999999996</v>
          </cell>
          <cell r="AL95">
            <v>62.391999999999996</v>
          </cell>
          <cell r="AM95">
            <v>52.872</v>
          </cell>
          <cell r="AN95">
            <v>54.221999999999994</v>
          </cell>
          <cell r="AO95">
            <v>53.751999999999995</v>
          </cell>
          <cell r="AP95">
            <v>59.352000000000004</v>
          </cell>
          <cell r="AQ95">
            <v>61.641999999999996</v>
          </cell>
          <cell r="AR95">
            <v>58.152000000000001</v>
          </cell>
          <cell r="AS95">
            <v>56.262</v>
          </cell>
          <cell r="AT95">
            <v>56.822000000000003</v>
          </cell>
          <cell r="AU95">
            <v>57.751999999999995</v>
          </cell>
          <cell r="AV95">
            <v>59.662000000000006</v>
          </cell>
          <cell r="AW95">
            <v>56.742000000000004</v>
          </cell>
          <cell r="AX95">
            <v>54.742000000000004</v>
          </cell>
          <cell r="AY95">
            <v>52.962000000000003</v>
          </cell>
          <cell r="AZ95">
            <v>52.591999999999999</v>
          </cell>
          <cell r="BA95">
            <v>53.331999999999994</v>
          </cell>
          <cell r="BB95">
            <v>56.315760100000006</v>
          </cell>
        </row>
        <row r="97">
          <cell r="B97">
            <v>1971</v>
          </cell>
          <cell r="C97">
            <v>1972</v>
          </cell>
          <cell r="D97">
            <v>1973</v>
          </cell>
          <cell r="E97">
            <v>1974</v>
          </cell>
          <cell r="F97">
            <v>1975</v>
          </cell>
          <cell r="G97">
            <v>1976</v>
          </cell>
          <cell r="H97">
            <v>1977</v>
          </cell>
          <cell r="I97">
            <v>1978</v>
          </cell>
          <cell r="J97">
            <v>1979</v>
          </cell>
          <cell r="K97">
            <v>1980</v>
          </cell>
          <cell r="L97">
            <v>1981</v>
          </cell>
          <cell r="M97">
            <v>1982</v>
          </cell>
          <cell r="N97">
            <v>1983</v>
          </cell>
          <cell r="O97">
            <v>1984</v>
          </cell>
          <cell r="P97">
            <v>1985</v>
          </cell>
          <cell r="Q97">
            <v>1986</v>
          </cell>
          <cell r="R97">
            <v>1987</v>
          </cell>
          <cell r="S97">
            <v>1988</v>
          </cell>
          <cell r="T97">
            <v>1989</v>
          </cell>
          <cell r="U97">
            <v>1990</v>
          </cell>
          <cell r="V97">
            <v>1991</v>
          </cell>
          <cell r="W97">
            <v>1992</v>
          </cell>
          <cell r="X97">
            <v>1993</v>
          </cell>
          <cell r="Y97">
            <v>1994</v>
          </cell>
          <cell r="Z97">
            <v>1995</v>
          </cell>
          <cell r="AA97">
            <v>1996</v>
          </cell>
          <cell r="AB97">
            <v>1997</v>
          </cell>
          <cell r="AC97">
            <v>1998</v>
          </cell>
          <cell r="AD97">
            <v>1999</v>
          </cell>
          <cell r="AE97">
            <v>2000</v>
          </cell>
          <cell r="AF97">
            <v>2001</v>
          </cell>
          <cell r="AG97">
            <v>2002</v>
          </cell>
          <cell r="AH97">
            <v>2003</v>
          </cell>
          <cell r="AI97">
            <v>2004</v>
          </cell>
          <cell r="AJ97">
            <v>2005</v>
          </cell>
          <cell r="AK97">
            <v>2006</v>
          </cell>
          <cell r="AL97">
            <v>2007</v>
          </cell>
          <cell r="AM97">
            <v>2008</v>
          </cell>
          <cell r="AN97">
            <v>2009</v>
          </cell>
          <cell r="AO97">
            <v>2010</v>
          </cell>
          <cell r="AP97">
            <v>2011</v>
          </cell>
          <cell r="AQ97">
            <v>2012</v>
          </cell>
          <cell r="AR97">
            <v>2013</v>
          </cell>
          <cell r="AS97">
            <v>2014</v>
          </cell>
          <cell r="AT97">
            <v>2015</v>
          </cell>
          <cell r="AU97">
            <v>2016</v>
          </cell>
          <cell r="AV97">
            <v>2017</v>
          </cell>
          <cell r="AW97">
            <v>2018</v>
          </cell>
          <cell r="AX97">
            <v>2019</v>
          </cell>
          <cell r="AY97">
            <v>2020</v>
          </cell>
          <cell r="AZ97">
            <v>2021</v>
          </cell>
          <cell r="BA97">
            <v>2022</v>
          </cell>
          <cell r="BB97">
            <v>2023</v>
          </cell>
        </row>
        <row r="98">
          <cell r="A98" t="str">
            <v>France</v>
          </cell>
          <cell r="B98">
            <v>0</v>
          </cell>
          <cell r="C98">
            <v>5.16</v>
          </cell>
          <cell r="D98">
            <v>12.940000000000001</v>
          </cell>
          <cell r="E98">
            <v>22.39</v>
          </cell>
          <cell r="F98">
            <v>40.760000000000005</v>
          </cell>
          <cell r="G98">
            <v>69.110000000000014</v>
          </cell>
          <cell r="H98">
            <v>101.25000000000001</v>
          </cell>
          <cell r="I98">
            <v>134.37</v>
          </cell>
          <cell r="J98">
            <v>167.24</v>
          </cell>
          <cell r="K98">
            <v>198.26000000000002</v>
          </cell>
          <cell r="L98">
            <v>222.76000000000002</v>
          </cell>
          <cell r="M98">
            <v>255.18</v>
          </cell>
          <cell r="N98">
            <v>282.75</v>
          </cell>
          <cell r="O98">
            <v>312.38</v>
          </cell>
          <cell r="P98">
            <v>347.1</v>
          </cell>
          <cell r="Q98">
            <v>390.76</v>
          </cell>
          <cell r="R98">
            <v>439.86</v>
          </cell>
          <cell r="S98">
            <v>487.63</v>
          </cell>
          <cell r="T98">
            <v>539.77</v>
          </cell>
          <cell r="U98">
            <v>603.27</v>
          </cell>
          <cell r="V98">
            <v>705.16</v>
          </cell>
          <cell r="W98">
            <v>827.65</v>
          </cell>
          <cell r="X98">
            <v>952.29</v>
          </cell>
          <cell r="Y98">
            <v>1064.8499999999999</v>
          </cell>
          <cell r="Z98">
            <v>1174.7199999999998</v>
          </cell>
          <cell r="AA98">
            <v>1268.2999999999997</v>
          </cell>
          <cell r="AB98">
            <v>1353.7349999999997</v>
          </cell>
          <cell r="AC98">
            <v>1434.0974381303895</v>
          </cell>
          <cell r="AD98">
            <v>1523.9590112212827</v>
          </cell>
          <cell r="AE98">
            <v>1616.5794017276944</v>
          </cell>
          <cell r="AF98">
            <v>1711.3144037192419</v>
          </cell>
          <cell r="AG98">
            <v>1805.5219761922619</v>
          </cell>
          <cell r="AH98">
            <v>1916.9301889795424</v>
          </cell>
          <cell r="AI98">
            <v>2026.8392309123949</v>
          </cell>
          <cell r="AJ98">
            <v>2150.6222700962608</v>
          </cell>
          <cell r="AK98">
            <v>2311.7853431411268</v>
          </cell>
          <cell r="AL98">
            <v>2446.6473290867425</v>
          </cell>
          <cell r="AM98">
            <v>2546.8685136401941</v>
          </cell>
          <cell r="AN98">
            <v>2682.5300684597064</v>
          </cell>
          <cell r="AO98">
            <v>2814.9110567406565</v>
          </cell>
          <cell r="AP98">
            <v>2966.8376833357156</v>
          </cell>
          <cell r="AQ98">
            <v>3118.3951493037657</v>
          </cell>
          <cell r="AR98">
            <v>3299.2979102216555</v>
          </cell>
          <cell r="AS98">
            <v>3473.9559882051135</v>
          </cell>
          <cell r="AT98">
            <v>3656.9592563309593</v>
          </cell>
          <cell r="AU98">
            <v>3855.842964662259</v>
          </cell>
          <cell r="AV98">
            <v>4073.6567573989082</v>
          </cell>
          <cell r="AW98">
            <v>4331.2717541760485</v>
          </cell>
          <cell r="AX98">
            <v>4632.3613292221034</v>
          </cell>
          <cell r="AY98">
            <v>4974.8967744307893</v>
          </cell>
          <cell r="AZ98">
            <v>5353.87734938832</v>
          </cell>
          <cell r="BA98">
            <v>5776.6719902486575</v>
          </cell>
          <cell r="BB98">
            <v>6183.7867540502575</v>
          </cell>
        </row>
        <row r="99">
          <cell r="A99" t="str">
            <v>Austria</v>
          </cell>
          <cell r="B99">
            <v>4.72</v>
          </cell>
          <cell r="C99">
            <v>8.7989999999999995</v>
          </cell>
          <cell r="D99">
            <v>12.593</v>
          </cell>
          <cell r="E99">
            <v>16.056999999999999</v>
          </cell>
          <cell r="F99">
            <v>19.250999999999998</v>
          </cell>
          <cell r="G99">
            <v>22.525999999999996</v>
          </cell>
          <cell r="H99">
            <v>25.709999999999997</v>
          </cell>
          <cell r="I99">
            <v>29.176999999999996</v>
          </cell>
          <cell r="J99">
            <v>33.147999999999996</v>
          </cell>
          <cell r="K99">
            <v>36.943999999999996</v>
          </cell>
          <cell r="L99">
            <v>43.124999999999993</v>
          </cell>
          <cell r="M99">
            <v>48.527999999999992</v>
          </cell>
          <cell r="N99">
            <v>55.86699999999999</v>
          </cell>
          <cell r="O99">
            <v>62.811999999999991</v>
          </cell>
          <cell r="P99">
            <v>74.73299999999999</v>
          </cell>
          <cell r="Q99">
            <v>88.042999999999992</v>
          </cell>
          <cell r="R99">
            <v>101.03699999999999</v>
          </cell>
          <cell r="S99">
            <v>116.91799999999999</v>
          </cell>
          <cell r="T99">
            <v>134.10124199999998</v>
          </cell>
          <cell r="U99">
            <v>152.69350984399998</v>
          </cell>
          <cell r="V99">
            <v>172.81034365120797</v>
          </cell>
          <cell r="W99">
            <v>194.57675783060702</v>
          </cell>
          <cell r="X99">
            <v>218.1280179727168</v>
          </cell>
          <cell r="Y99">
            <v>243.61048144647958</v>
          </cell>
          <cell r="Z99">
            <v>271.18250692509093</v>
          </cell>
          <cell r="AA99">
            <v>301.01543849294842</v>
          </cell>
          <cell r="AB99">
            <v>333.88743849294843</v>
          </cell>
          <cell r="AC99">
            <v>375.88943849294844</v>
          </cell>
          <cell r="AD99">
            <v>416.41143849294843</v>
          </cell>
          <cell r="AE99">
            <v>445.33343849294846</v>
          </cell>
          <cell r="AF99">
            <v>481.17543849294844</v>
          </cell>
          <cell r="AG99">
            <v>524.82743849294843</v>
          </cell>
          <cell r="AH99">
            <v>571.51943849294844</v>
          </cell>
          <cell r="AI99">
            <v>631.3864384929484</v>
          </cell>
          <cell r="AJ99">
            <v>704.42843849294843</v>
          </cell>
          <cell r="AK99">
            <v>776.21043849294847</v>
          </cell>
          <cell r="AL99">
            <v>838.60243849294852</v>
          </cell>
          <cell r="AM99">
            <v>891.47443849294848</v>
          </cell>
          <cell r="AN99">
            <v>945.69643849294846</v>
          </cell>
          <cell r="AO99">
            <v>999.44843849294841</v>
          </cell>
          <cell r="AP99">
            <v>1058.8004384929484</v>
          </cell>
          <cell r="AQ99">
            <v>1120.4424384929484</v>
          </cell>
          <cell r="AR99">
            <v>1178.5944384929485</v>
          </cell>
          <cell r="AS99">
            <v>1234.8564384929484</v>
          </cell>
          <cell r="AT99">
            <v>1291.6784384929483</v>
          </cell>
          <cell r="AU99">
            <v>1349.4304384929483</v>
          </cell>
          <cell r="AV99">
            <v>1409.0924384929483</v>
          </cell>
          <cell r="AW99">
            <v>1465.8344384929483</v>
          </cell>
          <cell r="AX99">
            <v>1520.5764384929482</v>
          </cell>
          <cell r="AY99">
            <v>1573.5384384929482</v>
          </cell>
          <cell r="AZ99">
            <v>1626.1304384929483</v>
          </cell>
          <cell r="BA99">
            <v>1679.4624384929484</v>
          </cell>
          <cell r="BB99">
            <v>1735.7781985929485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nsee.fr/fr/information/2417794" TargetMode="External"/><Relationship Id="rId1" Type="http://schemas.openxmlformats.org/officeDocument/2006/relationships/hyperlink" Target="https://www.eurologisch.at/docroot/waehrungsrechner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39"/>
  <sheetViews>
    <sheetView tabSelected="1" workbookViewId="0">
      <selection activeCell="A18" sqref="A18"/>
    </sheetView>
  </sheetViews>
  <sheetFormatPr baseColWidth="10" defaultRowHeight="14.4" x14ac:dyDescent="0.3"/>
  <sheetData>
    <row r="1" spans="1:59" x14ac:dyDescent="0.3">
      <c r="A1" s="1"/>
      <c r="B1" s="2"/>
      <c r="C1" s="2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5" t="s">
        <v>0</v>
      </c>
      <c r="S1" s="4"/>
      <c r="T1" s="4"/>
      <c r="U1" s="4"/>
      <c r="V1" s="3"/>
      <c r="W1" s="3"/>
      <c r="X1" s="3"/>
      <c r="Y1" s="6">
        <v>1.0820000000000001</v>
      </c>
      <c r="Z1" s="6"/>
      <c r="AA1" s="6"/>
      <c r="AB1" s="4"/>
      <c r="AC1" s="4"/>
      <c r="AD1" s="4"/>
      <c r="AE1" s="4"/>
      <c r="AF1" s="2"/>
      <c r="AG1" s="2"/>
      <c r="AI1" t="s">
        <v>1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Z1" s="2"/>
    </row>
    <row r="2" spans="1:59" s="17" customFormat="1" ht="63" customHeight="1" x14ac:dyDescent="0.3">
      <c r="A2" s="7"/>
      <c r="B2" s="8" t="s">
        <v>2</v>
      </c>
      <c r="C2" s="8" t="s">
        <v>3</v>
      </c>
      <c r="D2" s="9" t="s">
        <v>4</v>
      </c>
      <c r="E2" s="9" t="s">
        <v>5</v>
      </c>
      <c r="F2" s="8" t="s">
        <v>6</v>
      </c>
      <c r="G2" s="8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1" t="s">
        <v>13</v>
      </c>
      <c r="N2" s="11" t="s">
        <v>14</v>
      </c>
      <c r="O2" s="11" t="s">
        <v>15</v>
      </c>
      <c r="P2" s="12" t="s">
        <v>16</v>
      </c>
      <c r="Q2" s="10" t="s">
        <v>17</v>
      </c>
      <c r="R2" s="10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3" t="s">
        <v>24</v>
      </c>
      <c r="Y2" s="14"/>
      <c r="Z2" s="15" t="s">
        <v>25</v>
      </c>
      <c r="AA2" s="15" t="s">
        <v>26</v>
      </c>
      <c r="AB2" s="15" t="s">
        <v>27</v>
      </c>
      <c r="AC2" s="16" t="s">
        <v>28</v>
      </c>
      <c r="AD2" s="16" t="s">
        <v>29</v>
      </c>
      <c r="AE2" s="16" t="s">
        <v>30</v>
      </c>
      <c r="AF2" s="16" t="s">
        <v>31</v>
      </c>
      <c r="AG2" s="16" t="s">
        <v>32</v>
      </c>
      <c r="AH2" s="8"/>
      <c r="AI2" s="17">
        <f>AB4/U5*1000000</f>
        <v>0.14269830086287344</v>
      </c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F2" s="8"/>
    </row>
    <row r="3" spans="1:59" x14ac:dyDescent="0.3">
      <c r="A3" s="1">
        <v>1970</v>
      </c>
      <c r="B3" s="2"/>
      <c r="C3" s="2"/>
      <c r="D3" s="3">
        <v>24500</v>
      </c>
      <c r="E3" s="3"/>
      <c r="F3" s="2"/>
      <c r="G3" s="2"/>
      <c r="H3" s="18"/>
      <c r="I3" s="18"/>
      <c r="J3" s="18"/>
      <c r="K3" s="18"/>
      <c r="L3" s="18"/>
      <c r="M3" s="19"/>
      <c r="N3" s="19"/>
      <c r="O3" s="19"/>
      <c r="P3" s="20"/>
      <c r="Q3" s="18"/>
      <c r="R3" s="18"/>
      <c r="S3" s="20"/>
      <c r="T3" s="20"/>
      <c r="U3" s="20"/>
      <c r="V3" s="20"/>
      <c r="W3" s="20"/>
      <c r="X3" s="21"/>
      <c r="Y3" s="22"/>
      <c r="Z3" s="23"/>
      <c r="AA3" s="23"/>
      <c r="AB3" s="23"/>
      <c r="AC3" s="24"/>
      <c r="AD3" s="24"/>
      <c r="AE3" s="24"/>
      <c r="AF3" s="24"/>
      <c r="AG3" s="24"/>
      <c r="AH3" s="2"/>
      <c r="AI3">
        <f>AB56/U56*1000000</f>
        <v>0.13465783664459163</v>
      </c>
      <c r="AQ3" s="1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F3" s="2"/>
    </row>
    <row r="4" spans="1:59" x14ac:dyDescent="0.3">
      <c r="A4" s="1">
        <v>1971</v>
      </c>
      <c r="B4" s="2"/>
      <c r="C4" s="2"/>
      <c r="D4" s="3"/>
      <c r="E4" s="3"/>
      <c r="F4" s="2"/>
      <c r="G4" s="2"/>
      <c r="H4" s="18"/>
      <c r="I4" s="18"/>
      <c r="J4" s="18"/>
      <c r="K4" s="18"/>
      <c r="L4" s="18"/>
      <c r="M4" s="19"/>
      <c r="N4" s="19"/>
      <c r="O4" s="19"/>
      <c r="P4" s="20"/>
      <c r="Q4" s="19"/>
      <c r="R4" s="19"/>
      <c r="S4" s="20"/>
      <c r="T4" s="20"/>
      <c r="U4" s="20"/>
      <c r="V4" s="20"/>
      <c r="W4" s="20"/>
      <c r="X4" s="25"/>
      <c r="Y4" s="22"/>
      <c r="Z4" s="26">
        <f t="shared" ref="Z4:Z21" si="0">AP7/1000</f>
        <v>4.72</v>
      </c>
      <c r="AA4" s="26">
        <f>Z4</f>
        <v>4.72</v>
      </c>
      <c r="AB4" s="26">
        <v>7.5</v>
      </c>
      <c r="AC4" s="27">
        <f t="shared" ref="AC4:AC56" si="1">Z4/AB4</f>
        <v>0.6293333333333333</v>
      </c>
      <c r="AD4" s="27">
        <f>AC4*$O$108*$G$115+AC4*(1-$O$108)</f>
        <v>0.46585159730866832</v>
      </c>
      <c r="AE4" s="27">
        <f>AD4</f>
        <v>0.46585159730866832</v>
      </c>
      <c r="AF4" s="28">
        <f t="shared" ref="AF4:AF10" si="2">AD4*AB4</f>
        <v>3.4938869798150125</v>
      </c>
      <c r="AG4" s="28">
        <f>AE4-W4</f>
        <v>0.46585159730866832</v>
      </c>
      <c r="AH4" s="2"/>
      <c r="AI4" s="2"/>
      <c r="AJ4" s="2"/>
      <c r="AK4" s="2"/>
      <c r="AL4" s="2"/>
      <c r="AM4" s="2"/>
      <c r="AQ4" s="1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F4" s="2"/>
    </row>
    <row r="5" spans="1:59" x14ac:dyDescent="0.3">
      <c r="A5" s="1">
        <v>1972</v>
      </c>
      <c r="B5" s="2"/>
      <c r="C5" s="2"/>
      <c r="D5" s="3"/>
      <c r="E5" s="3"/>
      <c r="F5" s="2"/>
      <c r="G5" s="2"/>
      <c r="H5" s="29"/>
      <c r="I5" s="30"/>
      <c r="J5" s="18"/>
      <c r="K5" s="29">
        <v>2.54</v>
      </c>
      <c r="L5" s="29">
        <f t="shared" ref="L5:L11" si="3">+M5-K5</f>
        <v>2.0829311531841652</v>
      </c>
      <c r="M5" s="31">
        <f t="shared" ref="M5:M12" si="4">M6/(1+J6)</f>
        <v>4.6229311531841653</v>
      </c>
      <c r="N5" s="18">
        <v>5.16</v>
      </c>
      <c r="O5" s="18">
        <f>N5/M5</f>
        <v>1.1161749610841414</v>
      </c>
      <c r="P5" s="32"/>
      <c r="Q5" s="29">
        <f>N5</f>
        <v>5.16</v>
      </c>
      <c r="R5" s="29">
        <f>Q5</f>
        <v>5.16</v>
      </c>
      <c r="S5" s="20">
        <v>51485953</v>
      </c>
      <c r="T5" s="20">
        <f>T6/T$16*T$15</f>
        <v>1072486.4113224759</v>
      </c>
      <c r="U5" s="20">
        <f t="shared" ref="U5:U14" si="5">S5+T5</f>
        <v>52558439.411322474</v>
      </c>
      <c r="V5" s="33">
        <f t="shared" ref="V5:V56" si="6">Q5*1000000/U5</f>
        <v>9.817643099365693E-2</v>
      </c>
      <c r="W5" s="33">
        <f>V5</f>
        <v>9.817643099365693E-2</v>
      </c>
      <c r="X5" s="25"/>
      <c r="Y5" s="34"/>
      <c r="Z5" s="26">
        <f t="shared" si="0"/>
        <v>4.0789999999999997</v>
      </c>
      <c r="AA5" s="26">
        <f>Z5+AA4</f>
        <v>8.7989999999999995</v>
      </c>
      <c r="AB5" s="26">
        <v>7.54</v>
      </c>
      <c r="AC5" s="27">
        <f t="shared" si="1"/>
        <v>0.5409814323607427</v>
      </c>
      <c r="AD5" s="27">
        <f>AC5*$O$108*$G$115+AC5*(1-$O$108)</f>
        <v>0.40045084382349044</v>
      </c>
      <c r="AE5" s="27">
        <f>AD5+AE4</f>
        <v>0.86630244113215871</v>
      </c>
      <c r="AF5" s="28">
        <f t="shared" si="2"/>
        <v>3.0193993624291178</v>
      </c>
      <c r="AG5" s="28">
        <f t="shared" ref="AG5:AG60" si="7">AE5-W5</f>
        <v>0.76812601013850179</v>
      </c>
      <c r="AH5" s="2"/>
      <c r="AI5" s="35" t="s">
        <v>33</v>
      </c>
      <c r="AJ5" t="s">
        <v>34</v>
      </c>
      <c r="AK5" s="36" t="s">
        <v>35</v>
      </c>
      <c r="AL5" s="36"/>
      <c r="AM5" s="36"/>
      <c r="AQ5" s="37" t="s">
        <v>36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F5" s="2"/>
    </row>
    <row r="6" spans="1:59" x14ac:dyDescent="0.3">
      <c r="A6" s="1">
        <v>1973</v>
      </c>
      <c r="B6" s="2"/>
      <c r="C6" s="2"/>
      <c r="D6" s="3"/>
      <c r="E6" s="3"/>
      <c r="F6" s="2"/>
      <c r="G6" s="2"/>
      <c r="H6" s="29"/>
      <c r="I6" s="30"/>
      <c r="J6" s="38">
        <f t="shared" ref="J6:J13" si="8">K6/K5-1</f>
        <v>0.64566929133858264</v>
      </c>
      <c r="K6" s="29">
        <v>4.18</v>
      </c>
      <c r="L6" s="29">
        <f t="shared" si="3"/>
        <v>3.4278158347676415</v>
      </c>
      <c r="M6" s="31">
        <f t="shared" si="4"/>
        <v>7.6078158347676412</v>
      </c>
      <c r="N6" s="18">
        <v>7.78</v>
      </c>
      <c r="O6" s="18">
        <f t="shared" ref="O6:O56" si="9">N6/M6</f>
        <v>1.0226325359304149</v>
      </c>
      <c r="P6" s="32"/>
      <c r="Q6" s="29">
        <f t="shared" ref="Q6:Q30" si="10">N6</f>
        <v>7.78</v>
      </c>
      <c r="R6" s="29">
        <f>Q6+R5</f>
        <v>12.940000000000001</v>
      </c>
      <c r="S6" s="20">
        <v>51915873</v>
      </c>
      <c r="T6" s="20">
        <f t="shared" ref="T6:T14" si="11">T7/T$16*T$15</f>
        <v>1087956.398503501</v>
      </c>
      <c r="U6" s="20">
        <f t="shared" si="5"/>
        <v>53003829.398503497</v>
      </c>
      <c r="V6" s="33">
        <f t="shared" si="6"/>
        <v>0.14678184743043601</v>
      </c>
      <c r="W6" s="33">
        <f>V6+W5</f>
        <v>0.24495827842409296</v>
      </c>
      <c r="X6" s="25"/>
      <c r="Y6" s="34"/>
      <c r="Z6" s="26">
        <f t="shared" si="0"/>
        <v>3.794</v>
      </c>
      <c r="AA6" s="26">
        <f t="shared" ref="AA6:AA56" si="12">Z6+AA5</f>
        <v>12.593</v>
      </c>
      <c r="AB6" s="26">
        <v>7.59</v>
      </c>
      <c r="AC6" s="27">
        <f t="shared" si="1"/>
        <v>0.49986824769433469</v>
      </c>
      <c r="AD6" s="27">
        <f>AC6*$O$108*$G$115+AC6*(1-$O$108)</f>
        <v>0.3700176191191063</v>
      </c>
      <c r="AE6" s="27">
        <f t="shared" ref="AE6:AE56" si="13">AD6+AE5</f>
        <v>1.236320060251265</v>
      </c>
      <c r="AF6" s="28">
        <f t="shared" si="2"/>
        <v>2.8084337291140167</v>
      </c>
      <c r="AG6" s="28">
        <f t="shared" si="7"/>
        <v>0.99136178182717205</v>
      </c>
      <c r="AH6" s="2"/>
      <c r="AI6" s="35" t="s">
        <v>37</v>
      </c>
      <c r="AJ6" t="s">
        <v>38</v>
      </c>
      <c r="AK6" t="s">
        <v>39</v>
      </c>
      <c r="AL6" t="s">
        <v>40</v>
      </c>
      <c r="AM6" t="s">
        <v>41</v>
      </c>
      <c r="AN6" s="2" t="s">
        <v>42</v>
      </c>
      <c r="AO6" s="2" t="s">
        <v>43</v>
      </c>
      <c r="AP6" s="1" t="s">
        <v>44</v>
      </c>
      <c r="AQ6" s="2"/>
      <c r="AR6" s="2"/>
      <c r="AS6" s="2"/>
      <c r="AT6" s="2" t="s">
        <v>87</v>
      </c>
      <c r="AU6" s="2" t="s">
        <v>88</v>
      </c>
      <c r="AV6" s="2"/>
      <c r="AW6" s="2"/>
      <c r="AX6" s="2"/>
      <c r="AY6" s="2"/>
      <c r="AZ6" s="2"/>
      <c r="BA6" s="2"/>
      <c r="BB6" s="2"/>
      <c r="BC6" s="2"/>
      <c r="BE6" s="2"/>
    </row>
    <row r="7" spans="1:59" x14ac:dyDescent="0.3">
      <c r="A7" s="1">
        <v>1974</v>
      </c>
      <c r="B7" s="2"/>
      <c r="C7" s="2"/>
      <c r="D7" s="3"/>
      <c r="E7" s="3"/>
      <c r="F7" s="2"/>
      <c r="G7" s="2"/>
      <c r="H7" s="29"/>
      <c r="I7" s="30"/>
      <c r="J7" s="38">
        <f t="shared" si="8"/>
        <v>0.3827751196172251</v>
      </c>
      <c r="K7" s="29">
        <v>5.78</v>
      </c>
      <c r="L7" s="29">
        <f t="shared" si="3"/>
        <v>4.7398984509466446</v>
      </c>
      <c r="M7" s="31">
        <f t="shared" si="4"/>
        <v>10.519898450946645</v>
      </c>
      <c r="N7" s="18">
        <v>9.4499999999999993</v>
      </c>
      <c r="O7" s="18">
        <f t="shared" si="9"/>
        <v>0.8982976446079316</v>
      </c>
      <c r="P7" s="32"/>
      <c r="Q7" s="29">
        <f t="shared" si="10"/>
        <v>9.4499999999999993</v>
      </c>
      <c r="R7" s="29">
        <f t="shared" ref="R7:R56" si="14">Q7+R6</f>
        <v>22.39</v>
      </c>
      <c r="S7" s="20">
        <v>52320725</v>
      </c>
      <c r="T7" s="20">
        <f t="shared" si="11"/>
        <v>1103649.5311722958</v>
      </c>
      <c r="U7" s="20">
        <f t="shared" si="5"/>
        <v>53424374.531172298</v>
      </c>
      <c r="V7" s="33">
        <f t="shared" si="6"/>
        <v>0.1768855523893138</v>
      </c>
      <c r="W7" s="33">
        <f t="shared" ref="W7:W56" si="15">V7+W6</f>
        <v>0.42184383081340676</v>
      </c>
      <c r="X7" s="25"/>
      <c r="Y7" s="34"/>
      <c r="Z7" s="26">
        <f t="shared" si="0"/>
        <v>3.464</v>
      </c>
      <c r="AA7" s="26">
        <f t="shared" si="12"/>
        <v>16.056999999999999</v>
      </c>
      <c r="AB7" s="26">
        <v>7.6</v>
      </c>
      <c r="AC7" s="27">
        <f t="shared" si="1"/>
        <v>0.45578947368421052</v>
      </c>
      <c r="AD7" s="27">
        <f>AC7*$O$108*$G$115+AC7*(1-$O$108)</f>
        <v>0.33738917534788149</v>
      </c>
      <c r="AE7" s="27">
        <f t="shared" si="13"/>
        <v>1.5737092355991464</v>
      </c>
      <c r="AF7" s="28">
        <f t="shared" si="2"/>
        <v>2.5641577326438991</v>
      </c>
      <c r="AG7" s="28">
        <f t="shared" si="7"/>
        <v>1.1518654047857397</v>
      </c>
      <c r="AH7" s="2"/>
      <c r="AI7" s="2">
        <v>1971</v>
      </c>
      <c r="AJ7" s="3"/>
      <c r="AK7" s="3">
        <v>12053</v>
      </c>
      <c r="AL7" s="3"/>
      <c r="AM7" s="3"/>
      <c r="AN7" s="3">
        <f>AK7</f>
        <v>12053</v>
      </c>
      <c r="AO7" s="3">
        <f>AJ7+AN7</f>
        <v>12053</v>
      </c>
      <c r="AP7" s="3">
        <v>4720</v>
      </c>
      <c r="AQ7" s="2"/>
      <c r="AR7" s="2"/>
      <c r="AS7" s="2"/>
      <c r="AT7" t="s">
        <v>45</v>
      </c>
      <c r="AU7" s="2"/>
      <c r="AV7" s="2"/>
      <c r="AW7" s="2"/>
      <c r="AX7" s="2"/>
      <c r="AY7" s="2"/>
      <c r="AZ7" s="2"/>
      <c r="BA7" s="2"/>
      <c r="BB7" s="2"/>
      <c r="BC7" s="2"/>
      <c r="BE7" s="2"/>
    </row>
    <row r="8" spans="1:59" x14ac:dyDescent="0.3">
      <c r="A8" s="1">
        <v>1975</v>
      </c>
      <c r="B8" s="2"/>
      <c r="C8" s="2"/>
      <c r="D8" s="3"/>
      <c r="E8" s="3"/>
      <c r="F8" s="2"/>
      <c r="G8" s="2"/>
      <c r="H8" s="29"/>
      <c r="I8" s="30"/>
      <c r="J8" s="38">
        <f t="shared" si="8"/>
        <v>1.1712802768166091</v>
      </c>
      <c r="K8" s="29">
        <v>12.55</v>
      </c>
      <c r="L8" s="29">
        <f t="shared" si="3"/>
        <v>10.291648020654048</v>
      </c>
      <c r="M8" s="31">
        <f t="shared" si="4"/>
        <v>22.841648020654048</v>
      </c>
      <c r="N8" s="18">
        <v>18.37</v>
      </c>
      <c r="O8" s="18">
        <f t="shared" si="9"/>
        <v>0.80423268861289432</v>
      </c>
      <c r="P8" s="32"/>
      <c r="Q8" s="29">
        <f t="shared" si="10"/>
        <v>18.37</v>
      </c>
      <c r="R8" s="29">
        <f t="shared" si="14"/>
        <v>40.760000000000005</v>
      </c>
      <c r="S8" s="20">
        <v>52600000</v>
      </c>
      <c r="T8" s="20">
        <f t="shared" si="11"/>
        <v>1119569.0280715865</v>
      </c>
      <c r="U8" s="20">
        <f t="shared" si="5"/>
        <v>53719569.02807159</v>
      </c>
      <c r="V8" s="33">
        <f t="shared" si="6"/>
        <v>0.34196104571130514</v>
      </c>
      <c r="W8" s="33">
        <f t="shared" si="15"/>
        <v>0.76380487652471185</v>
      </c>
      <c r="X8" s="25"/>
      <c r="Y8" s="34"/>
      <c r="Z8" s="26">
        <f t="shared" si="0"/>
        <v>3.194</v>
      </c>
      <c r="AA8" s="26">
        <f t="shared" si="12"/>
        <v>19.250999999999998</v>
      </c>
      <c r="AB8" s="26">
        <v>7.58</v>
      </c>
      <c r="AC8" s="27">
        <f t="shared" si="1"/>
        <v>0.42137203166226911</v>
      </c>
      <c r="AD8" s="27">
        <f>AC8*$O$108*$G$115+AC8*(1-$O$108)</f>
        <v>0.31191234217860198</v>
      </c>
      <c r="AE8" s="27">
        <f t="shared" si="13"/>
        <v>1.8856215777777483</v>
      </c>
      <c r="AF8" s="28">
        <f t="shared" si="2"/>
        <v>2.3642955537138031</v>
      </c>
      <c r="AG8" s="28">
        <f t="shared" si="7"/>
        <v>1.1218167012530365</v>
      </c>
      <c r="AH8" s="2"/>
      <c r="AI8" s="2">
        <v>1972</v>
      </c>
      <c r="AJ8" s="3"/>
      <c r="AK8" s="3">
        <v>11878</v>
      </c>
      <c r="AL8" s="3"/>
      <c r="AM8" s="3"/>
      <c r="AN8" s="3">
        <f>AK8</f>
        <v>11878</v>
      </c>
      <c r="AO8" s="3">
        <f t="shared" ref="AO8:AO24" si="16">AJ8+AN8</f>
        <v>11878</v>
      </c>
      <c r="AP8" s="3">
        <v>4079</v>
      </c>
      <c r="AQ8" s="2"/>
      <c r="AR8" s="2"/>
      <c r="AS8" s="2">
        <v>1978</v>
      </c>
      <c r="AT8" s="3">
        <v>95900</v>
      </c>
      <c r="AU8" s="3">
        <f>AL14</f>
        <v>13200</v>
      </c>
      <c r="AV8" s="2"/>
      <c r="AW8" s="2"/>
      <c r="AX8" s="2"/>
      <c r="AY8" s="2"/>
      <c r="AZ8" s="2"/>
      <c r="BA8" s="2"/>
      <c r="BB8" s="2"/>
      <c r="BC8" s="2"/>
      <c r="BE8" s="2"/>
    </row>
    <row r="9" spans="1:59" x14ac:dyDescent="0.3">
      <c r="A9" s="1">
        <v>1976</v>
      </c>
      <c r="B9" s="2"/>
      <c r="C9" s="2"/>
      <c r="D9" s="3"/>
      <c r="E9" s="3"/>
      <c r="F9" s="2"/>
      <c r="G9" s="2"/>
      <c r="H9" s="29"/>
      <c r="I9" s="30"/>
      <c r="J9" s="38">
        <f t="shared" si="8"/>
        <v>0.69243027888446185</v>
      </c>
      <c r="K9" s="29">
        <v>21.24</v>
      </c>
      <c r="L9" s="29">
        <f t="shared" si="3"/>
        <v>17.417896729776249</v>
      </c>
      <c r="M9" s="31">
        <f t="shared" si="4"/>
        <v>38.657896729776247</v>
      </c>
      <c r="N9" s="18">
        <v>28.35</v>
      </c>
      <c r="O9" s="18">
        <f t="shared" si="9"/>
        <v>0.73335598669969571</v>
      </c>
      <c r="P9" s="32"/>
      <c r="Q9" s="29">
        <f t="shared" si="10"/>
        <v>28.35</v>
      </c>
      <c r="R9" s="29">
        <f t="shared" si="14"/>
        <v>69.110000000000014</v>
      </c>
      <c r="S9" s="20">
        <v>52798338</v>
      </c>
      <c r="T9" s="20">
        <f t="shared" si="11"/>
        <v>1135718.1543725745</v>
      </c>
      <c r="U9" s="20">
        <f t="shared" si="5"/>
        <v>53934056.154372573</v>
      </c>
      <c r="V9" s="33">
        <f t="shared" si="6"/>
        <v>0.52564190460393534</v>
      </c>
      <c r="W9" s="33">
        <f t="shared" si="15"/>
        <v>1.2894467811286472</v>
      </c>
      <c r="X9" s="25"/>
      <c r="Y9" s="34"/>
      <c r="Z9" s="26">
        <f t="shared" si="0"/>
        <v>3.2749999999999999</v>
      </c>
      <c r="AA9" s="26">
        <f t="shared" si="12"/>
        <v>22.525999999999996</v>
      </c>
      <c r="AB9" s="26">
        <v>7.57</v>
      </c>
      <c r="AC9" s="27">
        <f t="shared" si="1"/>
        <v>0.43262879788639363</v>
      </c>
      <c r="AD9" s="27">
        <f>AC9*$O$108*$G$115+AC9*(1-$O$108)</f>
        <v>0.32024494153141769</v>
      </c>
      <c r="AE9" s="27">
        <f t="shared" si="13"/>
        <v>2.2058665193091658</v>
      </c>
      <c r="AF9" s="28">
        <f t="shared" si="2"/>
        <v>2.4242542073928321</v>
      </c>
      <c r="AG9" s="28">
        <f t="shared" si="7"/>
        <v>0.91641973818051858</v>
      </c>
      <c r="AH9" s="2"/>
      <c r="AI9" s="2">
        <v>1973</v>
      </c>
      <c r="AJ9" s="3"/>
      <c r="AK9" s="3">
        <v>11878</v>
      </c>
      <c r="AL9" s="3"/>
      <c r="AM9" s="3"/>
      <c r="AN9" s="3">
        <f>AK9</f>
        <v>11878</v>
      </c>
      <c r="AO9" s="3">
        <f t="shared" si="16"/>
        <v>11878</v>
      </c>
      <c r="AP9" s="3">
        <v>3794</v>
      </c>
      <c r="AQ9" s="2"/>
      <c r="AR9" s="2"/>
      <c r="AS9" s="2">
        <v>1980</v>
      </c>
      <c r="AT9" s="3">
        <v>91213</v>
      </c>
      <c r="AU9" s="3">
        <f>AL16</f>
        <v>14200</v>
      </c>
      <c r="AV9" s="2"/>
      <c r="AW9" s="2"/>
      <c r="AX9" s="2"/>
      <c r="AY9" s="2"/>
      <c r="AZ9" s="2"/>
      <c r="BA9" s="2"/>
      <c r="BB9" s="2"/>
      <c r="BC9" s="2"/>
      <c r="BE9" s="2"/>
    </row>
    <row r="10" spans="1:59" x14ac:dyDescent="0.3">
      <c r="A10" s="1">
        <v>1977</v>
      </c>
      <c r="B10" s="2"/>
      <c r="C10" s="2"/>
      <c r="D10" s="3"/>
      <c r="E10" s="3"/>
      <c r="F10" s="2"/>
      <c r="G10" s="2"/>
      <c r="H10" s="29"/>
      <c r="I10" s="30"/>
      <c r="J10" s="38">
        <f t="shared" si="8"/>
        <v>0.2396421845574388</v>
      </c>
      <c r="K10" s="29">
        <v>26.33</v>
      </c>
      <c r="L10" s="29">
        <f t="shared" si="3"/>
        <v>21.591959552495695</v>
      </c>
      <c r="M10" s="31">
        <f t="shared" si="4"/>
        <v>47.921959552495693</v>
      </c>
      <c r="N10" s="18">
        <v>32.14</v>
      </c>
      <c r="O10" s="18">
        <f t="shared" si="9"/>
        <v>0.67067374331369978</v>
      </c>
      <c r="P10" s="32"/>
      <c r="Q10" s="29">
        <f t="shared" si="10"/>
        <v>32.14</v>
      </c>
      <c r="R10" s="29">
        <f t="shared" si="14"/>
        <v>101.25000000000001</v>
      </c>
      <c r="S10" s="20">
        <v>53019005</v>
      </c>
      <c r="T10" s="20">
        <f t="shared" si="11"/>
        <v>1152100.2223446397</v>
      </c>
      <c r="U10" s="20">
        <f t="shared" si="5"/>
        <v>54171105.222344637</v>
      </c>
      <c r="V10" s="33">
        <f t="shared" si="6"/>
        <v>0.59330522920072915</v>
      </c>
      <c r="W10" s="33">
        <f t="shared" si="15"/>
        <v>1.8827520103293764</v>
      </c>
      <c r="X10" s="25"/>
      <c r="Y10" s="34"/>
      <c r="Z10" s="26">
        <f t="shared" si="0"/>
        <v>3.1840000000000002</v>
      </c>
      <c r="AA10" s="26">
        <f t="shared" si="12"/>
        <v>25.709999999999997</v>
      </c>
      <c r="AB10" s="26">
        <v>7.57</v>
      </c>
      <c r="AC10" s="27">
        <f t="shared" si="1"/>
        <v>0.42060766182298548</v>
      </c>
      <c r="AD10" s="27">
        <f>AC10*$O$108*$G$115+AC10*(1-$O$108)</f>
        <v>0.311346532469018</v>
      </c>
      <c r="AE10" s="27">
        <f t="shared" si="13"/>
        <v>2.5172130517781839</v>
      </c>
      <c r="AF10" s="28">
        <f t="shared" si="2"/>
        <v>2.3568932507904665</v>
      </c>
      <c r="AG10" s="28">
        <f t="shared" si="7"/>
        <v>0.63446104144880744</v>
      </c>
      <c r="AH10" s="2"/>
      <c r="AI10" s="2">
        <v>1974</v>
      </c>
      <c r="AJ10" s="3"/>
      <c r="AK10" s="3">
        <v>11878</v>
      </c>
      <c r="AL10" s="3"/>
      <c r="AM10" s="3"/>
      <c r="AN10" s="3">
        <f>AK10</f>
        <v>11878</v>
      </c>
      <c r="AO10" s="3">
        <f t="shared" si="16"/>
        <v>11878</v>
      </c>
      <c r="AP10" s="3">
        <v>3464</v>
      </c>
      <c r="AQ10" s="2"/>
      <c r="AR10" s="2"/>
      <c r="AS10" s="2">
        <v>1982</v>
      </c>
      <c r="AT10" s="3">
        <v>91256</v>
      </c>
      <c r="AU10" s="3">
        <f>AL18</f>
        <v>14600</v>
      </c>
      <c r="AV10" s="2"/>
      <c r="AW10" s="2"/>
      <c r="AX10" s="2"/>
      <c r="AY10" s="2"/>
      <c r="AZ10" s="2"/>
      <c r="BA10" s="2"/>
      <c r="BB10" s="2"/>
      <c r="BC10" s="2"/>
      <c r="BE10" s="2"/>
    </row>
    <row r="11" spans="1:59" x14ac:dyDescent="0.3">
      <c r="A11" s="1">
        <v>1978</v>
      </c>
      <c r="B11" s="2"/>
      <c r="C11" s="2"/>
      <c r="D11" s="3"/>
      <c r="E11" s="3"/>
      <c r="F11" s="2"/>
      <c r="G11" s="2"/>
      <c r="H11" s="29"/>
      <c r="I11" s="30"/>
      <c r="J11" s="38">
        <f t="shared" si="8"/>
        <v>0.12381314090391204</v>
      </c>
      <c r="K11" s="29">
        <v>29.59</v>
      </c>
      <c r="L11" s="29">
        <f t="shared" si="3"/>
        <v>24.265327882960417</v>
      </c>
      <c r="M11" s="31">
        <f t="shared" si="4"/>
        <v>53.855327882960417</v>
      </c>
      <c r="N11" s="18">
        <v>33.119999999999997</v>
      </c>
      <c r="O11" s="18">
        <f t="shared" si="9"/>
        <v>0.61498093692748668</v>
      </c>
      <c r="P11" s="32"/>
      <c r="Q11" s="29">
        <f t="shared" si="10"/>
        <v>33.119999999999997</v>
      </c>
      <c r="R11" s="29">
        <f t="shared" si="14"/>
        <v>134.37</v>
      </c>
      <c r="S11" s="20">
        <v>53271566</v>
      </c>
      <c r="T11" s="20">
        <f t="shared" si="11"/>
        <v>1168718.5920347043</v>
      </c>
      <c r="U11" s="20">
        <f t="shared" si="5"/>
        <v>54440284.592034705</v>
      </c>
      <c r="V11" s="33">
        <f t="shared" si="6"/>
        <v>0.60837301362759344</v>
      </c>
      <c r="W11" s="33">
        <f t="shared" si="15"/>
        <v>2.49112502395697</v>
      </c>
      <c r="X11" s="25"/>
      <c r="Y11" s="34"/>
      <c r="Z11" s="26">
        <f t="shared" si="0"/>
        <v>3.4670000000000001</v>
      </c>
      <c r="AA11" s="26">
        <f t="shared" si="12"/>
        <v>29.176999999999996</v>
      </c>
      <c r="AB11" s="26">
        <v>7.56</v>
      </c>
      <c r="AC11" s="27">
        <f t="shared" si="1"/>
        <v>0.45859788359788362</v>
      </c>
      <c r="AD11" s="27">
        <f>AC11*$O$108*$G$115+AC11*(1-$O$108)</f>
        <v>0.33946804543927256</v>
      </c>
      <c r="AE11" s="27">
        <f t="shared" si="13"/>
        <v>2.8566810972174563</v>
      </c>
      <c r="AF11" s="28">
        <f>AD11*AB11</f>
        <v>2.5663784235209004</v>
      </c>
      <c r="AG11" s="28">
        <f t="shared" si="7"/>
        <v>0.36555607326048634</v>
      </c>
      <c r="AH11" s="2"/>
      <c r="AI11" s="2">
        <v>1975</v>
      </c>
      <c r="AJ11" s="3"/>
      <c r="AK11" s="3">
        <v>11878</v>
      </c>
      <c r="AL11" s="3"/>
      <c r="AM11" s="3"/>
      <c r="AN11" s="3">
        <f>AK11</f>
        <v>11878</v>
      </c>
      <c r="AO11" s="3">
        <f t="shared" si="16"/>
        <v>11878</v>
      </c>
      <c r="AP11" s="3">
        <v>3194</v>
      </c>
      <c r="AQ11" s="2"/>
      <c r="AR11" s="2"/>
      <c r="AS11" s="2"/>
      <c r="AT11" s="3">
        <f>SUM(AT8:AT10)</f>
        <v>278369</v>
      </c>
      <c r="AU11" s="3">
        <f>SUM(AU8:AU10)</f>
        <v>42000</v>
      </c>
      <c r="AV11" s="2"/>
      <c r="AW11" s="2"/>
      <c r="AX11" s="2"/>
      <c r="AY11" s="2"/>
      <c r="AZ11" s="2"/>
      <c r="BA11" s="2"/>
      <c r="BB11" s="2"/>
      <c r="BC11" s="2"/>
      <c r="BE11" s="2"/>
    </row>
    <row r="12" spans="1:59" x14ac:dyDescent="0.3">
      <c r="A12" s="1">
        <v>1979</v>
      </c>
      <c r="B12" s="2"/>
      <c r="C12" s="2"/>
      <c r="D12" s="3"/>
      <c r="E12" s="3"/>
      <c r="F12" s="2"/>
      <c r="G12" s="2"/>
      <c r="H12" s="29"/>
      <c r="I12" s="30"/>
      <c r="J12" s="38">
        <f t="shared" si="8"/>
        <v>9.9357891179452595E-2</v>
      </c>
      <c r="K12" s="29">
        <v>32.53</v>
      </c>
      <c r="L12" s="29">
        <f>+M12-K12</f>
        <v>26.676279690189332</v>
      </c>
      <c r="M12" s="31">
        <f t="shared" si="4"/>
        <v>59.206279690189334</v>
      </c>
      <c r="N12" s="18">
        <v>32.869999999999997</v>
      </c>
      <c r="O12" s="18">
        <f t="shared" si="9"/>
        <v>0.55517759555236268</v>
      </c>
      <c r="P12" s="32"/>
      <c r="Q12" s="29">
        <f t="shared" si="10"/>
        <v>32.869999999999997</v>
      </c>
      <c r="R12" s="29">
        <f t="shared" si="14"/>
        <v>167.24</v>
      </c>
      <c r="S12" s="20">
        <v>53481073</v>
      </c>
      <c r="T12" s="20">
        <f t="shared" si="11"/>
        <v>1185576.6719563957</v>
      </c>
      <c r="U12" s="20">
        <f t="shared" si="5"/>
        <v>54666649.671956398</v>
      </c>
      <c r="V12" s="33">
        <f t="shared" si="6"/>
        <v>0.60128067473032054</v>
      </c>
      <c r="W12" s="33">
        <f t="shared" si="15"/>
        <v>3.0924056986872905</v>
      </c>
      <c r="X12" s="25"/>
      <c r="Y12" s="34"/>
      <c r="Z12" s="26">
        <f t="shared" si="0"/>
        <v>3.9710000000000001</v>
      </c>
      <c r="AA12" s="26">
        <f t="shared" si="12"/>
        <v>33.147999999999996</v>
      </c>
      <c r="AB12" s="26">
        <v>7.55</v>
      </c>
      <c r="AC12" s="27">
        <f t="shared" si="1"/>
        <v>0.52596026490066228</v>
      </c>
      <c r="AD12" s="27">
        <f>AC12*$O$108*$G$115+AC12*(1-$O$108)</f>
        <v>0.38933172064332183</v>
      </c>
      <c r="AE12" s="27">
        <f t="shared" si="13"/>
        <v>3.2460128178607781</v>
      </c>
      <c r="AF12" s="28">
        <f t="shared" ref="AF12:AF56" si="17">AD12*AB12</f>
        <v>2.9394544908570799</v>
      </c>
      <c r="AG12" s="28">
        <f t="shared" si="7"/>
        <v>0.15360711917348757</v>
      </c>
      <c r="AH12" s="2"/>
      <c r="AI12" s="2">
        <v>1976</v>
      </c>
      <c r="AJ12" s="3"/>
      <c r="AK12" s="3"/>
      <c r="AL12" s="3"/>
      <c r="AM12" s="3"/>
      <c r="AN12" s="3">
        <f>(AL13+AK11)/2</f>
        <v>12189</v>
      </c>
      <c r="AO12" s="3">
        <f t="shared" si="16"/>
        <v>12189</v>
      </c>
      <c r="AP12" s="3">
        <v>3275</v>
      </c>
      <c r="AQ12" s="2"/>
      <c r="AR12" s="2"/>
      <c r="AS12" s="2"/>
      <c r="AT12" s="2"/>
      <c r="AU12" s="39">
        <f>AU11/AT11</f>
        <v>0.15087886941433853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G12" s="2"/>
    </row>
    <row r="13" spans="1:59" x14ac:dyDescent="0.3">
      <c r="A13" s="1">
        <v>1980</v>
      </c>
      <c r="B13" s="2">
        <v>4.9770000000000003</v>
      </c>
      <c r="C13" s="2"/>
      <c r="D13" s="3"/>
      <c r="E13" s="3"/>
      <c r="F13" s="2"/>
      <c r="G13" s="2"/>
      <c r="H13" s="38">
        <f t="shared" ref="H13:H28" si="18">K13/B13/1000</f>
        <v>7.0042194092827005E-3</v>
      </c>
      <c r="I13" s="30"/>
      <c r="J13" s="38">
        <f t="shared" si="8"/>
        <v>7.1626191208115531E-2</v>
      </c>
      <c r="K13" s="29">
        <v>34.86</v>
      </c>
      <c r="L13" s="29">
        <f t="shared" ref="L13:L19" si="19">M13-K13</f>
        <v>28.587000000000003</v>
      </c>
      <c r="M13" s="18">
        <v>63.447000000000003</v>
      </c>
      <c r="N13" s="18">
        <v>31.02</v>
      </c>
      <c r="O13" s="18">
        <f t="shared" si="9"/>
        <v>0.48891200529575862</v>
      </c>
      <c r="P13" s="32"/>
      <c r="Q13" s="29">
        <f t="shared" si="10"/>
        <v>31.02</v>
      </c>
      <c r="R13" s="29">
        <f t="shared" si="14"/>
        <v>198.26000000000002</v>
      </c>
      <c r="S13" s="20">
        <v>53731387</v>
      </c>
      <c r="T13" s="20">
        <f t="shared" si="11"/>
        <v>1202677.9197891506</v>
      </c>
      <c r="U13" s="20">
        <f t="shared" si="5"/>
        <v>54934064.91978915</v>
      </c>
      <c r="V13" s="33">
        <f t="shared" si="6"/>
        <v>0.5646769458130072</v>
      </c>
      <c r="W13" s="33">
        <f t="shared" si="15"/>
        <v>3.6570826445002975</v>
      </c>
      <c r="X13" s="25"/>
      <c r="Y13" s="34"/>
      <c r="Z13" s="26">
        <f t="shared" si="0"/>
        <v>3.7959999999999998</v>
      </c>
      <c r="AA13" s="26">
        <f t="shared" si="12"/>
        <v>36.943999999999996</v>
      </c>
      <c r="AB13" s="26">
        <v>7.55</v>
      </c>
      <c r="AC13" s="27">
        <f t="shared" si="1"/>
        <v>0.5027814569536424</v>
      </c>
      <c r="AD13" s="27">
        <f>AC13*$O$108*$G$115+AC13*(1-$O$108)</f>
        <v>0.37217406486075288</v>
      </c>
      <c r="AE13" s="27">
        <f t="shared" si="13"/>
        <v>3.6181868827215311</v>
      </c>
      <c r="AF13" s="28">
        <f t="shared" si="17"/>
        <v>2.8099141896986843</v>
      </c>
      <c r="AG13" s="28">
        <f t="shared" si="7"/>
        <v>-3.8895761778766413E-2</v>
      </c>
      <c r="AH13" s="2"/>
      <c r="AI13" s="2">
        <v>1977</v>
      </c>
      <c r="AJ13" s="3"/>
      <c r="AK13" s="3"/>
      <c r="AL13" s="3">
        <v>12500</v>
      </c>
      <c r="AM13" s="3"/>
      <c r="AN13" s="3">
        <f>AL13</f>
        <v>12500</v>
      </c>
      <c r="AO13" s="3">
        <f t="shared" si="16"/>
        <v>12500</v>
      </c>
      <c r="AP13" s="3">
        <v>3184</v>
      </c>
      <c r="AQ13" s="2"/>
      <c r="AR13" s="2"/>
      <c r="AS13" s="2">
        <v>1983</v>
      </c>
      <c r="AT13" s="3">
        <v>112642</v>
      </c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G13" s="2"/>
    </row>
    <row r="14" spans="1:59" x14ac:dyDescent="0.3">
      <c r="A14" s="1">
        <v>1981</v>
      </c>
      <c r="B14" s="2">
        <v>6.1470000000000002</v>
      </c>
      <c r="C14" s="40">
        <f t="shared" ref="C14:C41" si="20">B14/B13-1</f>
        <v>0.2350813743218807</v>
      </c>
      <c r="D14" s="3"/>
      <c r="E14" s="3"/>
      <c r="F14" s="2"/>
      <c r="G14" s="2">
        <v>2.7850000000000001</v>
      </c>
      <c r="H14" s="38">
        <f t="shared" si="18"/>
        <v>7.515861395802831E-3</v>
      </c>
      <c r="I14" s="30"/>
      <c r="J14" s="18"/>
      <c r="K14" s="18">
        <v>46.2</v>
      </c>
      <c r="L14" s="29">
        <f t="shared" si="19"/>
        <v>10.634999999999998</v>
      </c>
      <c r="M14" s="18">
        <v>56.835000000000001</v>
      </c>
      <c r="N14" s="18">
        <v>24.5</v>
      </c>
      <c r="O14" s="18">
        <f t="shared" si="9"/>
        <v>0.43107240256883961</v>
      </c>
      <c r="P14" s="32"/>
      <c r="Q14" s="29">
        <f t="shared" si="10"/>
        <v>24.5</v>
      </c>
      <c r="R14" s="29">
        <f t="shared" si="14"/>
        <v>222.76000000000002</v>
      </c>
      <c r="S14" s="20">
        <v>54028630</v>
      </c>
      <c r="T14" s="20">
        <f t="shared" si="11"/>
        <v>1220025.8430874026</v>
      </c>
      <c r="U14" s="20">
        <f t="shared" si="5"/>
        <v>55248655.843087405</v>
      </c>
      <c r="V14" s="33">
        <f t="shared" si="6"/>
        <v>0.44344970255172983</v>
      </c>
      <c r="W14" s="33">
        <f t="shared" si="15"/>
        <v>4.1005323470520274</v>
      </c>
      <c r="X14" s="25"/>
      <c r="Y14" s="34"/>
      <c r="Z14" s="26">
        <f t="shared" si="0"/>
        <v>6.181</v>
      </c>
      <c r="AA14" s="26">
        <f t="shared" si="12"/>
        <v>43.124999999999993</v>
      </c>
      <c r="AB14" s="26">
        <v>7.57</v>
      </c>
      <c r="AC14" s="27">
        <f t="shared" si="1"/>
        <v>0.81651254953764862</v>
      </c>
      <c r="AD14" s="27">
        <f>AC14*$O$108*$G$115+AC14*(1-$O$108)</f>
        <v>0.60440732323837953</v>
      </c>
      <c r="AE14" s="27">
        <f t="shared" si="13"/>
        <v>4.2225942059599104</v>
      </c>
      <c r="AF14" s="28">
        <f t="shared" si="17"/>
        <v>4.5753634369145333</v>
      </c>
      <c r="AG14" s="28">
        <f t="shared" si="7"/>
        <v>0.12206185890788301</v>
      </c>
      <c r="AH14" s="2"/>
      <c r="AI14" s="2">
        <v>1978</v>
      </c>
      <c r="AJ14" s="3">
        <v>900</v>
      </c>
      <c r="AK14" s="3"/>
      <c r="AL14" s="3">
        <v>13200</v>
      </c>
      <c r="AM14" s="3"/>
      <c r="AN14" s="3">
        <f>AL14</f>
        <v>13200</v>
      </c>
      <c r="AO14" s="3">
        <f t="shared" si="16"/>
        <v>14100</v>
      </c>
      <c r="AP14" s="3">
        <v>3467</v>
      </c>
      <c r="AQ14" s="2"/>
      <c r="AR14" s="2"/>
      <c r="AS14" s="2">
        <v>1984</v>
      </c>
      <c r="AT14" s="3">
        <v>115002</v>
      </c>
      <c r="AU14" s="3"/>
      <c r="AV14" s="2"/>
      <c r="AW14" s="2"/>
      <c r="AX14" s="2"/>
      <c r="AY14" s="2"/>
      <c r="AZ14" s="2"/>
      <c r="BA14" s="2"/>
      <c r="BB14" s="2"/>
      <c r="BC14" s="2"/>
      <c r="BD14" s="2"/>
      <c r="BF14" s="2"/>
    </row>
    <row r="15" spans="1:59" x14ac:dyDescent="0.3">
      <c r="A15" s="1">
        <v>1982</v>
      </c>
      <c r="B15" s="2">
        <v>7.8609999999999998</v>
      </c>
      <c r="C15" s="40">
        <f t="shared" si="20"/>
        <v>0.27883520416463314</v>
      </c>
      <c r="D15" s="3"/>
      <c r="E15" s="41">
        <f>20.8/6.55</f>
        <v>3.1755725190839699</v>
      </c>
      <c r="F15" s="2"/>
      <c r="G15" s="2"/>
      <c r="H15" s="38">
        <f t="shared" si="18"/>
        <v>1.0697112326675995E-2</v>
      </c>
      <c r="I15" s="30"/>
      <c r="J15" s="18"/>
      <c r="K15" s="18">
        <v>84.09</v>
      </c>
      <c r="L15" s="29">
        <f t="shared" si="19"/>
        <v>-2.0000000000095497E-3</v>
      </c>
      <c r="M15" s="18">
        <v>84.087999999999994</v>
      </c>
      <c r="N15" s="18">
        <v>32.42</v>
      </c>
      <c r="O15" s="18">
        <f t="shared" si="9"/>
        <v>0.38554847302825618</v>
      </c>
      <c r="P15" s="32"/>
      <c r="Q15" s="29">
        <f t="shared" si="10"/>
        <v>32.42</v>
      </c>
      <c r="R15" s="29">
        <f t="shared" si="14"/>
        <v>255.18</v>
      </c>
      <c r="S15" s="20">
        <v>54335000</v>
      </c>
      <c r="T15" s="20">
        <f t="shared" ref="T15:T55" si="21">U15-S15</f>
        <v>1237624</v>
      </c>
      <c r="U15" s="20">
        <v>55572624</v>
      </c>
      <c r="V15" s="33">
        <f t="shared" si="6"/>
        <v>0.58338076676026673</v>
      </c>
      <c r="W15" s="33">
        <f t="shared" si="15"/>
        <v>4.6839131138122942</v>
      </c>
      <c r="X15" s="25"/>
      <c r="Y15" s="34"/>
      <c r="Z15" s="26">
        <f t="shared" si="0"/>
        <v>5.4029999999999996</v>
      </c>
      <c r="AA15" s="26">
        <f t="shared" si="12"/>
        <v>48.527999999999992</v>
      </c>
      <c r="AB15" s="26">
        <v>7.57</v>
      </c>
      <c r="AC15" s="27">
        <f t="shared" si="1"/>
        <v>0.71373844121532359</v>
      </c>
      <c r="AD15" s="27">
        <f>AC15*$O$108*$G$115+AC15*(1-$O$108)</f>
        <v>0.52833081499061063</v>
      </c>
      <c r="AE15" s="27">
        <f t="shared" si="13"/>
        <v>4.7509250209505209</v>
      </c>
      <c r="AF15" s="28">
        <f t="shared" si="17"/>
        <v>3.9994642694789224</v>
      </c>
      <c r="AG15" s="28">
        <f t="shared" si="7"/>
        <v>6.701190713822669E-2</v>
      </c>
      <c r="AH15" s="2"/>
      <c r="AI15" s="2">
        <v>1979</v>
      </c>
      <c r="AJ15" s="3">
        <v>3046</v>
      </c>
      <c r="AK15" s="3"/>
      <c r="AL15" s="3"/>
      <c r="AM15" s="3"/>
      <c r="AN15" s="3">
        <f>(AL16+AL14)/2</f>
        <v>13700</v>
      </c>
      <c r="AO15" s="3">
        <f t="shared" si="16"/>
        <v>16746</v>
      </c>
      <c r="AP15" s="3">
        <v>3971</v>
      </c>
      <c r="AQ15" s="2"/>
      <c r="AR15" s="2"/>
      <c r="AS15" s="2">
        <v>1985</v>
      </c>
      <c r="AT15" s="3">
        <v>119180</v>
      </c>
      <c r="AU15" s="3"/>
      <c r="AV15" s="2"/>
      <c r="AW15" s="2"/>
      <c r="AX15" s="2"/>
      <c r="AY15" s="2"/>
      <c r="AZ15" s="2"/>
      <c r="BA15" s="2"/>
      <c r="BB15" s="2"/>
      <c r="BC15" s="2"/>
      <c r="BD15" s="2"/>
      <c r="BF15" s="2"/>
    </row>
    <row r="16" spans="1:59" x14ac:dyDescent="0.3">
      <c r="A16" s="1">
        <v>1983</v>
      </c>
      <c r="B16" s="2">
        <v>8.8789999999999996</v>
      </c>
      <c r="C16" s="40">
        <f t="shared" si="20"/>
        <v>0.12950006360513933</v>
      </c>
      <c r="D16" s="3"/>
      <c r="E16" s="3"/>
      <c r="F16" s="2"/>
      <c r="G16" s="2"/>
      <c r="H16" s="38">
        <f t="shared" si="18"/>
        <v>8.8298231782858432E-3</v>
      </c>
      <c r="I16" s="30"/>
      <c r="J16" s="18"/>
      <c r="K16" s="18">
        <v>78.400000000000006</v>
      </c>
      <c r="L16" s="29">
        <f t="shared" si="19"/>
        <v>0</v>
      </c>
      <c r="M16" s="18">
        <v>78.400000000000006</v>
      </c>
      <c r="N16" s="18">
        <v>27.57</v>
      </c>
      <c r="O16" s="18">
        <f t="shared" si="9"/>
        <v>0.35165816326530608</v>
      </c>
      <c r="P16" s="32"/>
      <c r="Q16" s="29">
        <f t="shared" si="10"/>
        <v>27.57</v>
      </c>
      <c r="R16" s="29">
        <f t="shared" si="14"/>
        <v>282.75</v>
      </c>
      <c r="S16" s="20">
        <v>54649984</v>
      </c>
      <c r="T16" s="20">
        <f t="shared" si="21"/>
        <v>1255476</v>
      </c>
      <c r="U16" s="20">
        <v>55905460</v>
      </c>
      <c r="V16" s="33">
        <f t="shared" si="6"/>
        <v>0.49315397816241918</v>
      </c>
      <c r="W16" s="33">
        <f t="shared" si="15"/>
        <v>5.1770670919747133</v>
      </c>
      <c r="X16" s="25"/>
      <c r="Y16" s="34"/>
      <c r="Z16" s="26">
        <f t="shared" si="0"/>
        <v>7.3390000000000004</v>
      </c>
      <c r="AA16" s="26">
        <f t="shared" si="12"/>
        <v>55.86699999999999</v>
      </c>
      <c r="AB16" s="26">
        <v>7.56</v>
      </c>
      <c r="AC16" s="27">
        <f t="shared" si="1"/>
        <v>0.97076719576719583</v>
      </c>
      <c r="AD16" s="27">
        <f>AC16*$O$108*$G$115+AC16*(1-$O$108)</f>
        <v>0.71859128511070702</v>
      </c>
      <c r="AE16" s="27">
        <f t="shared" si="13"/>
        <v>5.4695163060612284</v>
      </c>
      <c r="AF16" s="28">
        <f t="shared" si="17"/>
        <v>5.4325501154369444</v>
      </c>
      <c r="AG16" s="28">
        <f t="shared" si="7"/>
        <v>0.29244921408651514</v>
      </c>
      <c r="AH16" s="2"/>
      <c r="AI16" s="2">
        <v>1980</v>
      </c>
      <c r="AJ16" s="3">
        <v>2823</v>
      </c>
      <c r="AK16" s="3"/>
      <c r="AL16" s="3">
        <v>14200</v>
      </c>
      <c r="AM16" s="3"/>
      <c r="AN16" s="3">
        <f>AL16</f>
        <v>14200</v>
      </c>
      <c r="AO16" s="3">
        <f t="shared" si="16"/>
        <v>17023</v>
      </c>
      <c r="AP16" s="3">
        <v>3796</v>
      </c>
      <c r="AQ16" s="2"/>
      <c r="AR16" s="2"/>
      <c r="AS16" s="2">
        <v>1986</v>
      </c>
      <c r="AT16" s="3">
        <v>157530</v>
      </c>
      <c r="AU16" s="3"/>
      <c r="AV16" s="2"/>
      <c r="AW16" s="2"/>
      <c r="AX16" s="2"/>
      <c r="AY16" s="2"/>
      <c r="AZ16" s="2"/>
      <c r="BA16" s="2"/>
      <c r="BB16" s="2"/>
      <c r="BC16" s="2"/>
      <c r="BD16" s="2"/>
      <c r="BF16" s="2"/>
    </row>
    <row r="17" spans="1:58" x14ac:dyDescent="0.3">
      <c r="A17" s="1">
        <v>1984</v>
      </c>
      <c r="B17" s="2">
        <v>9.8640000000000008</v>
      </c>
      <c r="C17" s="40">
        <f t="shared" si="20"/>
        <v>0.11093591620678023</v>
      </c>
      <c r="D17" s="3"/>
      <c r="E17" s="3"/>
      <c r="F17" s="2"/>
      <c r="G17" s="2"/>
      <c r="H17" s="38">
        <f t="shared" si="18"/>
        <v>7.1573398215733974E-3</v>
      </c>
      <c r="I17" s="30"/>
      <c r="J17" s="18"/>
      <c r="K17" s="18">
        <v>70.599999999999994</v>
      </c>
      <c r="L17" s="29">
        <f t="shared" si="19"/>
        <v>19.897000000000006</v>
      </c>
      <c r="M17" s="18">
        <v>90.497</v>
      </c>
      <c r="N17" s="18">
        <v>29.63</v>
      </c>
      <c r="O17" s="18">
        <f t="shared" si="9"/>
        <v>0.32741416842547266</v>
      </c>
      <c r="P17" s="32"/>
      <c r="Q17" s="29">
        <f t="shared" si="10"/>
        <v>29.63</v>
      </c>
      <c r="R17" s="29">
        <f t="shared" si="14"/>
        <v>312.38</v>
      </c>
      <c r="S17" s="20">
        <v>54894854</v>
      </c>
      <c r="T17" s="20">
        <f t="shared" si="21"/>
        <v>1271321</v>
      </c>
      <c r="U17" s="20">
        <v>56166175</v>
      </c>
      <c r="V17" s="33">
        <f t="shared" si="6"/>
        <v>0.52754170993484961</v>
      </c>
      <c r="W17" s="33">
        <f t="shared" si="15"/>
        <v>5.7046088019095631</v>
      </c>
      <c r="X17" s="25"/>
      <c r="Y17" s="34"/>
      <c r="Z17" s="26">
        <f t="shared" si="0"/>
        <v>6.9450000000000003</v>
      </c>
      <c r="AA17" s="26">
        <f t="shared" si="12"/>
        <v>62.811999999999991</v>
      </c>
      <c r="AB17" s="26">
        <v>7.56</v>
      </c>
      <c r="AC17" s="27">
        <f t="shared" si="1"/>
        <v>0.91865079365079372</v>
      </c>
      <c r="AD17" s="27">
        <f>AC17*$O$108*$G$115+AC17*(1-$O$108)</f>
        <v>0.68001314553670256</v>
      </c>
      <c r="AE17" s="27">
        <f t="shared" si="13"/>
        <v>6.1495294515979309</v>
      </c>
      <c r="AF17" s="28">
        <f t="shared" si="17"/>
        <v>5.140899380257471</v>
      </c>
      <c r="AG17" s="28">
        <f t="shared" si="7"/>
        <v>0.44492064968836775</v>
      </c>
      <c r="AH17" s="2"/>
      <c r="AI17" s="2">
        <v>1981</v>
      </c>
      <c r="AJ17" s="3">
        <v>15201</v>
      </c>
      <c r="AK17" s="3"/>
      <c r="AL17" s="3"/>
      <c r="AM17" s="3"/>
      <c r="AN17" s="3">
        <f>(AL18+AL16)/2</f>
        <v>14400</v>
      </c>
      <c r="AO17" s="3">
        <f t="shared" si="16"/>
        <v>29601</v>
      </c>
      <c r="AP17" s="3">
        <v>6181</v>
      </c>
      <c r="AQ17" s="2"/>
      <c r="AR17" s="2"/>
      <c r="AS17" s="2">
        <v>1987</v>
      </c>
      <c r="AT17" s="3">
        <v>162070</v>
      </c>
      <c r="AU17" s="3"/>
      <c r="AV17" s="2"/>
      <c r="AW17" s="2"/>
      <c r="AX17" s="2"/>
      <c r="AY17" s="2"/>
      <c r="AZ17" s="2"/>
      <c r="BA17" s="2"/>
      <c r="BB17" s="2"/>
      <c r="BC17" s="2"/>
      <c r="BD17" s="2"/>
      <c r="BF17" s="2"/>
    </row>
    <row r="18" spans="1:58" x14ac:dyDescent="0.3">
      <c r="A18" s="1">
        <v>1985</v>
      </c>
      <c r="B18" s="2">
        <v>10.548999999999999</v>
      </c>
      <c r="C18" s="40">
        <f t="shared" si="20"/>
        <v>6.944444444444442E-2</v>
      </c>
      <c r="D18" s="3"/>
      <c r="E18" s="3"/>
      <c r="F18" s="2"/>
      <c r="G18" s="2"/>
      <c r="H18" s="38">
        <f t="shared" si="18"/>
        <v>9.1108161911081613E-3</v>
      </c>
      <c r="I18" s="30"/>
      <c r="J18" s="18"/>
      <c r="K18" s="18">
        <v>96.11</v>
      </c>
      <c r="L18" s="29">
        <f t="shared" si="19"/>
        <v>16.100999999999999</v>
      </c>
      <c r="M18" s="18">
        <v>112.211</v>
      </c>
      <c r="N18" s="18">
        <v>34.72</v>
      </c>
      <c r="O18" s="18">
        <f t="shared" si="9"/>
        <v>0.30941708032189358</v>
      </c>
      <c r="P18" s="32"/>
      <c r="Q18" s="29">
        <f t="shared" si="10"/>
        <v>34.72</v>
      </c>
      <c r="R18" s="29">
        <f t="shared" si="14"/>
        <v>347.1</v>
      </c>
      <c r="S18" s="20">
        <v>55157303</v>
      </c>
      <c r="T18" s="20">
        <f t="shared" si="21"/>
        <v>1287445</v>
      </c>
      <c r="U18" s="20">
        <v>56444748</v>
      </c>
      <c r="V18" s="33">
        <f t="shared" si="6"/>
        <v>0.61511480217787495</v>
      </c>
      <c r="W18" s="33">
        <f t="shared" si="15"/>
        <v>6.3197236040874376</v>
      </c>
      <c r="X18" s="25"/>
      <c r="Y18" s="34"/>
      <c r="Z18" s="26">
        <f t="shared" si="0"/>
        <v>11.920999999999999</v>
      </c>
      <c r="AA18" s="26">
        <f t="shared" si="12"/>
        <v>74.73299999999999</v>
      </c>
      <c r="AB18" s="26">
        <v>7.56</v>
      </c>
      <c r="AC18" s="27">
        <f t="shared" si="1"/>
        <v>1.5768518518518519</v>
      </c>
      <c r="AD18" s="27">
        <f>AC18*$O$108*$G$115+AC18*(1-$O$108)</f>
        <v>1.1672335072632154</v>
      </c>
      <c r="AE18" s="27">
        <f t="shared" si="13"/>
        <v>7.3167629588611458</v>
      </c>
      <c r="AF18" s="28">
        <f t="shared" si="17"/>
        <v>8.8242853149099076</v>
      </c>
      <c r="AG18" s="28">
        <f t="shared" si="7"/>
        <v>0.9970393547737082</v>
      </c>
      <c r="AH18" s="2"/>
      <c r="AI18" s="2">
        <v>1982</v>
      </c>
      <c r="AJ18" s="3">
        <v>12681</v>
      </c>
      <c r="AK18" s="3"/>
      <c r="AL18" s="3">
        <v>14600</v>
      </c>
      <c r="AM18" s="3"/>
      <c r="AN18" s="3">
        <f>AL18</f>
        <v>14600</v>
      </c>
      <c r="AO18" s="3">
        <f t="shared" si="16"/>
        <v>27281</v>
      </c>
      <c r="AP18" s="3">
        <v>5403</v>
      </c>
      <c r="AQ18" s="2"/>
      <c r="AR18" s="2"/>
      <c r="AS18" s="2">
        <v>1988</v>
      </c>
      <c r="AT18" s="3">
        <v>169720</v>
      </c>
      <c r="AU18" s="3"/>
      <c r="AV18" s="2"/>
      <c r="AW18" s="2"/>
      <c r="AX18" s="2"/>
      <c r="AY18" s="2"/>
      <c r="AZ18" s="2"/>
      <c r="BA18" s="2"/>
      <c r="BB18" s="2"/>
      <c r="BC18" s="2"/>
      <c r="BD18" s="2"/>
      <c r="BF18" s="2"/>
    </row>
    <row r="19" spans="1:58" x14ac:dyDescent="0.3">
      <c r="A19" s="1">
        <v>1986</v>
      </c>
      <c r="B19" s="2">
        <v>12.135999999999999</v>
      </c>
      <c r="C19" s="40">
        <f t="shared" si="20"/>
        <v>0.1504408000758366</v>
      </c>
      <c r="D19" s="3"/>
      <c r="E19" s="3"/>
      <c r="F19" s="2"/>
      <c r="G19" s="2"/>
      <c r="H19" s="38">
        <f t="shared" si="18"/>
        <v>9.8434410019775879E-3</v>
      </c>
      <c r="I19" s="30"/>
      <c r="J19" s="18"/>
      <c r="K19" s="18">
        <v>119.46</v>
      </c>
      <c r="L19" s="29">
        <f t="shared" si="19"/>
        <v>25.378</v>
      </c>
      <c r="M19" s="18">
        <v>144.83799999999999</v>
      </c>
      <c r="N19" s="18">
        <v>43.66</v>
      </c>
      <c r="O19" s="18">
        <f t="shared" si="9"/>
        <v>0.30144022977395435</v>
      </c>
      <c r="P19" s="32"/>
      <c r="Q19" s="29">
        <f t="shared" si="10"/>
        <v>43.66</v>
      </c>
      <c r="R19" s="29">
        <f t="shared" si="14"/>
        <v>390.76</v>
      </c>
      <c r="S19" s="20">
        <v>55411238</v>
      </c>
      <c r="T19" s="20">
        <f t="shared" si="21"/>
        <v>1308697</v>
      </c>
      <c r="U19" s="20">
        <v>56719935</v>
      </c>
      <c r="V19" s="33">
        <f t="shared" si="6"/>
        <v>0.7697470034124686</v>
      </c>
      <c r="W19" s="33">
        <f t="shared" si="15"/>
        <v>7.0894706074999059</v>
      </c>
      <c r="X19" s="25"/>
      <c r="Y19" s="34"/>
      <c r="Z19" s="26">
        <f t="shared" si="0"/>
        <v>13.31</v>
      </c>
      <c r="AA19" s="26">
        <f t="shared" si="12"/>
        <v>88.042999999999992</v>
      </c>
      <c r="AB19" s="26">
        <v>7.57</v>
      </c>
      <c r="AC19" s="27">
        <f t="shared" si="1"/>
        <v>1.7582562747688244</v>
      </c>
      <c r="AD19" s="27">
        <f>AC19*$O$108*$G$115+AC19*(1-$O$108)</f>
        <v>1.3015145562696699</v>
      </c>
      <c r="AE19" s="27">
        <f t="shared" si="13"/>
        <v>8.6182775151308153</v>
      </c>
      <c r="AF19" s="28">
        <f t="shared" si="17"/>
        <v>9.8524651909614018</v>
      </c>
      <c r="AG19" s="28">
        <f t="shared" si="7"/>
        <v>1.5288069076309094</v>
      </c>
      <c r="AH19" s="2"/>
      <c r="AI19" s="2">
        <v>1983</v>
      </c>
      <c r="AJ19" s="3">
        <v>21300</v>
      </c>
      <c r="AK19" s="3"/>
      <c r="AL19" s="3"/>
      <c r="AM19" s="3">
        <f t="shared" ref="AM19:AM24" si="22">AT13*AU$12</f>
        <v>16995.297608569923</v>
      </c>
      <c r="AN19" s="3">
        <f t="shared" ref="AN19:AN24" si="23">AM19</f>
        <v>16995.297608569923</v>
      </c>
      <c r="AO19" s="3">
        <f t="shared" si="16"/>
        <v>38295.297608569919</v>
      </c>
      <c r="AP19" s="3">
        <v>7339</v>
      </c>
      <c r="AQ19" s="2"/>
      <c r="AR19" s="2"/>
      <c r="AS19" s="2"/>
      <c r="AT19" s="3"/>
      <c r="AU19" s="2"/>
      <c r="AV19" s="2"/>
      <c r="AW19" s="2"/>
      <c r="AX19" s="2"/>
      <c r="AY19" s="2"/>
      <c r="AZ19" s="2"/>
      <c r="BA19" s="2"/>
      <c r="BB19" s="2"/>
      <c r="BC19" s="2"/>
      <c r="BD19" s="2"/>
      <c r="BF19" s="2"/>
    </row>
    <row r="20" spans="1:58" x14ac:dyDescent="0.3">
      <c r="A20" s="1">
        <v>1987</v>
      </c>
      <c r="B20" s="2">
        <v>13.351000000000001</v>
      </c>
      <c r="C20" s="40">
        <f t="shared" si="20"/>
        <v>0.10011535926170079</v>
      </c>
      <c r="D20" s="3"/>
      <c r="E20" s="3"/>
      <c r="F20" s="2"/>
      <c r="G20" s="2"/>
      <c r="H20" s="38">
        <f t="shared" si="18"/>
        <v>0</v>
      </c>
      <c r="I20" s="30"/>
      <c r="J20" s="18"/>
      <c r="K20" s="29">
        <f>U76</f>
        <v>0</v>
      </c>
      <c r="L20" s="18">
        <v>20</v>
      </c>
      <c r="M20" s="18">
        <v>168.017</v>
      </c>
      <c r="N20" s="18">
        <v>49.1</v>
      </c>
      <c r="O20" s="18">
        <f t="shared" si="9"/>
        <v>0.29223233363290618</v>
      </c>
      <c r="P20" s="32"/>
      <c r="Q20" s="29">
        <f t="shared" si="10"/>
        <v>49.1</v>
      </c>
      <c r="R20" s="29">
        <f t="shared" si="14"/>
        <v>439.86</v>
      </c>
      <c r="S20" s="20">
        <v>55681780</v>
      </c>
      <c r="T20" s="20">
        <f t="shared" si="21"/>
        <v>1330488</v>
      </c>
      <c r="U20" s="20">
        <v>57012268</v>
      </c>
      <c r="V20" s="33">
        <f t="shared" si="6"/>
        <v>0.86121815045140815</v>
      </c>
      <c r="W20" s="33">
        <f t="shared" si="15"/>
        <v>7.9506887579513137</v>
      </c>
      <c r="X20" s="25"/>
      <c r="Y20" s="34"/>
      <c r="Z20" s="26">
        <f t="shared" si="0"/>
        <v>12.994</v>
      </c>
      <c r="AA20" s="26">
        <f t="shared" si="12"/>
        <v>101.03699999999999</v>
      </c>
      <c r="AB20" s="26">
        <v>7.57</v>
      </c>
      <c r="AC20" s="27">
        <f t="shared" si="1"/>
        <v>1.7165125495376485</v>
      </c>
      <c r="AD20" s="27">
        <f>AC20*$O$108*$G$115+AC20*(1-$O$108)</f>
        <v>1.2706145863386995</v>
      </c>
      <c r="AE20" s="27">
        <f t="shared" si="13"/>
        <v>9.8888921014695157</v>
      </c>
      <c r="AF20" s="28">
        <f t="shared" si="17"/>
        <v>9.6185524185839562</v>
      </c>
      <c r="AG20" s="28">
        <f t="shared" si="7"/>
        <v>1.938203343518202</v>
      </c>
      <c r="AH20" s="2"/>
      <c r="AI20" s="2">
        <v>1984</v>
      </c>
      <c r="AJ20" s="3">
        <v>14919</v>
      </c>
      <c r="AK20" s="3"/>
      <c r="AL20" s="3"/>
      <c r="AM20" s="3">
        <f t="shared" si="22"/>
        <v>17351.37174038776</v>
      </c>
      <c r="AN20" s="3">
        <f t="shared" si="23"/>
        <v>17351.37174038776</v>
      </c>
      <c r="AO20" s="3">
        <f t="shared" si="16"/>
        <v>32270.37174038776</v>
      </c>
      <c r="AP20" s="3">
        <v>6945</v>
      </c>
      <c r="AQ20" s="2"/>
      <c r="AR20" s="2"/>
      <c r="AS20" s="2"/>
      <c r="AT20" s="3"/>
      <c r="AU20" s="3"/>
      <c r="AV20" s="2"/>
      <c r="AW20" s="2"/>
      <c r="AX20" s="2"/>
      <c r="AY20" s="2"/>
      <c r="AZ20" s="2"/>
      <c r="BA20" s="2"/>
      <c r="BB20" s="2"/>
      <c r="BC20" s="2"/>
      <c r="BD20" s="2"/>
      <c r="BF20" s="2"/>
    </row>
    <row r="21" spans="1:58" x14ac:dyDescent="0.3">
      <c r="A21" s="1">
        <v>1988</v>
      </c>
      <c r="B21" s="2">
        <v>14.805</v>
      </c>
      <c r="C21" s="40">
        <f t="shared" si="20"/>
        <v>0.10890569994756927</v>
      </c>
      <c r="D21" s="3"/>
      <c r="E21" s="3"/>
      <c r="F21" s="2"/>
      <c r="G21" s="2"/>
      <c r="H21" s="38">
        <f t="shared" si="18"/>
        <v>1.0739614994934144E-2</v>
      </c>
      <c r="I21" s="30"/>
      <c r="J21" s="18"/>
      <c r="K21" s="29">
        <v>159</v>
      </c>
      <c r="L21" s="18">
        <f>+L20</f>
        <v>20</v>
      </c>
      <c r="M21" s="18">
        <v>167.863</v>
      </c>
      <c r="N21" s="18">
        <v>47.77</v>
      </c>
      <c r="O21" s="18">
        <f t="shared" si="9"/>
        <v>0.28457730411109061</v>
      </c>
      <c r="P21" s="32"/>
      <c r="Q21" s="29">
        <f t="shared" si="10"/>
        <v>47.77</v>
      </c>
      <c r="R21" s="29">
        <f t="shared" si="14"/>
        <v>487.63</v>
      </c>
      <c r="S21" s="20">
        <v>55966142</v>
      </c>
      <c r="T21" s="20">
        <f t="shared" si="21"/>
        <v>1358911</v>
      </c>
      <c r="U21" s="20">
        <v>57325053</v>
      </c>
      <c r="V21" s="33">
        <f t="shared" si="6"/>
        <v>0.83331802589000659</v>
      </c>
      <c r="W21" s="33">
        <f t="shared" si="15"/>
        <v>8.7840067838413205</v>
      </c>
      <c r="X21" s="25"/>
      <c r="Y21" s="34"/>
      <c r="Z21" s="26">
        <f t="shared" si="0"/>
        <v>15.881</v>
      </c>
      <c r="AA21" s="26">
        <f t="shared" si="12"/>
        <v>116.91799999999999</v>
      </c>
      <c r="AB21" s="26">
        <v>7.59</v>
      </c>
      <c r="AC21" s="27">
        <f t="shared" si="1"/>
        <v>2.09235836627141</v>
      </c>
      <c r="AD21" s="27">
        <f>AC21*$O$108*$G$115+AC21*(1-$O$108)</f>
        <v>1.5488270451319262</v>
      </c>
      <c r="AE21" s="27">
        <f t="shared" si="13"/>
        <v>11.437719146601442</v>
      </c>
      <c r="AF21" s="28">
        <f t="shared" si="17"/>
        <v>11.75559727255132</v>
      </c>
      <c r="AG21" s="28">
        <f t="shared" si="7"/>
        <v>2.6537123627601211</v>
      </c>
      <c r="AH21" s="2"/>
      <c r="AI21" s="2">
        <v>1985</v>
      </c>
      <c r="AJ21" s="3">
        <v>47749</v>
      </c>
      <c r="AK21" s="3"/>
      <c r="AL21" s="3"/>
      <c r="AM21" s="3">
        <f t="shared" si="22"/>
        <v>17981.743656800867</v>
      </c>
      <c r="AN21" s="3">
        <f t="shared" si="23"/>
        <v>17981.743656800867</v>
      </c>
      <c r="AO21" s="3">
        <f t="shared" si="16"/>
        <v>65730.743656800871</v>
      </c>
      <c r="AP21" s="3">
        <v>11921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F21" s="2"/>
    </row>
    <row r="22" spans="1:58" x14ac:dyDescent="0.3">
      <c r="A22" s="1">
        <v>1989</v>
      </c>
      <c r="B22" s="2">
        <v>15.618</v>
      </c>
      <c r="C22" s="40">
        <f t="shared" si="20"/>
        <v>5.4913880445795371E-2</v>
      </c>
      <c r="D22" s="3"/>
      <c r="E22" s="3"/>
      <c r="F22" s="2">
        <f>134.2/6.559</f>
        <v>20.460436042079582</v>
      </c>
      <c r="G22" s="2"/>
      <c r="H22" s="38">
        <f t="shared" si="18"/>
        <v>1.2165450121654502E-2</v>
      </c>
      <c r="I22" s="30"/>
      <c r="J22" s="18">
        <f>190/5860</f>
        <v>3.2423208191126277E-2</v>
      </c>
      <c r="K22" s="29">
        <v>190</v>
      </c>
      <c r="L22" s="18">
        <f>+L21</f>
        <v>20</v>
      </c>
      <c r="M22" s="18">
        <v>189.816</v>
      </c>
      <c r="N22" s="18">
        <v>52.14</v>
      </c>
      <c r="O22" s="18">
        <f t="shared" si="9"/>
        <v>0.27468706536856746</v>
      </c>
      <c r="P22" s="32"/>
      <c r="Q22" s="29">
        <f t="shared" si="10"/>
        <v>52.14</v>
      </c>
      <c r="R22" s="29">
        <f t="shared" si="14"/>
        <v>539.77</v>
      </c>
      <c r="S22" s="20">
        <v>56269810</v>
      </c>
      <c r="T22" s="20">
        <f t="shared" si="21"/>
        <v>1389732</v>
      </c>
      <c r="U22" s="20">
        <v>57659542</v>
      </c>
      <c r="V22" s="33">
        <f t="shared" si="6"/>
        <v>0.90427357192674196</v>
      </c>
      <c r="W22" s="33">
        <f t="shared" si="15"/>
        <v>9.6882803557680628</v>
      </c>
      <c r="X22" s="26"/>
      <c r="Y22" s="34"/>
      <c r="Z22" s="42">
        <f t="shared" ref="Z22:Z29" si="24">Z21*Y$1</f>
        <v>17.183242</v>
      </c>
      <c r="AA22" s="26">
        <f t="shared" si="12"/>
        <v>134.10124199999998</v>
      </c>
      <c r="AB22" s="26">
        <v>7.62</v>
      </c>
      <c r="AC22" s="27">
        <f t="shared" si="1"/>
        <v>2.2550186351706034</v>
      </c>
      <c r="AD22" s="27">
        <f>AC22*$O$108*$G$115+AC22*(1-$O$108)</f>
        <v>1.6692331035302526</v>
      </c>
      <c r="AE22" s="27">
        <f t="shared" si="13"/>
        <v>13.106952250131695</v>
      </c>
      <c r="AF22" s="28">
        <f t="shared" si="17"/>
        <v>12.719556248900524</v>
      </c>
      <c r="AG22" s="28">
        <f t="shared" si="7"/>
        <v>3.4186718943636318</v>
      </c>
      <c r="AH22" s="2"/>
      <c r="AI22" s="2">
        <v>1986</v>
      </c>
      <c r="AJ22" s="3">
        <v>53250</v>
      </c>
      <c r="AK22" s="3"/>
      <c r="AL22" s="3"/>
      <c r="AM22" s="3">
        <f t="shared" si="22"/>
        <v>23767.948298840751</v>
      </c>
      <c r="AN22" s="3">
        <f t="shared" si="23"/>
        <v>23767.948298840751</v>
      </c>
      <c r="AO22" s="3">
        <f t="shared" si="16"/>
        <v>77017.948298840754</v>
      </c>
      <c r="AP22" s="3">
        <v>13310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F22" s="2"/>
    </row>
    <row r="23" spans="1:58" x14ac:dyDescent="0.3">
      <c r="A23" s="1">
        <v>1990</v>
      </c>
      <c r="B23" s="2">
        <f>(B22+B24)/2</f>
        <v>16.897500000000001</v>
      </c>
      <c r="C23" s="40"/>
      <c r="D23" s="3"/>
      <c r="E23" s="3"/>
      <c r="F23" s="2"/>
      <c r="G23" s="2"/>
      <c r="H23" s="38">
        <f t="shared" si="18"/>
        <v>1.2960497114957833E-2</v>
      </c>
      <c r="I23" s="30"/>
      <c r="J23" s="18">
        <f t="shared" ref="J23:J28" si="25">K23/6.56</f>
        <v>33.384146341463413</v>
      </c>
      <c r="K23" s="29">
        <v>219</v>
      </c>
      <c r="L23" s="18">
        <f>+L22</f>
        <v>20</v>
      </c>
      <c r="M23" s="29">
        <f t="shared" ref="M23:M28" si="26">K23+L23</f>
        <v>239</v>
      </c>
      <c r="N23" s="18">
        <v>63.5</v>
      </c>
      <c r="O23" s="18">
        <f t="shared" si="9"/>
        <v>0.26569037656903766</v>
      </c>
      <c r="P23" s="32"/>
      <c r="Q23" s="29">
        <f t="shared" si="10"/>
        <v>63.5</v>
      </c>
      <c r="R23" s="29">
        <f t="shared" si="14"/>
        <v>603.27</v>
      </c>
      <c r="S23" s="20">
        <v>56577000</v>
      </c>
      <c r="T23" s="20">
        <f t="shared" si="21"/>
        <v>1419401</v>
      </c>
      <c r="U23" s="20">
        <v>57996401</v>
      </c>
      <c r="V23" s="33">
        <f t="shared" si="6"/>
        <v>1.0948955263620583</v>
      </c>
      <c r="W23" s="33">
        <f t="shared" si="15"/>
        <v>10.783175882130122</v>
      </c>
      <c r="X23" s="26"/>
      <c r="Y23" s="34"/>
      <c r="Z23" s="42">
        <f t="shared" si="24"/>
        <v>18.592267844000002</v>
      </c>
      <c r="AA23" s="26">
        <f t="shared" si="12"/>
        <v>152.69350984399998</v>
      </c>
      <c r="AB23" s="26">
        <v>7.68</v>
      </c>
      <c r="AC23" s="27">
        <f t="shared" si="1"/>
        <v>2.4208682088541669</v>
      </c>
      <c r="AD23" s="27">
        <f>AC23*$O$108*$G$115+AC23*(1-$O$108)</f>
        <v>1.7919999819414545</v>
      </c>
      <c r="AE23" s="27">
        <f t="shared" si="13"/>
        <v>14.89895223207315</v>
      </c>
      <c r="AF23" s="28">
        <f t="shared" si="17"/>
        <v>13.76255986131037</v>
      </c>
      <c r="AG23" s="28">
        <f t="shared" si="7"/>
        <v>4.1157763499430278</v>
      </c>
      <c r="AH23" s="2"/>
      <c r="AI23" s="2">
        <v>1987</v>
      </c>
      <c r="AJ23" s="3">
        <v>51801</v>
      </c>
      <c r="AK23" s="3"/>
      <c r="AL23" s="3"/>
      <c r="AM23" s="3">
        <f t="shared" si="22"/>
        <v>24452.938365981845</v>
      </c>
      <c r="AN23" s="3">
        <f t="shared" si="23"/>
        <v>24452.938365981845</v>
      </c>
      <c r="AO23" s="3">
        <f t="shared" si="16"/>
        <v>76253.938365981841</v>
      </c>
      <c r="AP23" s="3">
        <v>12994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F23" s="2"/>
    </row>
    <row r="24" spans="1:58" x14ac:dyDescent="0.3">
      <c r="A24" s="1">
        <v>1991</v>
      </c>
      <c r="B24" s="2">
        <v>18.177</v>
      </c>
      <c r="C24" s="40"/>
      <c r="D24" s="3"/>
      <c r="E24" s="3"/>
      <c r="F24" s="2"/>
      <c r="G24" s="2"/>
      <c r="H24" s="38">
        <f t="shared" si="18"/>
        <v>2.0685481652637949E-2</v>
      </c>
      <c r="I24" s="30"/>
      <c r="J24" s="18">
        <f t="shared" si="25"/>
        <v>57.31707317073171</v>
      </c>
      <c r="K24" s="29">
        <v>376</v>
      </c>
      <c r="L24" s="18">
        <f>+L23</f>
        <v>20</v>
      </c>
      <c r="M24" s="29">
        <f t="shared" si="26"/>
        <v>396</v>
      </c>
      <c r="N24" s="18">
        <v>101.89</v>
      </c>
      <c r="O24" s="18">
        <f t="shared" si="9"/>
        <v>0.2572979797979798</v>
      </c>
      <c r="P24" s="32"/>
      <c r="Q24" s="29">
        <f t="shared" si="10"/>
        <v>101.89</v>
      </c>
      <c r="R24" s="29">
        <f t="shared" si="14"/>
        <v>705.16</v>
      </c>
      <c r="S24" s="20">
        <v>56840661</v>
      </c>
      <c r="T24" s="20">
        <f t="shared" si="21"/>
        <v>1439474</v>
      </c>
      <c r="U24" s="20">
        <v>58280135</v>
      </c>
      <c r="V24" s="33">
        <f t="shared" si="6"/>
        <v>1.7482800957822078</v>
      </c>
      <c r="W24" s="33">
        <f t="shared" si="15"/>
        <v>12.53145597791233</v>
      </c>
      <c r="X24" s="26"/>
      <c r="Y24" s="34"/>
      <c r="Z24" s="42">
        <f t="shared" si="24"/>
        <v>20.116833807208003</v>
      </c>
      <c r="AA24" s="26">
        <f t="shared" si="12"/>
        <v>172.81034365120797</v>
      </c>
      <c r="AB24" s="26">
        <v>7.75</v>
      </c>
      <c r="AC24" s="27">
        <f t="shared" si="1"/>
        <v>2.5957204912526457</v>
      </c>
      <c r="AD24" s="27">
        <f>AC24*$O$108*$G$115+AC24*(1-$O$108)</f>
        <v>1.9214309380564931</v>
      </c>
      <c r="AE24" s="27">
        <f t="shared" si="13"/>
        <v>16.820383170129642</v>
      </c>
      <c r="AF24" s="28">
        <f t="shared" si="17"/>
        <v>14.891089769937821</v>
      </c>
      <c r="AG24" s="28">
        <f t="shared" si="7"/>
        <v>4.2889271922173116</v>
      </c>
      <c r="AH24" s="2"/>
      <c r="AI24" s="2">
        <v>1988</v>
      </c>
      <c r="AJ24" s="3">
        <v>69412</v>
      </c>
      <c r="AK24" s="3"/>
      <c r="AL24" s="3"/>
      <c r="AM24" s="3">
        <f t="shared" si="22"/>
        <v>25607.161717001534</v>
      </c>
      <c r="AN24" s="3">
        <f t="shared" si="23"/>
        <v>25607.161717001534</v>
      </c>
      <c r="AO24" s="3">
        <f t="shared" si="16"/>
        <v>95019.161717001538</v>
      </c>
      <c r="AP24" s="3">
        <v>15881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F24" s="2"/>
    </row>
    <row r="25" spans="1:58" x14ac:dyDescent="0.3">
      <c r="A25" s="1">
        <v>1992</v>
      </c>
      <c r="B25" s="2">
        <f>(B24+B26)/2</f>
        <v>19.285</v>
      </c>
      <c r="C25" s="40"/>
      <c r="D25" s="3"/>
      <c r="E25" s="3"/>
      <c r="F25" s="2"/>
      <c r="G25" s="2"/>
      <c r="H25" s="38">
        <f t="shared" si="18"/>
        <v>2.0585947627689914E-2</v>
      </c>
      <c r="I25" s="30"/>
      <c r="J25" s="18">
        <f t="shared" si="25"/>
        <v>60.518292682926834</v>
      </c>
      <c r="K25" s="29">
        <v>397</v>
      </c>
      <c r="L25" s="18">
        <v>90</v>
      </c>
      <c r="M25" s="29">
        <f t="shared" si="26"/>
        <v>487</v>
      </c>
      <c r="N25" s="18">
        <v>122.49</v>
      </c>
      <c r="O25" s="18">
        <f t="shared" si="9"/>
        <v>0.25151950718685828</v>
      </c>
      <c r="P25" s="32"/>
      <c r="Q25" s="29">
        <f t="shared" si="10"/>
        <v>122.49</v>
      </c>
      <c r="R25" s="29">
        <f t="shared" si="14"/>
        <v>827.65</v>
      </c>
      <c r="S25" s="20">
        <v>57110533</v>
      </c>
      <c r="T25" s="20">
        <f t="shared" si="21"/>
        <v>1460704</v>
      </c>
      <c r="U25" s="20">
        <v>58571237</v>
      </c>
      <c r="V25" s="33">
        <f t="shared" si="6"/>
        <v>2.0912995230064886</v>
      </c>
      <c r="W25" s="33">
        <f t="shared" si="15"/>
        <v>14.622755500918819</v>
      </c>
      <c r="X25" s="26"/>
      <c r="Y25" s="34"/>
      <c r="Z25" s="42">
        <f t="shared" si="24"/>
        <v>21.76641417939906</v>
      </c>
      <c r="AA25" s="26">
        <f t="shared" si="12"/>
        <v>194.57675783060702</v>
      </c>
      <c r="AB25" s="26">
        <v>7.84</v>
      </c>
      <c r="AC25" s="27">
        <f t="shared" si="1"/>
        <v>2.7763283392090639</v>
      </c>
      <c r="AD25" s="27">
        <f>AC25*$O$108*$G$115+AC25*(1-$O$108)</f>
        <v>2.0551223381470312</v>
      </c>
      <c r="AE25" s="27">
        <f t="shared" si="13"/>
        <v>18.875505508276675</v>
      </c>
      <c r="AF25" s="28">
        <f t="shared" si="17"/>
        <v>16.112159131072723</v>
      </c>
      <c r="AG25" s="28">
        <f t="shared" si="7"/>
        <v>4.2527500073578555</v>
      </c>
      <c r="AH25" s="2"/>
      <c r="AJ25" s="3"/>
      <c r="AK25" s="2"/>
      <c r="AL25" s="2"/>
      <c r="AM25" s="35"/>
      <c r="AN25" s="3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C25" s="2"/>
    </row>
    <row r="26" spans="1:58" x14ac:dyDescent="0.3">
      <c r="A26" s="1">
        <v>1993</v>
      </c>
      <c r="B26" s="2">
        <v>20.393000000000001</v>
      </c>
      <c r="C26" s="40">
        <f>B26/B24-1</f>
        <v>0.12191230676129172</v>
      </c>
      <c r="D26" s="3"/>
      <c r="E26" s="3"/>
      <c r="F26" s="2"/>
      <c r="G26" s="2"/>
      <c r="H26" s="38">
        <f t="shared" si="18"/>
        <v>1.9516500760064726E-2</v>
      </c>
      <c r="I26" s="30">
        <v>20.798999999999999</v>
      </c>
      <c r="J26" s="18">
        <f t="shared" si="25"/>
        <v>60.670731707317074</v>
      </c>
      <c r="K26" s="29">
        <v>398</v>
      </c>
      <c r="L26" s="18">
        <v>108.47</v>
      </c>
      <c r="M26" s="29">
        <f t="shared" si="26"/>
        <v>506.47</v>
      </c>
      <c r="N26" s="18">
        <v>124.64</v>
      </c>
      <c r="O26" s="18">
        <f t="shared" si="9"/>
        <v>0.24609552392046913</v>
      </c>
      <c r="P26" s="32"/>
      <c r="Q26" s="29">
        <f t="shared" si="10"/>
        <v>124.64</v>
      </c>
      <c r="R26" s="29">
        <f t="shared" si="14"/>
        <v>952.29</v>
      </c>
      <c r="S26" s="20">
        <v>57369161</v>
      </c>
      <c r="T26" s="20">
        <f t="shared" si="21"/>
        <v>1482841</v>
      </c>
      <c r="U26" s="20">
        <v>58852002</v>
      </c>
      <c r="V26" s="33">
        <f t="shared" si="6"/>
        <v>2.1178548862279993</v>
      </c>
      <c r="W26" s="33">
        <f t="shared" si="15"/>
        <v>16.74061038714682</v>
      </c>
      <c r="X26" s="26"/>
      <c r="Y26" s="34"/>
      <c r="Z26" s="42">
        <f t="shared" si="24"/>
        <v>23.551260142109786</v>
      </c>
      <c r="AA26" s="26">
        <f t="shared" si="12"/>
        <v>218.1280179727168</v>
      </c>
      <c r="AB26" s="26">
        <v>7.91</v>
      </c>
      <c r="AC26" s="27">
        <f t="shared" si="1"/>
        <v>2.9774033049443474</v>
      </c>
      <c r="AD26" s="27">
        <f>AC26*$O$108*$G$115+AC26*(1-$O$108)</f>
        <v>2.2039641188142465</v>
      </c>
      <c r="AE26" s="27">
        <f t="shared" si="13"/>
        <v>21.079469627090923</v>
      </c>
      <c r="AF26" s="28">
        <f t="shared" si="17"/>
        <v>17.433356179820692</v>
      </c>
      <c r="AG26" s="28">
        <f t="shared" si="7"/>
        <v>4.3388592399441031</v>
      </c>
      <c r="AH26" s="2"/>
      <c r="AJ26" s="3"/>
      <c r="AK26" s="2"/>
      <c r="AL26" s="2"/>
      <c r="AM26" s="3"/>
      <c r="AN26" s="39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C26" s="2"/>
    </row>
    <row r="27" spans="1:58" x14ac:dyDescent="0.3">
      <c r="A27" s="1">
        <v>1994</v>
      </c>
      <c r="B27" s="43">
        <v>21.262</v>
      </c>
      <c r="C27" s="40">
        <f t="shared" si="20"/>
        <v>4.2612661207277025E-2</v>
      </c>
      <c r="D27" s="3"/>
      <c r="E27" s="3"/>
      <c r="F27" s="2"/>
      <c r="G27" s="2">
        <v>8.1219999999999999</v>
      </c>
      <c r="H27" s="38">
        <f t="shared" si="18"/>
        <v>1.4979776126422727E-2</v>
      </c>
      <c r="I27" s="30"/>
      <c r="J27" s="18">
        <f t="shared" si="25"/>
        <v>48.551829268292686</v>
      </c>
      <c r="K27" s="29">
        <v>318.5</v>
      </c>
      <c r="L27" s="18">
        <v>145.9</v>
      </c>
      <c r="M27" s="29">
        <f t="shared" si="26"/>
        <v>464.4</v>
      </c>
      <c r="N27" s="18">
        <v>112.56</v>
      </c>
      <c r="O27" s="18">
        <f t="shared" si="9"/>
        <v>0.24237726098191217</v>
      </c>
      <c r="P27" s="32"/>
      <c r="Q27" s="29">
        <f t="shared" si="10"/>
        <v>112.56</v>
      </c>
      <c r="R27" s="29">
        <f t="shared" si="14"/>
        <v>1064.8499999999999</v>
      </c>
      <c r="S27" s="20">
        <v>57565008</v>
      </c>
      <c r="T27" s="20">
        <f t="shared" si="21"/>
        <v>1505069</v>
      </c>
      <c r="U27" s="20">
        <v>59070077</v>
      </c>
      <c r="V27" s="33">
        <f t="shared" si="6"/>
        <v>1.905533321041718</v>
      </c>
      <c r="W27" s="33">
        <f t="shared" si="15"/>
        <v>18.646143708188539</v>
      </c>
      <c r="X27" s="26"/>
      <c r="Y27" s="34"/>
      <c r="Z27" s="42">
        <f t="shared" si="24"/>
        <v>25.482463473762792</v>
      </c>
      <c r="AA27" s="26">
        <f t="shared" si="12"/>
        <v>243.61048144647958</v>
      </c>
      <c r="AB27" s="26">
        <v>7.94</v>
      </c>
      <c r="AC27" s="27">
        <f t="shared" si="1"/>
        <v>3.2093782712547596</v>
      </c>
      <c r="AD27" s="27">
        <f>AC27*$O$108*$G$115+AC27*(1-$O$108)</f>
        <v>2.3756790159403005</v>
      </c>
      <c r="AE27" s="27">
        <f t="shared" si="13"/>
        <v>23.455148643031222</v>
      </c>
      <c r="AF27" s="28">
        <f t="shared" si="17"/>
        <v>18.862891386565988</v>
      </c>
      <c r="AG27" s="28">
        <f t="shared" si="7"/>
        <v>4.8090049348426831</v>
      </c>
      <c r="AH27" s="44"/>
      <c r="AK27" s="1"/>
      <c r="AL27" s="2"/>
      <c r="AM27" s="2"/>
      <c r="AN27" s="2"/>
      <c r="AO27" s="3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D27" s="2"/>
    </row>
    <row r="28" spans="1:58" x14ac:dyDescent="0.3">
      <c r="A28" s="1">
        <v>1995</v>
      </c>
      <c r="B28" s="2">
        <v>22.120999999999999</v>
      </c>
      <c r="C28" s="40">
        <f t="shared" si="20"/>
        <v>4.0400714890414635E-2</v>
      </c>
      <c r="D28" s="3"/>
      <c r="E28" s="3"/>
      <c r="F28" s="2">
        <v>854</v>
      </c>
      <c r="G28" s="2">
        <v>8.5559999999999992</v>
      </c>
      <c r="H28" s="29">
        <f t="shared" si="18"/>
        <v>1.4285068486958093E-2</v>
      </c>
      <c r="I28" s="30"/>
      <c r="J28" s="18">
        <f t="shared" si="25"/>
        <v>48.170731707317074</v>
      </c>
      <c r="K28" s="29">
        <v>316</v>
      </c>
      <c r="L28" s="18">
        <f>L27</f>
        <v>145.9</v>
      </c>
      <c r="M28" s="29">
        <f t="shared" si="26"/>
        <v>461.9</v>
      </c>
      <c r="N28" s="18">
        <v>109.87</v>
      </c>
      <c r="O28" s="18">
        <f t="shared" si="9"/>
        <v>0.23786533881792599</v>
      </c>
      <c r="P28" s="32"/>
      <c r="Q28" s="29">
        <f t="shared" si="10"/>
        <v>109.87</v>
      </c>
      <c r="R28" s="29">
        <f t="shared" si="14"/>
        <v>1174.7199999999998</v>
      </c>
      <c r="S28" s="20">
        <v>57752535</v>
      </c>
      <c r="T28" s="20">
        <f t="shared" si="21"/>
        <v>1528042</v>
      </c>
      <c r="U28" s="20">
        <v>59280577</v>
      </c>
      <c r="V28" s="33">
        <f t="shared" si="6"/>
        <v>1.853389517446836</v>
      </c>
      <c r="W28" s="33">
        <f t="shared" si="15"/>
        <v>20.499533225635375</v>
      </c>
      <c r="X28" s="26"/>
      <c r="Y28" s="34">
        <v>11782</v>
      </c>
      <c r="Z28" s="42">
        <f t="shared" si="24"/>
        <v>27.572025478611341</v>
      </c>
      <c r="AA28" s="26">
        <f t="shared" si="12"/>
        <v>271.18250692509093</v>
      </c>
      <c r="AB28" s="26">
        <v>7.95</v>
      </c>
      <c r="AC28" s="27">
        <f t="shared" si="1"/>
        <v>3.4681793054857031</v>
      </c>
      <c r="AD28" s="27">
        <f>AC28*$O$108*$G$115+AC28*(1-$O$108)</f>
        <v>2.5672513811653328</v>
      </c>
      <c r="AE28" s="27">
        <f t="shared" si="13"/>
        <v>26.022400024196557</v>
      </c>
      <c r="AF28" s="28">
        <f t="shared" si="17"/>
        <v>20.409648480264398</v>
      </c>
      <c r="AG28" s="28">
        <f t="shared" si="7"/>
        <v>5.5228667985611821</v>
      </c>
      <c r="AH28" s="1"/>
      <c r="AN28" s="1"/>
      <c r="AO28" s="2"/>
      <c r="AP28" s="45">
        <v>4.282</v>
      </c>
      <c r="AQ28" s="2"/>
      <c r="AR28" s="2"/>
      <c r="AS28" s="2"/>
      <c r="AT28" s="2"/>
      <c r="AU28" s="2"/>
      <c r="AV28" s="2"/>
      <c r="AW28" s="2"/>
      <c r="AX28" s="2"/>
      <c r="AY28" s="2"/>
      <c r="BA28" s="2"/>
    </row>
    <row r="29" spans="1:58" x14ac:dyDescent="0.3">
      <c r="A29" s="1">
        <v>1996</v>
      </c>
      <c r="B29" s="2">
        <v>23.47</v>
      </c>
      <c r="C29" s="40">
        <f t="shared" si="20"/>
        <v>6.0982776547172435E-2</v>
      </c>
      <c r="D29" s="3"/>
      <c r="E29" s="3"/>
      <c r="F29" s="2">
        <v>526</v>
      </c>
      <c r="G29" s="2"/>
      <c r="H29" s="29">
        <f>K29/B29/1000</f>
        <v>0</v>
      </c>
      <c r="I29" s="30"/>
      <c r="J29" s="18">
        <f>K29/6.56</f>
        <v>0</v>
      </c>
      <c r="K29" s="29"/>
      <c r="L29" s="18"/>
      <c r="M29" s="29">
        <v>385.29</v>
      </c>
      <c r="N29" s="18">
        <f>(N28+N31)/2</f>
        <v>93.580000000000013</v>
      </c>
      <c r="O29" s="18">
        <f>N29/M29</f>
        <v>0.24288198499831298</v>
      </c>
      <c r="P29" s="32"/>
      <c r="Q29" s="29">
        <f t="shared" si="10"/>
        <v>93.580000000000013</v>
      </c>
      <c r="R29" s="29">
        <f t="shared" si="14"/>
        <v>1268.2999999999997</v>
      </c>
      <c r="S29" s="20">
        <v>57935959</v>
      </c>
      <c r="T29" s="20">
        <f t="shared" si="21"/>
        <v>1551454</v>
      </c>
      <c r="U29" s="20">
        <v>59487413</v>
      </c>
      <c r="V29" s="33">
        <f t="shared" si="6"/>
        <v>1.5731058938468212</v>
      </c>
      <c r="W29" s="33">
        <f t="shared" si="15"/>
        <v>22.072639119482197</v>
      </c>
      <c r="X29" s="26"/>
      <c r="Y29" s="34"/>
      <c r="Z29" s="42">
        <f t="shared" si="24"/>
        <v>29.832931567857472</v>
      </c>
      <c r="AA29" s="26">
        <f t="shared" si="12"/>
        <v>301.01543849294842</v>
      </c>
      <c r="AB29" s="26">
        <v>7.96</v>
      </c>
      <c r="AC29" s="27">
        <f t="shared" si="1"/>
        <v>3.74785572460521</v>
      </c>
      <c r="AD29" s="27">
        <f>AC29*$O$108*$G$115+AC29*(1-$O$108)</f>
        <v>2.7742763386490052</v>
      </c>
      <c r="AE29" s="27">
        <f t="shared" si="13"/>
        <v>28.796676362845563</v>
      </c>
      <c r="AF29" s="28">
        <f t="shared" si="17"/>
        <v>22.083239655646082</v>
      </c>
      <c r="AG29" s="28">
        <f t="shared" si="7"/>
        <v>6.7240372433633659</v>
      </c>
      <c r="AH29" s="1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E29" s="2"/>
    </row>
    <row r="30" spans="1:58" x14ac:dyDescent="0.3">
      <c r="A30" s="1">
        <v>1997</v>
      </c>
      <c r="B30" s="2">
        <v>23.891999999999999</v>
      </c>
      <c r="C30" s="40">
        <f t="shared" si="20"/>
        <v>1.7980400511291128E-2</v>
      </c>
      <c r="D30" s="3">
        <v>60102</v>
      </c>
      <c r="E30" s="3"/>
      <c r="F30" s="2">
        <v>-43</v>
      </c>
      <c r="G30" s="2"/>
      <c r="H30" s="38">
        <f>K30*6.55957/B30/1000</f>
        <v>9.4713478217494877E-3</v>
      </c>
      <c r="I30" s="30"/>
      <c r="J30" s="18"/>
      <c r="K30" s="29">
        <f>K31/(1+J31)</f>
        <v>34.49760306807287</v>
      </c>
      <c r="L30" s="18"/>
      <c r="M30" s="18">
        <v>391.42</v>
      </c>
      <c r="N30" s="18">
        <f>(N29+N31)/2</f>
        <v>85.435000000000002</v>
      </c>
      <c r="O30" s="18">
        <f t="shared" si="9"/>
        <v>0.21826937816156558</v>
      </c>
      <c r="P30" s="32"/>
      <c r="Q30" s="29">
        <f t="shared" si="10"/>
        <v>85.435000000000002</v>
      </c>
      <c r="R30" s="29">
        <f t="shared" si="14"/>
        <v>1353.7349999999997</v>
      </c>
      <c r="S30" s="20">
        <v>58116018</v>
      </c>
      <c r="T30" s="20">
        <f t="shared" si="21"/>
        <v>1575159</v>
      </c>
      <c r="U30" s="20">
        <v>59691177</v>
      </c>
      <c r="V30" s="33">
        <f t="shared" si="6"/>
        <v>1.4312835546868174</v>
      </c>
      <c r="W30" s="33">
        <f t="shared" si="15"/>
        <v>23.503922674169015</v>
      </c>
      <c r="X30" s="25">
        <v>16</v>
      </c>
      <c r="Y30" s="34"/>
      <c r="Z30" s="26">
        <f>28.59+AP$28</f>
        <v>32.872</v>
      </c>
      <c r="AA30" s="26">
        <f t="shared" si="12"/>
        <v>333.88743849294843</v>
      </c>
      <c r="AB30" s="26">
        <v>7.97</v>
      </c>
      <c r="AC30" s="27">
        <f t="shared" si="1"/>
        <v>4.124466750313676</v>
      </c>
      <c r="AD30" s="27">
        <f>AC30*$O$108*$G$115+AC30*(1-$O$108)</f>
        <v>3.0530552283052734</v>
      </c>
      <c r="AE30" s="27">
        <f t="shared" si="13"/>
        <v>31.849731591150835</v>
      </c>
      <c r="AF30" s="28">
        <f t="shared" si="17"/>
        <v>24.33285016959303</v>
      </c>
      <c r="AG30" s="28">
        <f t="shared" si="7"/>
        <v>8.3458089169818201</v>
      </c>
      <c r="AH30" s="1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E30" s="2"/>
    </row>
    <row r="31" spans="1:58" x14ac:dyDescent="0.3">
      <c r="A31" s="1">
        <v>1998</v>
      </c>
      <c r="B31" s="2">
        <v>24.867000000000001</v>
      </c>
      <c r="C31" s="40">
        <f t="shared" si="20"/>
        <v>4.0808638874937353E-2</v>
      </c>
      <c r="D31" s="3">
        <v>60864</v>
      </c>
      <c r="E31" s="3"/>
      <c r="F31" s="2"/>
      <c r="G31" s="2"/>
      <c r="H31" s="38">
        <f>K31*6.55957/B31/1000</f>
        <v>9.4912891852656119E-3</v>
      </c>
      <c r="I31" s="30">
        <f t="shared" ref="I31:I38" si="27">I32/V$139</f>
        <v>2.0453239317481073</v>
      </c>
      <c r="J31" s="46">
        <v>4.2999999999999997E-2</v>
      </c>
      <c r="K31" s="29">
        <v>35.981000000000002</v>
      </c>
      <c r="L31" s="18">
        <f>+M31-K31</f>
        <v>15.470999999999997</v>
      </c>
      <c r="M31" s="18">
        <v>51.451999999999998</v>
      </c>
      <c r="N31" s="18">
        <v>77.290000000000006</v>
      </c>
      <c r="O31" s="18">
        <f t="shared" si="9"/>
        <v>1.5021767861307629</v>
      </c>
      <c r="P31" s="32">
        <f t="shared" ref="P31:P56" si="28">I31*O31</f>
        <v>3.0724381303897079</v>
      </c>
      <c r="Q31" s="29">
        <f t="shared" ref="Q31:Q56" si="29">N31+P31</f>
        <v>80.36243813038972</v>
      </c>
      <c r="R31" s="29">
        <f t="shared" si="14"/>
        <v>1434.0974381303895</v>
      </c>
      <c r="S31" s="20">
        <v>58298962</v>
      </c>
      <c r="T31" s="20">
        <f t="shared" si="21"/>
        <v>1600385</v>
      </c>
      <c r="U31" s="20">
        <v>59899347</v>
      </c>
      <c r="V31" s="33">
        <f t="shared" si="6"/>
        <v>1.3416246112063579</v>
      </c>
      <c r="W31" s="33">
        <f t="shared" si="15"/>
        <v>24.845547285375375</v>
      </c>
      <c r="X31" s="25">
        <v>21.3</v>
      </c>
      <c r="Y31" s="34"/>
      <c r="Z31" s="26">
        <f>37.72+AP$28</f>
        <v>42.001999999999995</v>
      </c>
      <c r="AA31" s="26">
        <f t="shared" si="12"/>
        <v>375.88943849294844</v>
      </c>
      <c r="AB31" s="26">
        <v>7.98</v>
      </c>
      <c r="AC31" s="27">
        <f t="shared" si="1"/>
        <v>5.2634085213032575</v>
      </c>
      <c r="AD31" s="27">
        <f>AC31*$O$108*$G$115+AC31*(1-$O$108)</f>
        <v>3.8961344283959409</v>
      </c>
      <c r="AE31" s="27">
        <f t="shared" si="13"/>
        <v>35.745866019546774</v>
      </c>
      <c r="AF31" s="28">
        <f t="shared" si="17"/>
        <v>31.091152738599611</v>
      </c>
      <c r="AG31" s="28">
        <f t="shared" si="7"/>
        <v>10.9003187341714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E31" s="2"/>
    </row>
    <row r="32" spans="1:58" x14ac:dyDescent="0.3">
      <c r="A32" s="1">
        <v>1999</v>
      </c>
      <c r="B32" s="2">
        <v>26.257000000000001</v>
      </c>
      <c r="C32" s="40">
        <f t="shared" si="20"/>
        <v>5.5897374029838742E-2</v>
      </c>
      <c r="D32" s="3">
        <v>61794</v>
      </c>
      <c r="E32" s="3"/>
      <c r="F32" s="2">
        <v>140</v>
      </c>
      <c r="G32" s="2">
        <f>11.667-1.443</f>
        <v>10.224</v>
      </c>
      <c r="H32" s="38">
        <f>K32*6.55957/B32/1000</f>
        <v>9.5361962920364075E-3</v>
      </c>
      <c r="I32" s="30">
        <f t="shared" si="27"/>
        <v>2.2718995742301709</v>
      </c>
      <c r="J32" s="46">
        <f t="shared" ref="J32:J40" si="30">K32/K31-1</f>
        <v>6.0893249214863276E-2</v>
      </c>
      <c r="K32" s="29">
        <v>38.171999999999997</v>
      </c>
      <c r="L32" s="18">
        <f>+M32-K32</f>
        <v>16.558</v>
      </c>
      <c r="M32" s="18">
        <v>54.73</v>
      </c>
      <c r="N32" s="18">
        <v>86.28</v>
      </c>
      <c r="O32" s="18">
        <f t="shared" si="9"/>
        <v>1.5764662890553629</v>
      </c>
      <c r="P32" s="32">
        <f t="shared" si="28"/>
        <v>3.5815730908930963</v>
      </c>
      <c r="Q32" s="29">
        <f t="shared" si="29"/>
        <v>89.861573090893103</v>
      </c>
      <c r="R32" s="29">
        <f t="shared" si="14"/>
        <v>1523.9590112212827</v>
      </c>
      <c r="S32" s="20">
        <v>58496613</v>
      </c>
      <c r="T32" s="20">
        <f t="shared" si="21"/>
        <v>1626052</v>
      </c>
      <c r="U32" s="20">
        <v>60122665</v>
      </c>
      <c r="V32" s="33">
        <f t="shared" si="6"/>
        <v>1.494637223597675</v>
      </c>
      <c r="W32" s="33">
        <f t="shared" si="15"/>
        <v>26.340184508973049</v>
      </c>
      <c r="X32" s="25">
        <v>20.6</v>
      </c>
      <c r="Y32" s="34"/>
      <c r="Z32" s="26">
        <f>36.24+AP$28</f>
        <v>40.522000000000006</v>
      </c>
      <c r="AA32" s="26">
        <f t="shared" si="12"/>
        <v>416.41143849294843</v>
      </c>
      <c r="AB32" s="26">
        <v>7.99</v>
      </c>
      <c r="AC32" s="27">
        <f t="shared" si="1"/>
        <v>5.0715894868585734</v>
      </c>
      <c r="AD32" s="27">
        <f>AC32*$O$108*$G$115+AC32*(1-$O$108)</f>
        <v>3.7541441684537862</v>
      </c>
      <c r="AE32" s="27">
        <f t="shared" si="13"/>
        <v>39.500010188000559</v>
      </c>
      <c r="AF32" s="28">
        <f t="shared" si="17"/>
        <v>29.995611905945751</v>
      </c>
      <c r="AG32" s="28">
        <f t="shared" si="7"/>
        <v>13.159825679027509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E32" s="2"/>
    </row>
    <row r="33" spans="1:59" x14ac:dyDescent="0.3">
      <c r="A33" s="1">
        <v>2000</v>
      </c>
      <c r="B33" s="2">
        <v>27.291</v>
      </c>
      <c r="C33" s="40">
        <f t="shared" si="20"/>
        <v>3.9379974863845701E-2</v>
      </c>
      <c r="D33" s="3">
        <v>63031</v>
      </c>
      <c r="E33" s="3"/>
      <c r="F33" s="2"/>
      <c r="G33" s="2"/>
      <c r="H33" s="38">
        <f>K33*6.55957/B33/1000</f>
        <v>9.6221928771389846E-3</v>
      </c>
      <c r="I33" s="30">
        <f t="shared" si="27"/>
        <v>2.5235746745385956</v>
      </c>
      <c r="J33" s="46">
        <f t="shared" si="30"/>
        <v>4.8753012679451091E-2</v>
      </c>
      <c r="K33" s="29">
        <v>40.033000000000001</v>
      </c>
      <c r="L33" s="18">
        <f>+M33-K33</f>
        <v>20.437999999999995</v>
      </c>
      <c r="M33" s="18">
        <v>60.470999999999997</v>
      </c>
      <c r="N33" s="18">
        <v>88.91</v>
      </c>
      <c r="O33" s="18">
        <f t="shared" si="9"/>
        <v>1.4702915447073803</v>
      </c>
      <c r="P33" s="32">
        <f t="shared" si="28"/>
        <v>3.7103905064117764</v>
      </c>
      <c r="Q33" s="29">
        <f t="shared" si="29"/>
        <v>92.620390506411766</v>
      </c>
      <c r="R33" s="29">
        <f t="shared" si="14"/>
        <v>1616.5794017276944</v>
      </c>
      <c r="S33" s="20">
        <v>58858198</v>
      </c>
      <c r="T33" s="20">
        <f t="shared" si="21"/>
        <v>1649952</v>
      </c>
      <c r="U33" s="20">
        <v>60508150</v>
      </c>
      <c r="V33" s="33">
        <f t="shared" si="6"/>
        <v>1.5307093425664438</v>
      </c>
      <c r="W33" s="33">
        <f t="shared" si="15"/>
        <v>27.870893851539492</v>
      </c>
      <c r="X33" s="25">
        <v>14.3</v>
      </c>
      <c r="Y33" s="34"/>
      <c r="Z33" s="26">
        <f>24.64+AP$28</f>
        <v>28.922000000000001</v>
      </c>
      <c r="AA33" s="26">
        <f t="shared" si="12"/>
        <v>445.33343849294846</v>
      </c>
      <c r="AB33" s="26">
        <v>8.01</v>
      </c>
      <c r="AC33" s="27">
        <f t="shared" si="1"/>
        <v>3.6107365792759052</v>
      </c>
      <c r="AD33" s="27">
        <f>AC33*$O$108*$G$115+AC33*(1-$O$108)</f>
        <v>2.672776593617348</v>
      </c>
      <c r="AE33" s="27">
        <f t="shared" si="13"/>
        <v>42.172786781617909</v>
      </c>
      <c r="AF33" s="28">
        <f t="shared" si="17"/>
        <v>21.408940514874956</v>
      </c>
      <c r="AG33" s="28">
        <f t="shared" si="7"/>
        <v>14.301892930078417</v>
      </c>
      <c r="AH33" s="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E33" s="2"/>
    </row>
    <row r="34" spans="1:59" x14ac:dyDescent="0.3">
      <c r="A34" s="1">
        <v>2001</v>
      </c>
      <c r="B34" s="2">
        <v>29.033000000000001</v>
      </c>
      <c r="C34" s="40">
        <f t="shared" si="20"/>
        <v>6.3830566853541493E-2</v>
      </c>
      <c r="D34" s="3">
        <v>64409</v>
      </c>
      <c r="E34" s="3"/>
      <c r="F34" s="2">
        <v>454</v>
      </c>
      <c r="G34" s="2"/>
      <c r="H34" s="38">
        <f>K34*6.55957/B34/1000</f>
        <v>9.850764716012813E-3</v>
      </c>
      <c r="I34" s="30">
        <f t="shared" si="27"/>
        <v>2.8031296850480332</v>
      </c>
      <c r="J34" s="46">
        <f t="shared" si="30"/>
        <v>8.9101491269702571E-2</v>
      </c>
      <c r="K34" s="29">
        <v>43.6</v>
      </c>
      <c r="L34" s="18">
        <f>+M34-K34</f>
        <v>19.085000000000001</v>
      </c>
      <c r="M34" s="18">
        <v>62.685000000000002</v>
      </c>
      <c r="N34" s="18">
        <v>90.68</v>
      </c>
      <c r="O34" s="18">
        <f t="shared" si="9"/>
        <v>1.4465980697136476</v>
      </c>
      <c r="P34" s="32">
        <f t="shared" si="28"/>
        <v>4.0550019915475097</v>
      </c>
      <c r="Q34" s="29">
        <f t="shared" si="29"/>
        <v>94.73500199154752</v>
      </c>
      <c r="R34" s="29">
        <f t="shared" si="14"/>
        <v>1711.3144037192419</v>
      </c>
      <c r="S34" s="20">
        <v>59266572</v>
      </c>
      <c r="T34" s="20">
        <f t="shared" si="21"/>
        <v>1674838</v>
      </c>
      <c r="U34" s="20">
        <v>60941410</v>
      </c>
      <c r="V34" s="33">
        <f t="shared" si="6"/>
        <v>1.5545259289463031</v>
      </c>
      <c r="W34" s="33">
        <f t="shared" si="15"/>
        <v>29.425419780485797</v>
      </c>
      <c r="X34" s="25">
        <v>18.8</v>
      </c>
      <c r="Y34" s="34"/>
      <c r="Z34" s="26">
        <f>31.56+AP$28</f>
        <v>35.841999999999999</v>
      </c>
      <c r="AA34" s="26">
        <f t="shared" si="12"/>
        <v>481.17543849294844</v>
      </c>
      <c r="AB34" s="26">
        <v>8.0399999999999991</v>
      </c>
      <c r="AC34" s="27">
        <f t="shared" si="1"/>
        <v>4.4579601990049751</v>
      </c>
      <c r="AD34" s="27">
        <f>AC34*$O$108*$G$115+AC34*(1-$O$108)</f>
        <v>3.2999171813214039</v>
      </c>
      <c r="AE34" s="27">
        <f t="shared" si="13"/>
        <v>45.472703962939313</v>
      </c>
      <c r="AF34" s="28">
        <f t="shared" si="17"/>
        <v>26.531334137824086</v>
      </c>
      <c r="AG34" s="28">
        <f t="shared" si="7"/>
        <v>16.047284182453517</v>
      </c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E34" s="2"/>
    </row>
    <row r="35" spans="1:59" x14ac:dyDescent="0.3">
      <c r="A35" s="1">
        <v>2002</v>
      </c>
      <c r="B35" s="2">
        <v>4687</v>
      </c>
      <c r="C35" s="40">
        <f>B35*6.55956/1000/(B34)-1</f>
        <v>5.8955592601522389E-2</v>
      </c>
      <c r="D35" s="3">
        <v>67173</v>
      </c>
      <c r="E35" s="3"/>
      <c r="F35" s="2">
        <v>845</v>
      </c>
      <c r="G35" s="2"/>
      <c r="H35" s="38">
        <f t="shared" ref="H35:H56" si="31">K35/B35</f>
        <v>9.3601450821420955E-3</v>
      </c>
      <c r="I35" s="30">
        <f t="shared" si="27"/>
        <v>3.1136530693842608</v>
      </c>
      <c r="J35" s="46">
        <f t="shared" si="30"/>
        <v>6.2155963302752415E-3</v>
      </c>
      <c r="K35" s="29">
        <v>43.871000000000002</v>
      </c>
      <c r="L35" s="18">
        <f>+M35-K35</f>
        <v>19.415999999999997</v>
      </c>
      <c r="M35" s="18">
        <v>63.286999999999999</v>
      </c>
      <c r="N35" s="18">
        <v>89.79</v>
      </c>
      <c r="O35" s="18">
        <f t="shared" si="9"/>
        <v>1.418774787871127</v>
      </c>
      <c r="P35" s="32">
        <f t="shared" si="28"/>
        <v>4.4175724730199377</v>
      </c>
      <c r="Q35" s="29">
        <f t="shared" si="29"/>
        <v>94.207572473019951</v>
      </c>
      <c r="R35" s="29">
        <f t="shared" si="14"/>
        <v>1805.5219761922619</v>
      </c>
      <c r="S35" s="20">
        <v>59685899</v>
      </c>
      <c r="T35" s="20">
        <f t="shared" si="21"/>
        <v>1699171</v>
      </c>
      <c r="U35" s="20">
        <v>61385070</v>
      </c>
      <c r="V35" s="33">
        <f t="shared" si="6"/>
        <v>1.5346984612548289</v>
      </c>
      <c r="W35" s="33">
        <f t="shared" si="15"/>
        <v>30.960118241740627</v>
      </c>
      <c r="X35" s="25">
        <v>23.9</v>
      </c>
      <c r="Y35" s="34"/>
      <c r="Z35" s="26">
        <f>39.37+AP$28</f>
        <v>43.652000000000001</v>
      </c>
      <c r="AA35" s="26">
        <f t="shared" si="12"/>
        <v>524.82743849294843</v>
      </c>
      <c r="AB35" s="26">
        <v>8.08</v>
      </c>
      <c r="AC35" s="27">
        <f t="shared" si="1"/>
        <v>5.4024752475247526</v>
      </c>
      <c r="AD35" s="27">
        <f>AC35*$O$108*$G$115+AC35*(1-$O$108)</f>
        <v>3.9990758318007673</v>
      </c>
      <c r="AE35" s="27">
        <f t="shared" si="13"/>
        <v>49.47177979474008</v>
      </c>
      <c r="AF35" s="28">
        <f t="shared" si="17"/>
        <v>32.312532720950202</v>
      </c>
      <c r="AG35" s="28">
        <f t="shared" si="7"/>
        <v>18.511661552999453</v>
      </c>
      <c r="AH35" s="1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E35" s="2"/>
    </row>
    <row r="36" spans="1:59" x14ac:dyDescent="0.3">
      <c r="A36" s="1">
        <v>2003</v>
      </c>
      <c r="B36" s="2">
        <v>5036</v>
      </c>
      <c r="C36" s="40">
        <f t="shared" si="20"/>
        <v>7.446127586942608E-2</v>
      </c>
      <c r="D36" s="3">
        <v>69215</v>
      </c>
      <c r="E36" s="3"/>
      <c r="F36" s="2">
        <v>820</v>
      </c>
      <c r="G36" s="2"/>
      <c r="H36" s="38">
        <f t="shared" si="31"/>
        <v>9.5486497220015898E-3</v>
      </c>
      <c r="I36" s="30">
        <f t="shared" si="27"/>
        <v>3.458575423106014</v>
      </c>
      <c r="J36" s="46">
        <f t="shared" si="30"/>
        <v>9.6099929338287371E-2</v>
      </c>
      <c r="K36" s="29">
        <v>48.087000000000003</v>
      </c>
      <c r="L36" s="18"/>
      <c r="M36" s="18">
        <v>76.677999999999997</v>
      </c>
      <c r="N36" s="18">
        <v>106.6</v>
      </c>
      <c r="O36" s="18">
        <f t="shared" si="9"/>
        <v>1.3902292704556718</v>
      </c>
      <c r="P36" s="32">
        <f t="shared" si="28"/>
        <v>4.8082127872805902</v>
      </c>
      <c r="Q36" s="29">
        <f t="shared" si="29"/>
        <v>111.40821278728059</v>
      </c>
      <c r="R36" s="29">
        <f t="shared" si="14"/>
        <v>1916.9301889795424</v>
      </c>
      <c r="S36" s="20">
        <v>60101841</v>
      </c>
      <c r="T36" s="20">
        <f t="shared" si="21"/>
        <v>1722189</v>
      </c>
      <c r="U36" s="20">
        <v>61824030</v>
      </c>
      <c r="V36" s="33">
        <f t="shared" si="6"/>
        <v>1.8020212009356329</v>
      </c>
      <c r="W36" s="33">
        <f t="shared" si="15"/>
        <v>32.762139442676258</v>
      </c>
      <c r="X36" s="25">
        <v>26.1</v>
      </c>
      <c r="Y36" s="34"/>
      <c r="Z36" s="26">
        <f>42.41+AP$28</f>
        <v>46.691999999999993</v>
      </c>
      <c r="AA36" s="26">
        <f t="shared" si="12"/>
        <v>571.51943849294844</v>
      </c>
      <c r="AB36" s="26">
        <v>8.1199999999999992</v>
      </c>
      <c r="AC36" s="27">
        <f t="shared" si="1"/>
        <v>5.7502463054187185</v>
      </c>
      <c r="AD36" s="27">
        <f>AC36*$O$108*$G$115+AC36*(1-$O$108)</f>
        <v>4.2565065036508143</v>
      </c>
      <c r="AE36" s="27">
        <f t="shared" si="13"/>
        <v>53.728286298390891</v>
      </c>
      <c r="AF36" s="28">
        <f t="shared" si="17"/>
        <v>34.562832809644611</v>
      </c>
      <c r="AG36" s="28">
        <f t="shared" si="7"/>
        <v>20.966146855714634</v>
      </c>
      <c r="AH36" s="1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E36" s="2"/>
    </row>
    <row r="37" spans="1:59" x14ac:dyDescent="0.3">
      <c r="A37" s="1">
        <v>2004</v>
      </c>
      <c r="B37" s="2">
        <v>5280</v>
      </c>
      <c r="C37" s="40">
        <f t="shared" si="20"/>
        <v>4.8451151707704421E-2</v>
      </c>
      <c r="D37" s="3">
        <v>71390</v>
      </c>
      <c r="E37" s="3"/>
      <c r="F37" s="2"/>
      <c r="G37" s="2"/>
      <c r="H37" s="38">
        <f t="shared" si="31"/>
        <v>8.6791666666666666E-3</v>
      </c>
      <c r="I37" s="30">
        <f t="shared" si="27"/>
        <v>3.8417073741868206</v>
      </c>
      <c r="J37" s="46">
        <f t="shared" si="30"/>
        <v>-4.7018944829163911E-2</v>
      </c>
      <c r="K37" s="29">
        <v>45.826000000000001</v>
      </c>
      <c r="L37" s="18"/>
      <c r="M37" s="18">
        <v>76.906999999999996</v>
      </c>
      <c r="N37" s="18">
        <v>104.68</v>
      </c>
      <c r="O37" s="18">
        <f t="shared" si="9"/>
        <v>1.3611244750152784</v>
      </c>
      <c r="P37" s="32">
        <f t="shared" si="28"/>
        <v>5.2290419328523603</v>
      </c>
      <c r="Q37" s="29">
        <f t="shared" si="29"/>
        <v>109.90904193285236</v>
      </c>
      <c r="R37" s="29">
        <f t="shared" si="14"/>
        <v>2026.8392309123949</v>
      </c>
      <c r="S37" s="20">
        <v>60505421</v>
      </c>
      <c r="T37" s="20">
        <f t="shared" si="21"/>
        <v>1745641</v>
      </c>
      <c r="U37" s="20">
        <v>62251062</v>
      </c>
      <c r="V37" s="33">
        <f t="shared" si="6"/>
        <v>1.7655769781542419</v>
      </c>
      <c r="W37" s="33">
        <f t="shared" si="15"/>
        <v>34.527716420830501</v>
      </c>
      <c r="X37" s="47"/>
      <c r="Y37" s="34"/>
      <c r="Z37" s="42">
        <f>SUM(Z36+Z38)/2</f>
        <v>59.866999999999997</v>
      </c>
      <c r="AA37" s="26">
        <f t="shared" si="12"/>
        <v>631.3864384929484</v>
      </c>
      <c r="AB37" s="26">
        <v>8.17</v>
      </c>
      <c r="AC37" s="27">
        <f t="shared" si="1"/>
        <v>7.3276621787025702</v>
      </c>
      <c r="AD37" s="27">
        <f>AC37*$O$108*$G$115+AC37*(1-$O$108)</f>
        <v>5.4241575166635219</v>
      </c>
      <c r="AE37" s="27">
        <f t="shared" si="13"/>
        <v>59.152443815054411</v>
      </c>
      <c r="AF37" s="28">
        <f t="shared" si="17"/>
        <v>44.31536691114097</v>
      </c>
      <c r="AG37" s="28">
        <f t="shared" si="7"/>
        <v>24.62472739422391</v>
      </c>
      <c r="AH37" s="1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E37" s="2"/>
    </row>
    <row r="38" spans="1:59" x14ac:dyDescent="0.3">
      <c r="A38" s="1">
        <v>2005</v>
      </c>
      <c r="B38" s="2">
        <v>5460</v>
      </c>
      <c r="C38" s="40">
        <f t="shared" si="20"/>
        <v>3.4090909090909172E-2</v>
      </c>
      <c r="D38" s="3">
        <v>72460</v>
      </c>
      <c r="E38" s="3"/>
      <c r="F38" s="2">
        <v>1070</v>
      </c>
      <c r="G38" s="2"/>
      <c r="H38" s="38">
        <f t="shared" si="31"/>
        <v>9.8705128205128206E-3</v>
      </c>
      <c r="I38" s="30">
        <f t="shared" si="27"/>
        <v>4.2672816820132144</v>
      </c>
      <c r="J38" s="46">
        <f t="shared" si="30"/>
        <v>0.17603543839741631</v>
      </c>
      <c r="K38" s="29">
        <v>53.893000000000001</v>
      </c>
      <c r="L38" s="18"/>
      <c r="M38" s="18">
        <v>88.352999999999994</v>
      </c>
      <c r="N38" s="18">
        <v>118.08</v>
      </c>
      <c r="O38" s="18">
        <f t="shared" si="9"/>
        <v>1.3364571661403688</v>
      </c>
      <c r="P38" s="32">
        <f t="shared" si="28"/>
        <v>5.7030391838660872</v>
      </c>
      <c r="Q38" s="29">
        <f t="shared" si="29"/>
        <v>123.78303918386608</v>
      </c>
      <c r="R38" s="29">
        <f t="shared" si="14"/>
        <v>2150.6222700962608</v>
      </c>
      <c r="S38" s="20">
        <v>60963264</v>
      </c>
      <c r="T38" s="20">
        <f t="shared" si="21"/>
        <v>1767273</v>
      </c>
      <c r="U38" s="20">
        <v>62730537</v>
      </c>
      <c r="V38" s="33">
        <f t="shared" si="6"/>
        <v>1.9732501123633945</v>
      </c>
      <c r="W38" s="33">
        <f t="shared" si="15"/>
        <v>36.500966533193896</v>
      </c>
      <c r="X38" s="25">
        <v>44</v>
      </c>
      <c r="Y38" s="34"/>
      <c r="Z38" s="26">
        <f>68.76+AP$28</f>
        <v>73.042000000000002</v>
      </c>
      <c r="AA38" s="26">
        <f t="shared" si="12"/>
        <v>704.42843849294843</v>
      </c>
      <c r="AB38" s="26">
        <v>8.23</v>
      </c>
      <c r="AC38" s="27">
        <f t="shared" si="1"/>
        <v>8.8750911300121498</v>
      </c>
      <c r="AD38" s="27">
        <f>AC38*$O$108*$G$115+AC38*(1-$O$108)</f>
        <v>6.5696113016570248</v>
      </c>
      <c r="AE38" s="27">
        <f t="shared" si="13"/>
        <v>65.722055116711431</v>
      </c>
      <c r="AF38" s="28">
        <f t="shared" si="17"/>
        <v>54.067901012637314</v>
      </c>
      <c r="AG38" s="28">
        <f t="shared" si="7"/>
        <v>29.221088583517535</v>
      </c>
      <c r="AH38" s="1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E38" s="2"/>
    </row>
    <row r="39" spans="1:59" x14ac:dyDescent="0.3">
      <c r="A39" s="1">
        <v>2006</v>
      </c>
      <c r="B39" s="2">
        <v>5900</v>
      </c>
      <c r="C39" s="40">
        <f t="shared" si="20"/>
        <v>8.0586080586080522E-2</v>
      </c>
      <c r="D39" s="3">
        <v>69486</v>
      </c>
      <c r="E39" s="3"/>
      <c r="F39" s="2">
        <v>200</v>
      </c>
      <c r="G39" s="2"/>
      <c r="H39" s="38">
        <f t="shared" si="31"/>
        <v>9.1525423728813556E-3</v>
      </c>
      <c r="I39" s="30">
        <f>D$138</f>
        <v>4.74</v>
      </c>
      <c r="J39" s="46">
        <f t="shared" si="30"/>
        <v>1.9854155456182632E-3</v>
      </c>
      <c r="K39" s="29">
        <v>54</v>
      </c>
      <c r="L39" s="18"/>
      <c r="M39" s="18">
        <v>117.818</v>
      </c>
      <c r="N39" s="18">
        <v>154.93</v>
      </c>
      <c r="O39" s="18">
        <f t="shared" si="9"/>
        <v>1.3149943132628292</v>
      </c>
      <c r="P39" s="32">
        <f t="shared" si="28"/>
        <v>6.2330730448658107</v>
      </c>
      <c r="Q39" s="29">
        <f t="shared" si="29"/>
        <v>161.16307304486583</v>
      </c>
      <c r="R39" s="29">
        <f t="shared" si="14"/>
        <v>2311.7853431411268</v>
      </c>
      <c r="S39" s="20">
        <v>61399733</v>
      </c>
      <c r="T39" s="20">
        <f t="shared" si="21"/>
        <v>1786384</v>
      </c>
      <c r="U39" s="20">
        <v>63186117</v>
      </c>
      <c r="V39" s="33">
        <f t="shared" si="6"/>
        <v>2.5506089105754959</v>
      </c>
      <c r="W39" s="33">
        <f t="shared" si="15"/>
        <v>39.051575443769394</v>
      </c>
      <c r="X39" s="25">
        <v>44</v>
      </c>
      <c r="Y39" s="34">
        <v>11600</v>
      </c>
      <c r="Z39" s="26">
        <f>67.5+AP$28</f>
        <v>71.781999999999996</v>
      </c>
      <c r="AA39" s="26">
        <f t="shared" si="12"/>
        <v>776.21043849294847</v>
      </c>
      <c r="AB39" s="26">
        <v>8.27</v>
      </c>
      <c r="AC39" s="27">
        <f t="shared" si="1"/>
        <v>8.6798065296251519</v>
      </c>
      <c r="AD39" s="27">
        <f>AC39*$O$108*$G$115+AC39*(1-$O$108)</f>
        <v>6.4250557248242899</v>
      </c>
      <c r="AE39" s="27">
        <f t="shared" si="13"/>
        <v>72.147110841535721</v>
      </c>
      <c r="AF39" s="28">
        <f t="shared" si="17"/>
        <v>53.135210844296871</v>
      </c>
      <c r="AG39" s="28">
        <f t="shared" si="7"/>
        <v>33.095535397766326</v>
      </c>
      <c r="AH39" s="1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E39" s="2"/>
    </row>
    <row r="40" spans="1:59" x14ac:dyDescent="0.3">
      <c r="A40" s="1">
        <v>2007</v>
      </c>
      <c r="B40" s="2">
        <f>B39*1.05</f>
        <v>6195</v>
      </c>
      <c r="C40" s="40">
        <f t="shared" si="20"/>
        <v>5.0000000000000044E-2</v>
      </c>
      <c r="D40" s="3">
        <v>72023</v>
      </c>
      <c r="E40" s="3"/>
      <c r="F40" s="2">
        <v>826</v>
      </c>
      <c r="G40" s="2"/>
      <c r="H40" s="38">
        <f t="shared" si="31"/>
        <v>1.0349448351232473E-2</v>
      </c>
      <c r="I40" s="30">
        <f>E$138</f>
        <v>5.8900000000000006</v>
      </c>
      <c r="J40" s="46">
        <f t="shared" si="30"/>
        <v>0.1873117136275031</v>
      </c>
      <c r="K40" s="29">
        <f>K41/(1+J41)</f>
        <v>64.114832535885171</v>
      </c>
      <c r="L40" s="18"/>
      <c r="M40" s="18">
        <v>98.19</v>
      </c>
      <c r="N40" s="18">
        <v>127.23</v>
      </c>
      <c r="O40" s="18">
        <f t="shared" si="9"/>
        <v>1.2957531316834709</v>
      </c>
      <c r="P40" s="32">
        <f t="shared" si="28"/>
        <v>7.6319859456156447</v>
      </c>
      <c r="Q40" s="29">
        <f t="shared" si="29"/>
        <v>134.86198594561566</v>
      </c>
      <c r="R40" s="29">
        <f t="shared" si="14"/>
        <v>2446.6473290867425</v>
      </c>
      <c r="S40" s="20">
        <v>61795238</v>
      </c>
      <c r="T40" s="20">
        <f t="shared" si="21"/>
        <v>1805452</v>
      </c>
      <c r="U40" s="20">
        <v>63600690</v>
      </c>
      <c r="V40" s="33">
        <f t="shared" si="6"/>
        <v>2.1204484722668204</v>
      </c>
      <c r="W40" s="33">
        <f t="shared" si="15"/>
        <v>41.172023916036217</v>
      </c>
      <c r="X40" s="25">
        <v>43</v>
      </c>
      <c r="Y40" s="34"/>
      <c r="Z40" s="26">
        <f>58.11+AP$28</f>
        <v>62.391999999999996</v>
      </c>
      <c r="AA40" s="26">
        <f t="shared" si="12"/>
        <v>838.60243849294852</v>
      </c>
      <c r="AB40" s="26">
        <v>8.3000000000000007</v>
      </c>
      <c r="AC40" s="27">
        <f t="shared" si="1"/>
        <v>7.517108433734939</v>
      </c>
      <c r="AD40" s="27">
        <f>AC40*$O$108*$G$115+AC40*(1-$O$108)</f>
        <v>5.5643913734076538</v>
      </c>
      <c r="AE40" s="27">
        <f t="shared" si="13"/>
        <v>77.71150221494338</v>
      </c>
      <c r="AF40" s="28">
        <f t="shared" si="17"/>
        <v>46.184448399283532</v>
      </c>
      <c r="AG40" s="28">
        <f t="shared" si="7"/>
        <v>36.539478298907163</v>
      </c>
      <c r="AH40" s="1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E40" s="2"/>
    </row>
    <row r="41" spans="1:59" x14ac:dyDescent="0.3">
      <c r="A41" s="1">
        <v>2008</v>
      </c>
      <c r="B41" s="2">
        <v>6500</v>
      </c>
      <c r="C41" s="40">
        <f t="shared" si="20"/>
        <v>4.9233252623083201E-2</v>
      </c>
      <c r="D41" s="3">
        <v>72094</v>
      </c>
      <c r="E41" s="3"/>
      <c r="F41" s="2">
        <v>400</v>
      </c>
      <c r="G41" s="2"/>
      <c r="H41" s="38">
        <f t="shared" si="31"/>
        <v>1.0307692307692308E-2</v>
      </c>
      <c r="I41" s="30">
        <f>F$138</f>
        <v>4.7300000000000004</v>
      </c>
      <c r="J41" s="46">
        <v>4.4999999999999998E-2</v>
      </c>
      <c r="K41" s="29">
        <v>67</v>
      </c>
      <c r="L41" s="31">
        <f>303.607422*0.02+1.72</f>
        <v>7.7921484399999992</v>
      </c>
      <c r="M41" s="31">
        <f t="shared" ref="M41:M56" si="32">K41+L41</f>
        <v>74.792148440000005</v>
      </c>
      <c r="N41" s="18">
        <v>94.26</v>
      </c>
      <c r="O41" s="18">
        <f t="shared" si="9"/>
        <v>1.260292717431664</v>
      </c>
      <c r="P41" s="32">
        <f t="shared" si="28"/>
        <v>5.9611845534517718</v>
      </c>
      <c r="Q41" s="29">
        <f t="shared" si="29"/>
        <v>100.22118455345178</v>
      </c>
      <c r="R41" s="29">
        <f t="shared" si="14"/>
        <v>2546.8685136401941</v>
      </c>
      <c r="S41" s="20">
        <v>62134866</v>
      </c>
      <c r="T41" s="20">
        <f t="shared" si="21"/>
        <v>1826993</v>
      </c>
      <c r="U41" s="20">
        <v>63961859</v>
      </c>
      <c r="V41" s="33">
        <f t="shared" si="6"/>
        <v>1.5668898015214314</v>
      </c>
      <c r="W41" s="33">
        <f t="shared" si="15"/>
        <v>42.738913717557651</v>
      </c>
      <c r="X41" s="25">
        <f>207*0.917*0.176</f>
        <v>33.408144</v>
      </c>
      <c r="Y41" s="34"/>
      <c r="Z41" s="26">
        <f>48.59+AP$28</f>
        <v>52.872</v>
      </c>
      <c r="AA41" s="26">
        <f t="shared" si="12"/>
        <v>891.47443849294848</v>
      </c>
      <c r="AB41" s="26">
        <v>8.32</v>
      </c>
      <c r="AC41" s="27">
        <f t="shared" si="1"/>
        <v>6.3548076923076922</v>
      </c>
      <c r="AD41" s="27">
        <f>AC41*$O$108*$G$115+AC41*(1-$O$108)</f>
        <v>4.7040211558012999</v>
      </c>
      <c r="AE41" s="27">
        <f t="shared" si="13"/>
        <v>82.41552337074468</v>
      </c>
      <c r="AF41" s="28">
        <f t="shared" si="17"/>
        <v>39.137456016266817</v>
      </c>
      <c r="AG41" s="28">
        <f t="shared" si="7"/>
        <v>39.676609653187029</v>
      </c>
      <c r="AH41" s="1"/>
      <c r="AI41" s="2"/>
      <c r="AJ41" s="2"/>
      <c r="AK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E41" s="2"/>
    </row>
    <row r="42" spans="1:59" x14ac:dyDescent="0.3">
      <c r="A42" s="1">
        <v>2009</v>
      </c>
      <c r="B42" s="2">
        <v>6701</v>
      </c>
      <c r="C42" s="40">
        <f>B42/B41-1</f>
        <v>3.0923076923076831E-2</v>
      </c>
      <c r="D42" s="3">
        <v>72749</v>
      </c>
      <c r="E42" s="3"/>
      <c r="F42" s="2" t="s">
        <v>46</v>
      </c>
      <c r="G42" s="2"/>
      <c r="H42" s="38">
        <f t="shared" si="31"/>
        <v>1.2725861811669899E-2</v>
      </c>
      <c r="I42" s="30">
        <f>G$138</f>
        <v>6.68</v>
      </c>
      <c r="J42" s="46">
        <f t="shared" ref="J42:J56" si="33">K42/K41-1</f>
        <v>0.27277611940298496</v>
      </c>
      <c r="K42" s="29">
        <v>85.275999999999996</v>
      </c>
      <c r="L42" s="31">
        <f>323.951948*0.02+9.3</f>
        <v>15.779038960000001</v>
      </c>
      <c r="M42" s="31">
        <f t="shared" si="32"/>
        <v>101.05503895999999</v>
      </c>
      <c r="N42" s="18">
        <v>127.25</v>
      </c>
      <c r="O42" s="18">
        <f t="shared" si="9"/>
        <v>1.2592147933401778</v>
      </c>
      <c r="P42" s="32">
        <f t="shared" si="28"/>
        <v>8.4115548195123875</v>
      </c>
      <c r="Q42" s="29">
        <f t="shared" si="29"/>
        <v>135.66155481951239</v>
      </c>
      <c r="R42" s="29">
        <f t="shared" si="14"/>
        <v>2682.5300684597064</v>
      </c>
      <c r="S42" s="20">
        <v>62465709</v>
      </c>
      <c r="T42" s="20">
        <f t="shared" si="21"/>
        <v>1838791</v>
      </c>
      <c r="U42" s="20">
        <v>64304500</v>
      </c>
      <c r="V42" s="33">
        <f t="shared" si="6"/>
        <v>2.1096743590186131</v>
      </c>
      <c r="W42" s="33">
        <f t="shared" si="15"/>
        <v>44.848588076576263</v>
      </c>
      <c r="X42" s="25">
        <f>203.7*0.92*0.184</f>
        <v>34.482335999999997</v>
      </c>
      <c r="Y42" s="34">
        <v>10842</v>
      </c>
      <c r="Z42" s="26">
        <f>49.94+AP$28</f>
        <v>54.221999999999994</v>
      </c>
      <c r="AA42" s="26">
        <f t="shared" si="12"/>
        <v>945.69643849294846</v>
      </c>
      <c r="AB42" s="26">
        <v>8.34</v>
      </c>
      <c r="AC42" s="27">
        <f t="shared" si="1"/>
        <v>6.5014388489208628</v>
      </c>
      <c r="AD42" s="27">
        <f>AC42*$O$108*$G$115+AC42*(1-$O$108)</f>
        <v>4.8125619797262935</v>
      </c>
      <c r="AE42" s="27">
        <f t="shared" si="13"/>
        <v>87.228085350470977</v>
      </c>
      <c r="AF42" s="28">
        <f t="shared" si="17"/>
        <v>40.136766910917288</v>
      </c>
      <c r="AG42" s="28">
        <f t="shared" si="7"/>
        <v>42.379497273894714</v>
      </c>
      <c r="AH42" s="1"/>
      <c r="AI42" s="2"/>
      <c r="AJ42" s="2"/>
      <c r="AK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E42" s="2"/>
    </row>
    <row r="43" spans="1:59" x14ac:dyDescent="0.3">
      <c r="A43" s="1">
        <v>2010</v>
      </c>
      <c r="B43" s="2">
        <f>(B42+B44)/2</f>
        <v>6914.5</v>
      </c>
      <c r="C43" s="2"/>
      <c r="D43" s="3">
        <v>73594</v>
      </c>
      <c r="E43" s="3"/>
      <c r="F43" s="2"/>
      <c r="G43" s="2"/>
      <c r="H43" s="38">
        <f t="shared" si="31"/>
        <v>1.2005495697447393E-2</v>
      </c>
      <c r="I43" s="30">
        <f>H$138</f>
        <v>7.62</v>
      </c>
      <c r="J43" s="46">
        <f t="shared" si="33"/>
        <v>-2.6549087668277127E-2</v>
      </c>
      <c r="K43" s="29">
        <v>83.012</v>
      </c>
      <c r="L43" s="31">
        <f>296.738086*0.03+7.2</f>
        <v>16.102142579999999</v>
      </c>
      <c r="M43" s="31">
        <f t="shared" si="32"/>
        <v>99.114142579999992</v>
      </c>
      <c r="N43" s="18">
        <v>122.93</v>
      </c>
      <c r="O43" s="18">
        <f t="shared" si="9"/>
        <v>1.2402871759777072</v>
      </c>
      <c r="P43" s="32">
        <f t="shared" si="28"/>
        <v>9.4509882809501295</v>
      </c>
      <c r="Q43" s="29">
        <f t="shared" si="29"/>
        <v>132.38098828095013</v>
      </c>
      <c r="R43" s="29">
        <f t="shared" si="14"/>
        <v>2814.9110567406565</v>
      </c>
      <c r="S43" s="20">
        <v>62765235</v>
      </c>
      <c r="T43" s="20">
        <f t="shared" si="21"/>
        <v>1847704</v>
      </c>
      <c r="U43" s="20">
        <v>64612939</v>
      </c>
      <c r="V43" s="33">
        <f t="shared" si="6"/>
        <v>2.0488309358741619</v>
      </c>
      <c r="W43" s="33">
        <f t="shared" si="15"/>
        <v>46.897419012450428</v>
      </c>
      <c r="X43" s="25">
        <f>197*0.92*0.192</f>
        <v>34.798080000000006</v>
      </c>
      <c r="Y43" s="34"/>
      <c r="Z43" s="26">
        <f>49.47+AP$28</f>
        <v>53.751999999999995</v>
      </c>
      <c r="AA43" s="26">
        <f t="shared" si="12"/>
        <v>999.44843849294841</v>
      </c>
      <c r="AB43" s="26">
        <v>8.36</v>
      </c>
      <c r="AC43" s="27">
        <f t="shared" si="1"/>
        <v>6.4296650717703345</v>
      </c>
      <c r="AD43" s="27">
        <f>AC43*$O$108*$G$115+AC43*(1-$O$108)</f>
        <v>4.7594328556842651</v>
      </c>
      <c r="AE43" s="27">
        <f t="shared" si="13"/>
        <v>91.987518206155244</v>
      </c>
      <c r="AF43" s="28">
        <f t="shared" si="17"/>
        <v>39.788858673520451</v>
      </c>
      <c r="AG43" s="28">
        <f t="shared" si="7"/>
        <v>45.090099193704816</v>
      </c>
      <c r="AH43" s="1"/>
      <c r="AI43" s="2"/>
      <c r="AJ43" s="2"/>
      <c r="AK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E43" s="2"/>
    </row>
    <row r="44" spans="1:59" x14ac:dyDescent="0.3">
      <c r="A44" s="1">
        <v>2011</v>
      </c>
      <c r="B44" s="2">
        <v>7128</v>
      </c>
      <c r="C44" s="2">
        <v>4.1500000000000004</v>
      </c>
      <c r="D44" s="3">
        <v>76025</v>
      </c>
      <c r="E44" s="3"/>
      <c r="F44" s="2"/>
      <c r="G44" s="2"/>
      <c r="H44" s="38">
        <f t="shared" si="31"/>
        <v>1.3376964085297418E-2</v>
      </c>
      <c r="I44" s="30">
        <f>I$138</f>
        <v>5.62</v>
      </c>
      <c r="J44" s="46">
        <f t="shared" si="33"/>
        <v>0.14864116031417152</v>
      </c>
      <c r="K44" s="29">
        <v>95.350999999999999</v>
      </c>
      <c r="L44" s="31">
        <f>296.738086*0.03+0.4+14.8</f>
        <v>24.102142579999999</v>
      </c>
      <c r="M44" s="31">
        <f t="shared" si="32"/>
        <v>119.45314257999999</v>
      </c>
      <c r="N44" s="18">
        <v>145.1</v>
      </c>
      <c r="O44" s="18">
        <f t="shared" si="9"/>
        <v>1.2147022411136972</v>
      </c>
      <c r="P44" s="32">
        <f t="shared" si="28"/>
        <v>6.8266265950589782</v>
      </c>
      <c r="Q44" s="29">
        <f t="shared" si="29"/>
        <v>151.92662659505896</v>
      </c>
      <c r="R44" s="29">
        <f t="shared" si="14"/>
        <v>2966.8376833357156</v>
      </c>
      <c r="S44" s="20">
        <v>63070344</v>
      </c>
      <c r="T44" s="20">
        <f t="shared" si="21"/>
        <v>1863056</v>
      </c>
      <c r="U44" s="20">
        <v>64933400</v>
      </c>
      <c r="V44" s="33">
        <f t="shared" si="6"/>
        <v>2.3397300402421402</v>
      </c>
      <c r="W44" s="33">
        <f t="shared" si="15"/>
        <v>49.237149052692565</v>
      </c>
      <c r="X44" s="25">
        <f>228*0.924*0.19</f>
        <v>40.027679999999997</v>
      </c>
      <c r="Y44" s="34">
        <v>11167</v>
      </c>
      <c r="Z44" s="26">
        <f>55.07+AP$28</f>
        <v>59.352000000000004</v>
      </c>
      <c r="AA44" s="26">
        <f t="shared" si="12"/>
        <v>1058.8004384929484</v>
      </c>
      <c r="AB44" s="26">
        <v>8.39</v>
      </c>
      <c r="AC44" s="27">
        <f t="shared" si="1"/>
        <v>7.0741358760429085</v>
      </c>
      <c r="AD44" s="27">
        <f>AC44*$O$108*$G$115+AC44*(1-$O$108)</f>
        <v>5.2364896675314796</v>
      </c>
      <c r="AE44" s="27">
        <f t="shared" si="13"/>
        <v>97.22400787368673</v>
      </c>
      <c r="AF44" s="28">
        <f t="shared" si="17"/>
        <v>43.934148310589116</v>
      </c>
      <c r="AG44" s="28">
        <f t="shared" si="7"/>
        <v>47.986858820994165</v>
      </c>
      <c r="AH44" s="1"/>
      <c r="AI44" s="2"/>
      <c r="AJ44" s="2"/>
      <c r="AK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E44" s="2"/>
    </row>
    <row r="45" spans="1:59" x14ac:dyDescent="0.3">
      <c r="A45" s="1">
        <v>2012</v>
      </c>
      <c r="B45" s="2">
        <f>(B44+B46)/2</f>
        <v>7231.5</v>
      </c>
      <c r="C45" s="2"/>
      <c r="D45" s="3">
        <v>76865</v>
      </c>
      <c r="E45" s="3"/>
      <c r="F45" s="2"/>
      <c r="G45" s="2"/>
      <c r="H45" s="38">
        <f t="shared" si="31"/>
        <v>1.2817119546428817E-2</v>
      </c>
      <c r="I45" s="30">
        <f>J$138</f>
        <v>7.72</v>
      </c>
      <c r="J45" s="46">
        <f t="shared" si="33"/>
        <v>-2.7938878459586203E-2</v>
      </c>
      <c r="K45" s="29">
        <v>92.686999999999998</v>
      </c>
      <c r="L45" s="31">
        <f>(296.738086*0.03+0.4)*0.71+20.2</f>
        <v>26.804521231799999</v>
      </c>
      <c r="M45" s="31">
        <f t="shared" si="32"/>
        <v>119.49152123179999</v>
      </c>
      <c r="N45" s="18">
        <v>142.36000000000001</v>
      </c>
      <c r="O45" s="18">
        <f t="shared" si="9"/>
        <v>1.1913816020790109</v>
      </c>
      <c r="P45" s="32">
        <f t="shared" si="28"/>
        <v>9.1974659680499631</v>
      </c>
      <c r="Q45" s="29">
        <f t="shared" si="29"/>
        <v>151.55746596804997</v>
      </c>
      <c r="R45" s="29">
        <f t="shared" si="14"/>
        <v>3118.3951493037657</v>
      </c>
      <c r="S45" s="20">
        <v>63375971</v>
      </c>
      <c r="T45" s="20">
        <f t="shared" si="21"/>
        <v>1865270</v>
      </c>
      <c r="U45" s="20">
        <v>65241241</v>
      </c>
      <c r="V45" s="33">
        <f t="shared" si="6"/>
        <v>2.323031623019709</v>
      </c>
      <c r="W45" s="33">
        <f t="shared" si="15"/>
        <v>51.560180675712274</v>
      </c>
      <c r="X45" s="25">
        <f>265*0.936*0.172</f>
        <v>42.662880000000001</v>
      </c>
      <c r="Y45" s="34"/>
      <c r="Z45" s="26">
        <f>57.36+AP$28</f>
        <v>61.641999999999996</v>
      </c>
      <c r="AA45" s="26">
        <f t="shared" si="12"/>
        <v>1120.4424384929484</v>
      </c>
      <c r="AB45" s="26">
        <v>8.43</v>
      </c>
      <c r="AC45" s="27">
        <f t="shared" si="1"/>
        <v>7.3122182680901542</v>
      </c>
      <c r="AD45" s="27">
        <f>AC45*$O$108*$G$115+AC45*(1-$O$108)</f>
        <v>5.4127254661961173</v>
      </c>
      <c r="AE45" s="27">
        <f t="shared" si="13"/>
        <v>102.63673333988285</v>
      </c>
      <c r="AF45" s="28">
        <f t="shared" si="17"/>
        <v>45.629275680033267</v>
      </c>
      <c r="AG45" s="28">
        <f t="shared" si="7"/>
        <v>51.076552664170578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E45" s="2"/>
    </row>
    <row r="46" spans="1:59" x14ac:dyDescent="0.3">
      <c r="A46" s="1">
        <v>2013</v>
      </c>
      <c r="B46" s="2">
        <v>7335</v>
      </c>
      <c r="C46" s="2"/>
      <c r="D46" s="3">
        <v>77542</v>
      </c>
      <c r="E46" s="3"/>
      <c r="F46" s="2"/>
      <c r="G46" s="2"/>
      <c r="H46" s="38">
        <f t="shared" si="31"/>
        <v>1.5020313565098841E-2</v>
      </c>
      <c r="I46" s="30">
        <f>K$138</f>
        <v>7.4700000000000006</v>
      </c>
      <c r="J46" s="46">
        <f t="shared" si="33"/>
        <v>0.18866723488730908</v>
      </c>
      <c r="K46" s="29">
        <v>110.17400000000001</v>
      </c>
      <c r="L46" s="31">
        <f>((296.738086*0.03+0.4)*0.71)*1.154+25.7+(0.9+1.3)</f>
        <v>35.521617501497204</v>
      </c>
      <c r="M46" s="31">
        <f t="shared" si="32"/>
        <v>145.69561750149722</v>
      </c>
      <c r="N46" s="18">
        <v>172.08</v>
      </c>
      <c r="O46" s="18">
        <f t="shared" si="9"/>
        <v>1.1810924923546973</v>
      </c>
      <c r="P46" s="32">
        <f t="shared" si="28"/>
        <v>8.8227609178895889</v>
      </c>
      <c r="Q46" s="29">
        <f t="shared" si="29"/>
        <v>180.90276091788959</v>
      </c>
      <c r="R46" s="29">
        <f t="shared" si="14"/>
        <v>3299.2979102216555</v>
      </c>
      <c r="S46" s="20">
        <v>63697865</v>
      </c>
      <c r="T46" s="20">
        <f t="shared" si="21"/>
        <v>1866891</v>
      </c>
      <c r="U46" s="20">
        <v>65564756</v>
      </c>
      <c r="V46" s="33">
        <f t="shared" si="6"/>
        <v>2.7591464066134801</v>
      </c>
      <c r="W46" s="33">
        <f t="shared" si="15"/>
        <v>54.319327082325756</v>
      </c>
      <c r="X46" s="25">
        <f>280*0.918*0.159</f>
        <v>40.86936</v>
      </c>
      <c r="Y46" s="34"/>
      <c r="Z46" s="26">
        <f>53.87+AP$28</f>
        <v>58.152000000000001</v>
      </c>
      <c r="AA46" s="26">
        <f t="shared" si="12"/>
        <v>1178.5944384929485</v>
      </c>
      <c r="AB46" s="26">
        <v>8.48</v>
      </c>
      <c r="AC46" s="27">
        <f t="shared" si="1"/>
        <v>6.8575471698113208</v>
      </c>
      <c r="AD46" s="27">
        <f>AC46*$O$108*$G$115+AC46*(1-$O$108)</f>
        <v>5.0761641462014966</v>
      </c>
      <c r="AE46" s="27">
        <f t="shared" si="13"/>
        <v>107.71289748608434</v>
      </c>
      <c r="AF46" s="28">
        <f t="shared" si="17"/>
        <v>43.045871959788691</v>
      </c>
      <c r="AG46" s="28">
        <f t="shared" si="7"/>
        <v>53.393570403758588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E46" s="2"/>
    </row>
    <row r="47" spans="1:59" x14ac:dyDescent="0.3">
      <c r="A47" s="1">
        <v>2014</v>
      </c>
      <c r="B47" s="2">
        <v>7598</v>
      </c>
      <c r="C47" s="2">
        <v>3.6</v>
      </c>
      <c r="D47" s="3">
        <v>77951</v>
      </c>
      <c r="E47" s="3"/>
      <c r="F47" s="2"/>
      <c r="G47" s="2"/>
      <c r="H47" s="38">
        <f t="shared" si="31"/>
        <v>1.3540931824164253E-2</v>
      </c>
      <c r="I47" s="30">
        <f>L$138</f>
        <v>6.4399999999999995</v>
      </c>
      <c r="J47" s="46">
        <f t="shared" si="33"/>
        <v>-6.6168061430101566E-2</v>
      </c>
      <c r="K47" s="29">
        <v>102.884</v>
      </c>
      <c r="L47" s="31">
        <f>(18.1-2)+(25.7-5)+(1.2+1.3)</f>
        <v>39.299999999999997</v>
      </c>
      <c r="M47" s="31">
        <f t="shared" si="32"/>
        <v>142.184</v>
      </c>
      <c r="N47" s="18">
        <v>167.09</v>
      </c>
      <c r="O47" s="18">
        <f t="shared" si="9"/>
        <v>1.1751673887357228</v>
      </c>
      <c r="P47" s="32">
        <f t="shared" si="28"/>
        <v>7.5680779834580543</v>
      </c>
      <c r="Q47" s="29">
        <f t="shared" si="29"/>
        <v>174.65807798345807</v>
      </c>
      <c r="R47" s="29">
        <f t="shared" si="14"/>
        <v>3473.9559882051135</v>
      </c>
      <c r="S47" s="20">
        <v>64027958</v>
      </c>
      <c r="T47" s="20">
        <f t="shared" si="21"/>
        <v>2102915</v>
      </c>
      <c r="U47" s="20">
        <v>66130873</v>
      </c>
      <c r="V47" s="33">
        <f t="shared" si="6"/>
        <v>2.6410974188025325</v>
      </c>
      <c r="W47" s="33">
        <f t="shared" si="15"/>
        <v>56.960424501128287</v>
      </c>
      <c r="X47" s="25">
        <f>258*0.903*0.172</f>
        <v>40.071528000000001</v>
      </c>
      <c r="Y47" s="34"/>
      <c r="Z47" s="26">
        <f>51.98+AP$28</f>
        <v>56.262</v>
      </c>
      <c r="AA47" s="26">
        <f t="shared" si="12"/>
        <v>1234.8564384929484</v>
      </c>
      <c r="AB47" s="26">
        <v>8.5500000000000007</v>
      </c>
      <c r="AC47" s="27">
        <f t="shared" si="1"/>
        <v>6.5803508771929824</v>
      </c>
      <c r="AD47" s="27">
        <f>AC47*$O$108*$G$115+AC47*(1-$O$108)</f>
        <v>4.8709750534828089</v>
      </c>
      <c r="AE47" s="27">
        <f t="shared" si="13"/>
        <v>112.58387253956715</v>
      </c>
      <c r="AF47" s="28">
        <f t="shared" si="17"/>
        <v>41.64683670727802</v>
      </c>
      <c r="AG47" s="28">
        <f t="shared" si="7"/>
        <v>55.623448038438866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G47" s="2"/>
    </row>
    <row r="48" spans="1:59" x14ac:dyDescent="0.3">
      <c r="A48" s="1">
        <v>2015</v>
      </c>
      <c r="B48" s="2">
        <v>7806</v>
      </c>
      <c r="C48" s="2">
        <v>2.2999999999999998</v>
      </c>
      <c r="D48" s="3">
        <v>78941</v>
      </c>
      <c r="E48" s="3"/>
      <c r="F48" s="2">
        <v>1558</v>
      </c>
      <c r="G48" s="2" t="e">
        <f>#REF!/(#REF!+K48)</f>
        <v>#REF!</v>
      </c>
      <c r="H48" s="38">
        <f t="shared" si="31"/>
        <v>1.5317576223417884E-2</v>
      </c>
      <c r="I48" s="30">
        <f>M$138</f>
        <v>8.7200000000000006</v>
      </c>
      <c r="J48" s="46">
        <f t="shared" si="33"/>
        <v>0.16217293262314847</v>
      </c>
      <c r="K48" s="29">
        <v>119.569</v>
      </c>
      <c r="L48" s="18">
        <f>18.1+6.7+(1.3+1.4)</f>
        <v>27.5</v>
      </c>
      <c r="M48" s="31">
        <f t="shared" si="32"/>
        <v>147.06900000000002</v>
      </c>
      <c r="N48" s="18">
        <v>172.76</v>
      </c>
      <c r="O48" s="18">
        <f t="shared" si="9"/>
        <v>1.1746867116795516</v>
      </c>
      <c r="P48" s="32">
        <f t="shared" si="28"/>
        <v>10.243268125845692</v>
      </c>
      <c r="Q48" s="29">
        <f t="shared" si="29"/>
        <v>183.00326812584569</v>
      </c>
      <c r="R48" s="29">
        <f t="shared" si="14"/>
        <v>3656.9592563309593</v>
      </c>
      <c r="S48" s="20">
        <v>64300821</v>
      </c>
      <c r="T48" s="20">
        <f t="shared" si="21"/>
        <v>2121648</v>
      </c>
      <c r="U48" s="20">
        <v>66422469</v>
      </c>
      <c r="V48" s="33">
        <f t="shared" si="6"/>
        <v>2.7551410069662676</v>
      </c>
      <c r="W48" s="33">
        <f t="shared" si="15"/>
        <v>59.715565508094556</v>
      </c>
      <c r="X48" s="25">
        <f>261*0.921*0.17</f>
        <v>40.86477</v>
      </c>
      <c r="Y48" s="34"/>
      <c r="Z48" s="26">
        <f>52.54+AP$28</f>
        <v>56.822000000000003</v>
      </c>
      <c r="AA48" s="26">
        <f t="shared" si="12"/>
        <v>1291.6784384929483</v>
      </c>
      <c r="AB48" s="26">
        <v>8.64</v>
      </c>
      <c r="AC48" s="27">
        <f t="shared" si="1"/>
        <v>6.5766203703703701</v>
      </c>
      <c r="AD48" s="27">
        <f>AC48*$O$108*$G$115+AC48*(1-$O$108)</f>
        <v>4.8682136193269541</v>
      </c>
      <c r="AE48" s="27">
        <f t="shared" si="13"/>
        <v>117.4520861588941</v>
      </c>
      <c r="AF48" s="28">
        <f t="shared" si="17"/>
        <v>42.061365670984884</v>
      </c>
      <c r="AG48" s="28">
        <f t="shared" si="7"/>
        <v>57.736520650799548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G48" s="2"/>
    </row>
    <row r="49" spans="1:59" x14ac:dyDescent="0.3">
      <c r="A49" s="1">
        <v>2016</v>
      </c>
      <c r="B49" s="2">
        <v>8042</v>
      </c>
      <c r="C49" s="2">
        <v>3.8</v>
      </c>
      <c r="D49" s="3">
        <v>80988</v>
      </c>
      <c r="E49" s="3"/>
      <c r="F49" s="2">
        <v>2225</v>
      </c>
      <c r="G49" s="2"/>
      <c r="H49" s="38">
        <f t="shared" si="31"/>
        <v>1.6624222830141758E-2</v>
      </c>
      <c r="I49" s="30">
        <f>N$138</f>
        <v>5.7</v>
      </c>
      <c r="J49" s="46">
        <f t="shared" si="33"/>
        <v>0.11811589960608515</v>
      </c>
      <c r="K49" s="29">
        <v>133.69200000000001</v>
      </c>
      <c r="L49" s="18">
        <f>23.02+4.5+(0.9+1.3+0.5)</f>
        <v>30.22</v>
      </c>
      <c r="M49" s="31">
        <f t="shared" si="32"/>
        <v>163.91200000000001</v>
      </c>
      <c r="N49" s="18">
        <v>192.2</v>
      </c>
      <c r="O49" s="18">
        <f t="shared" si="9"/>
        <v>1.172580408999951</v>
      </c>
      <c r="P49" s="32">
        <f t="shared" si="28"/>
        <v>6.6837083312997212</v>
      </c>
      <c r="Q49" s="29">
        <f t="shared" si="29"/>
        <v>198.88370833129972</v>
      </c>
      <c r="R49" s="29">
        <f t="shared" si="14"/>
        <v>3855.842964662259</v>
      </c>
      <c r="S49" s="20">
        <v>64468792</v>
      </c>
      <c r="T49" s="20">
        <f t="shared" si="21"/>
        <v>2133853</v>
      </c>
      <c r="U49" s="20">
        <v>66602645</v>
      </c>
      <c r="V49" s="33">
        <f t="shared" si="6"/>
        <v>2.9861232738024102</v>
      </c>
      <c r="W49" s="33">
        <f t="shared" si="15"/>
        <v>62.701688781896969</v>
      </c>
      <c r="X49" s="25">
        <f>242*0.924*0.186</f>
        <v>41.591087999999999</v>
      </c>
      <c r="Y49" s="34">
        <v>11224</v>
      </c>
      <c r="Z49" s="26">
        <f>53.47+AP$28</f>
        <v>57.751999999999995</v>
      </c>
      <c r="AA49" s="26">
        <f t="shared" si="12"/>
        <v>1349.4304384929483</v>
      </c>
      <c r="AB49" s="26">
        <v>8.74</v>
      </c>
      <c r="AC49" s="27">
        <f t="shared" si="1"/>
        <v>6.6077803203661318</v>
      </c>
      <c r="AD49" s="27">
        <f>AC49*$O$108*$G$115+AC49*(1-$O$108)</f>
        <v>4.8912791582214199</v>
      </c>
      <c r="AE49" s="27">
        <f t="shared" si="13"/>
        <v>122.34336531711553</v>
      </c>
      <c r="AF49" s="28">
        <f t="shared" si="17"/>
        <v>42.749779842855212</v>
      </c>
      <c r="AG49" s="28">
        <f t="shared" si="7"/>
        <v>59.641676535218558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G49" s="2"/>
    </row>
    <row r="50" spans="1:59" x14ac:dyDescent="0.3">
      <c r="A50" s="1">
        <v>2017</v>
      </c>
      <c r="B50" s="2">
        <v>8600</v>
      </c>
      <c r="C50" s="2">
        <v>4.8</v>
      </c>
      <c r="D50" s="3">
        <v>83216</v>
      </c>
      <c r="E50" s="3"/>
      <c r="F50" s="2">
        <v>600</v>
      </c>
      <c r="G50" s="2"/>
      <c r="H50" s="38">
        <f t="shared" si="31"/>
        <v>1.8216162790697675E-2</v>
      </c>
      <c r="I50" s="30">
        <f>O$138</f>
        <v>8.1199999999999992</v>
      </c>
      <c r="J50" s="46">
        <f t="shared" si="33"/>
        <v>0.17179038386739665</v>
      </c>
      <c r="K50" s="29">
        <v>156.65899999999999</v>
      </c>
      <c r="L50" s="18">
        <f>19.1+1.2+(1+1.1+0.5)</f>
        <v>22.900000000000002</v>
      </c>
      <c r="M50" s="31">
        <f t="shared" si="32"/>
        <v>179.559</v>
      </c>
      <c r="N50" s="18">
        <v>208.39</v>
      </c>
      <c r="O50" s="18">
        <f t="shared" si="9"/>
        <v>1.1605656079617284</v>
      </c>
      <c r="P50" s="32">
        <f t="shared" si="28"/>
        <v>9.4237927366492329</v>
      </c>
      <c r="Q50" s="29">
        <f t="shared" si="29"/>
        <v>217.81379273664922</v>
      </c>
      <c r="R50" s="29">
        <f t="shared" si="14"/>
        <v>4073.6567573989082</v>
      </c>
      <c r="S50" s="20">
        <v>64639133</v>
      </c>
      <c r="T50" s="20">
        <f t="shared" si="21"/>
        <v>2135349</v>
      </c>
      <c r="U50" s="20">
        <v>66774482</v>
      </c>
      <c r="V50" s="33">
        <f t="shared" si="6"/>
        <v>3.2619315974124548</v>
      </c>
      <c r="W50" s="33">
        <f t="shared" si="15"/>
        <v>65.963620379309418</v>
      </c>
      <c r="X50" s="25">
        <f>292*0.939*0.162</f>
        <v>44.418455999999999</v>
      </c>
      <c r="Y50" s="34">
        <v>11364</v>
      </c>
      <c r="Z50" s="26">
        <f>55.38+AP$28</f>
        <v>59.662000000000006</v>
      </c>
      <c r="AA50" s="26">
        <f t="shared" si="12"/>
        <v>1409.0924384929483</v>
      </c>
      <c r="AB50" s="26">
        <v>8.8000000000000007</v>
      </c>
      <c r="AC50" s="27">
        <f t="shared" si="1"/>
        <v>6.7797727272727277</v>
      </c>
      <c r="AD50" s="27">
        <f>AC50*$O$108*$G$115+AC50*(1-$O$108)</f>
        <v>5.0185931478650643</v>
      </c>
      <c r="AE50" s="27">
        <f t="shared" si="13"/>
        <v>127.36195846498059</v>
      </c>
      <c r="AF50" s="28">
        <f t="shared" si="17"/>
        <v>44.163619701212568</v>
      </c>
      <c r="AG50" s="28">
        <f t="shared" si="7"/>
        <v>61.39833808567117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G50" s="2"/>
    </row>
    <row r="51" spans="1:59" x14ac:dyDescent="0.3">
      <c r="A51" s="1">
        <v>2018</v>
      </c>
      <c r="B51" s="2">
        <v>8739</v>
      </c>
      <c r="C51" s="2">
        <v>3.9</v>
      </c>
      <c r="D51" s="3">
        <v>84969</v>
      </c>
      <c r="E51" s="3"/>
      <c r="F51" s="2">
        <v>148</v>
      </c>
      <c r="G51" s="2"/>
      <c r="H51" s="38">
        <f t="shared" si="31"/>
        <v>2.1220620208261817E-2</v>
      </c>
      <c r="I51" s="30">
        <f>P$138</f>
        <v>10.43</v>
      </c>
      <c r="J51" s="46">
        <f t="shared" si="33"/>
        <v>0.18376218410688194</v>
      </c>
      <c r="K51" s="29">
        <v>185.447</v>
      </c>
      <c r="L51" s="18">
        <f>26.4+1.2+(1.3+1.3)</f>
        <v>30.2</v>
      </c>
      <c r="M51" s="31">
        <f t="shared" si="32"/>
        <v>215.64699999999999</v>
      </c>
      <c r="N51" s="18">
        <v>245.73</v>
      </c>
      <c r="O51" s="18">
        <f t="shared" si="9"/>
        <v>1.1395011291601553</v>
      </c>
      <c r="P51" s="32">
        <f t="shared" si="28"/>
        <v>11.884996777140421</v>
      </c>
      <c r="Q51" s="29">
        <f t="shared" si="29"/>
        <v>257.61499677714039</v>
      </c>
      <c r="R51" s="29">
        <f t="shared" si="14"/>
        <v>4331.2717541760485</v>
      </c>
      <c r="S51" s="20">
        <v>64844037</v>
      </c>
      <c r="T51" s="20">
        <f t="shared" si="21"/>
        <v>2148122</v>
      </c>
      <c r="U51" s="20">
        <v>66992159</v>
      </c>
      <c r="V51" s="33">
        <f t="shared" si="6"/>
        <v>3.8454499843353367</v>
      </c>
      <c r="W51" s="33">
        <f t="shared" si="15"/>
        <v>69.80907036364475</v>
      </c>
      <c r="X51" s="25">
        <f>295*0.933*0.156</f>
        <v>42.936660000000003</v>
      </c>
      <c r="Y51" s="34"/>
      <c r="Z51" s="26">
        <f>52.46+AP$28</f>
        <v>56.742000000000004</v>
      </c>
      <c r="AA51" s="26">
        <f t="shared" si="12"/>
        <v>1465.8344384929483</v>
      </c>
      <c r="AB51" s="26">
        <v>8.84</v>
      </c>
      <c r="AC51" s="27">
        <f t="shared" si="1"/>
        <v>6.4187782805429867</v>
      </c>
      <c r="AD51" s="27">
        <f>AC51*$O$108*$G$115+AC51*(1-$O$108)</f>
        <v>4.7513741230314697</v>
      </c>
      <c r="AE51" s="27">
        <f t="shared" si="13"/>
        <v>132.11333258801207</v>
      </c>
      <c r="AF51" s="28">
        <f t="shared" si="17"/>
        <v>42.002147247598188</v>
      </c>
      <c r="AG51" s="28">
        <f t="shared" si="7"/>
        <v>62.304262224367321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F51" s="2"/>
    </row>
    <row r="52" spans="1:59" x14ac:dyDescent="0.3">
      <c r="A52" s="1">
        <v>2019</v>
      </c>
      <c r="B52" s="2">
        <f>(B51+B53)/2</f>
        <v>9063.5</v>
      </c>
      <c r="C52" s="2">
        <v>4.5</v>
      </c>
      <c r="D52" s="3">
        <v>86629</v>
      </c>
      <c r="E52" s="3"/>
      <c r="F52" s="2"/>
      <c r="G52" s="2"/>
      <c r="H52" s="38">
        <f t="shared" si="31"/>
        <v>2.4383516301649474E-2</v>
      </c>
      <c r="I52" s="30">
        <f>Q$138</f>
        <v>10.94</v>
      </c>
      <c r="J52" s="46">
        <f t="shared" si="33"/>
        <v>0.19171515311652376</v>
      </c>
      <c r="K52" s="29">
        <v>221</v>
      </c>
      <c r="L52" s="18">
        <f>(26.4*0.94)+4.5+(1.8+4.1)</f>
        <v>35.216000000000001</v>
      </c>
      <c r="M52" s="31">
        <f t="shared" si="32"/>
        <v>256.21600000000001</v>
      </c>
      <c r="N52" s="18">
        <v>288.76</v>
      </c>
      <c r="O52" s="18">
        <f t="shared" si="9"/>
        <v>1.1270178287070283</v>
      </c>
      <c r="P52" s="32">
        <f t="shared" si="28"/>
        <v>12.329575046054888</v>
      </c>
      <c r="Q52" s="29">
        <f t="shared" si="29"/>
        <v>301.0895750460549</v>
      </c>
      <c r="R52" s="29">
        <f t="shared" si="14"/>
        <v>4632.3613292221034</v>
      </c>
      <c r="S52" s="20">
        <v>65096768</v>
      </c>
      <c r="T52" s="20">
        <f t="shared" si="21"/>
        <v>2161214</v>
      </c>
      <c r="U52" s="20">
        <v>67257982</v>
      </c>
      <c r="V52" s="33">
        <f t="shared" si="6"/>
        <v>4.4766370636284467</v>
      </c>
      <c r="W52" s="33">
        <f t="shared" si="15"/>
        <v>74.285707427273195</v>
      </c>
      <c r="X52" s="25">
        <f>317*0.9*0.147</f>
        <v>41.939099999999996</v>
      </c>
      <c r="Y52" s="34">
        <v>11900</v>
      </c>
      <c r="Z52" s="26">
        <f>50.46+AP$28</f>
        <v>54.742000000000004</v>
      </c>
      <c r="AA52" s="26">
        <f t="shared" si="12"/>
        <v>1520.5764384929482</v>
      </c>
      <c r="AB52" s="26">
        <v>8.8800000000000008</v>
      </c>
      <c r="AC52" s="27">
        <f t="shared" si="1"/>
        <v>6.1646396396396392</v>
      </c>
      <c r="AD52" s="27">
        <f>AC52*$O$108*$G$115+AC52*(1-$O$108)</f>
        <v>4.5632530025822984</v>
      </c>
      <c r="AE52" s="27">
        <f t="shared" si="13"/>
        <v>136.67658559059436</v>
      </c>
      <c r="AF52" s="28">
        <f t="shared" si="17"/>
        <v>40.521686662930811</v>
      </c>
      <c r="AG52" s="28">
        <f t="shared" si="7"/>
        <v>62.390878163321162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F52" s="2"/>
    </row>
    <row r="53" spans="1:59" x14ac:dyDescent="0.3">
      <c r="A53" s="1">
        <v>2020</v>
      </c>
      <c r="B53" s="2">
        <v>9388</v>
      </c>
      <c r="C53" s="2">
        <v>2.8</v>
      </c>
      <c r="D53" s="3">
        <v>87617</v>
      </c>
      <c r="E53" s="3">
        <v>9000</v>
      </c>
      <c r="F53" s="2">
        <v>1520</v>
      </c>
      <c r="G53" s="2"/>
      <c r="H53" s="38">
        <f t="shared" si="31"/>
        <v>2.4392841925862805E-2</v>
      </c>
      <c r="I53" s="30">
        <f>R$138</f>
        <v>14.84</v>
      </c>
      <c r="J53" s="46">
        <f t="shared" si="33"/>
        <v>3.6199095022624528E-2</v>
      </c>
      <c r="K53" s="29">
        <v>229</v>
      </c>
      <c r="L53" s="18">
        <f>(26.4*0.94*1.4)+(5.4+3+7.8+0.4)+(1.8+8.4)</f>
        <v>61.542400000000001</v>
      </c>
      <c r="M53" s="31">
        <f t="shared" si="32"/>
        <v>290.54239999999999</v>
      </c>
      <c r="N53" s="18">
        <v>325.89</v>
      </c>
      <c r="O53" s="18">
        <f t="shared" si="9"/>
        <v>1.1216607283480828</v>
      </c>
      <c r="P53" s="32">
        <f t="shared" si="28"/>
        <v>16.645445208685548</v>
      </c>
      <c r="Q53" s="29">
        <f t="shared" si="29"/>
        <v>342.53544520868553</v>
      </c>
      <c r="R53" s="29">
        <f t="shared" si="14"/>
        <v>4974.8967744307893</v>
      </c>
      <c r="S53" s="20">
        <v>65284389</v>
      </c>
      <c r="T53" s="20">
        <f t="shared" si="21"/>
        <v>2169733</v>
      </c>
      <c r="U53" s="20">
        <v>67454122</v>
      </c>
      <c r="V53" s="33">
        <f t="shared" si="6"/>
        <v>5.0780506076216589</v>
      </c>
      <c r="W53" s="33">
        <f t="shared" si="15"/>
        <v>79.363758034894857</v>
      </c>
      <c r="X53" s="25">
        <f>350*0.843*0.139</f>
        <v>41.011950000000006</v>
      </c>
      <c r="Y53" s="34"/>
      <c r="Z53" s="26">
        <f>48.68+AP$28</f>
        <v>52.962000000000003</v>
      </c>
      <c r="AA53" s="26">
        <f t="shared" si="12"/>
        <v>1573.5384384929482</v>
      </c>
      <c r="AB53" s="26">
        <v>8.92</v>
      </c>
      <c r="AC53" s="27">
        <f t="shared" si="1"/>
        <v>5.937443946188341</v>
      </c>
      <c r="AD53" s="27">
        <f>AC53*$O$108*$G$115+AC53*(1-$O$108)</f>
        <v>4.3950758680018884</v>
      </c>
      <c r="AE53" s="27">
        <f t="shared" si="13"/>
        <v>141.07166145859625</v>
      </c>
      <c r="AF53" s="28">
        <f t="shared" si="17"/>
        <v>39.204076742576845</v>
      </c>
      <c r="AG53" s="28">
        <f t="shared" si="7"/>
        <v>61.707903423701396</v>
      </c>
      <c r="AH53" s="48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F53" s="2"/>
    </row>
    <row r="54" spans="1:59" x14ac:dyDescent="0.3">
      <c r="A54" s="1">
        <v>2021</v>
      </c>
      <c r="B54" s="2">
        <v>10058</v>
      </c>
      <c r="C54" s="2">
        <v>8.1</v>
      </c>
      <c r="D54" s="3">
        <v>89882</v>
      </c>
      <c r="E54" s="3"/>
      <c r="F54" s="2">
        <v>1500</v>
      </c>
      <c r="G54" s="2"/>
      <c r="H54" s="38">
        <f t="shared" si="31"/>
        <v>2.704314973155697E-2</v>
      </c>
      <c r="I54" s="30">
        <f>S$138</f>
        <v>13.82</v>
      </c>
      <c r="J54" s="46">
        <f t="shared" si="33"/>
        <v>0.18777292576419224</v>
      </c>
      <c r="K54" s="29">
        <v>272</v>
      </c>
      <c r="L54" s="31">
        <f>(26.4*0.94*1.4*0.93)+(3+14.2+3.4)+(2.4+2.3)</f>
        <v>57.610432000000003</v>
      </c>
      <c r="M54" s="31">
        <f t="shared" si="32"/>
        <v>329.610432</v>
      </c>
      <c r="N54" s="18">
        <v>363.73</v>
      </c>
      <c r="O54" s="18">
        <f t="shared" si="9"/>
        <v>1.1035148305014812</v>
      </c>
      <c r="P54" s="32">
        <f t="shared" si="28"/>
        <v>15.250574957530471</v>
      </c>
      <c r="Q54" s="29">
        <f t="shared" si="29"/>
        <v>378.98057495753051</v>
      </c>
      <c r="R54" s="29">
        <f t="shared" si="14"/>
        <v>5353.87734938832</v>
      </c>
      <c r="S54" s="20">
        <v>65447454</v>
      </c>
      <c r="T54" s="20">
        <f t="shared" si="21"/>
        <v>2178942</v>
      </c>
      <c r="U54" s="20">
        <v>67626396</v>
      </c>
      <c r="V54" s="33">
        <f t="shared" si="6"/>
        <v>5.6040332972576348</v>
      </c>
      <c r="W54" s="33">
        <f t="shared" si="15"/>
        <v>84.967791332152487</v>
      </c>
      <c r="X54" s="25">
        <f>406*0.812*0.127</f>
        <v>41.868344</v>
      </c>
      <c r="Y54" s="34"/>
      <c r="Z54" s="26">
        <f>48.31+AP$28</f>
        <v>52.591999999999999</v>
      </c>
      <c r="AA54" s="26">
        <f t="shared" si="12"/>
        <v>1626.1304384929483</v>
      </c>
      <c r="AB54" s="26">
        <v>8.9600000000000009</v>
      </c>
      <c r="AC54" s="27">
        <f t="shared" si="1"/>
        <v>5.8696428571428561</v>
      </c>
      <c r="AD54" s="27">
        <f>AC54*$O$108*$G$115+AC54*(1-$O$108)</f>
        <v>4.3448874480372064</v>
      </c>
      <c r="AE54" s="27">
        <f t="shared" si="13"/>
        <v>145.41654890663347</v>
      </c>
      <c r="AF54" s="28">
        <f t="shared" si="17"/>
        <v>38.930191534413375</v>
      </c>
      <c r="AG54" s="28">
        <f t="shared" si="7"/>
        <v>60.448757574480979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F54" s="2"/>
    </row>
    <row r="55" spans="1:59" x14ac:dyDescent="0.3">
      <c r="A55" s="1">
        <v>2022</v>
      </c>
      <c r="B55" s="2">
        <v>10655</v>
      </c>
      <c r="C55" s="2">
        <v>8</v>
      </c>
      <c r="D55" s="3">
        <v>90667</v>
      </c>
      <c r="E55" s="3"/>
      <c r="F55" s="2">
        <v>720</v>
      </c>
      <c r="G55" s="2"/>
      <c r="H55" s="38">
        <f t="shared" si="31"/>
        <v>3.0126701079305492E-2</v>
      </c>
      <c r="I55" s="30">
        <f>T$138</f>
        <v>16.3</v>
      </c>
      <c r="J55" s="46">
        <f t="shared" si="33"/>
        <v>0.18014705882352944</v>
      </c>
      <c r="K55" s="29">
        <v>321</v>
      </c>
      <c r="L55" s="31">
        <f>((26.4*0.94*1.4*0.93)*0.97+0.3)+(23.5+5.1)+(1.2+4.4)</f>
        <v>65.841119039999995</v>
      </c>
      <c r="M55" s="31">
        <f t="shared" si="32"/>
        <v>386.84111903999997</v>
      </c>
      <c r="N55" s="18">
        <v>405.7</v>
      </c>
      <c r="O55" s="18">
        <f t="shared" si="9"/>
        <v>1.0487509730268616</v>
      </c>
      <c r="P55" s="32">
        <f t="shared" si="28"/>
        <v>17.094640860337844</v>
      </c>
      <c r="Q55" s="29">
        <f t="shared" si="29"/>
        <v>422.79464086033784</v>
      </c>
      <c r="R55" s="29">
        <f t="shared" si="14"/>
        <v>5776.6719902486575</v>
      </c>
      <c r="S55" s="20">
        <v>65627454</v>
      </c>
      <c r="T55" s="20">
        <f t="shared" si="21"/>
        <v>2185942</v>
      </c>
      <c r="U55" s="20">
        <v>67813396</v>
      </c>
      <c r="V55" s="33">
        <f t="shared" si="6"/>
        <v>6.2346773027019298</v>
      </c>
      <c r="W55" s="33">
        <f t="shared" si="15"/>
        <v>91.202468634854412</v>
      </c>
      <c r="X55" s="25">
        <f>447*0.822*0.126</f>
        <v>46.296683999999999</v>
      </c>
      <c r="Y55" s="34">
        <v>12249</v>
      </c>
      <c r="Z55" s="26">
        <f>49.05+AP$28</f>
        <v>53.331999999999994</v>
      </c>
      <c r="AA55" s="26">
        <f t="shared" si="12"/>
        <v>1679.4624384929484</v>
      </c>
      <c r="AB55" s="26">
        <v>9.1</v>
      </c>
      <c r="AC55" s="27">
        <f t="shared" si="1"/>
        <v>5.8606593406593399</v>
      </c>
      <c r="AD55" s="27">
        <f>AC55*$O$108*$G$115+AC55*(1-$O$108)</f>
        <v>4.3382375770044295</v>
      </c>
      <c r="AE55" s="27">
        <f t="shared" si="13"/>
        <v>149.7547864836379</v>
      </c>
      <c r="AF55" s="28">
        <f t="shared" si="17"/>
        <v>39.477961950740308</v>
      </c>
      <c r="AG55" s="28">
        <f t="shared" si="7"/>
        <v>58.552317848783488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F55" s="2"/>
    </row>
    <row r="56" spans="1:59" x14ac:dyDescent="0.3">
      <c r="A56" s="1">
        <v>2023</v>
      </c>
      <c r="B56" s="2">
        <v>11563</v>
      </c>
      <c r="C56" s="2">
        <v>8</v>
      </c>
      <c r="D56" s="3"/>
      <c r="E56" s="3"/>
      <c r="F56" s="2">
        <v>2253</v>
      </c>
      <c r="G56" s="2"/>
      <c r="H56" s="38">
        <f t="shared" si="31"/>
        <v>2.800138372394707E-2</v>
      </c>
      <c r="I56" s="30">
        <f>U138</f>
        <v>14.34</v>
      </c>
      <c r="J56" s="46">
        <f t="shared" si="33"/>
        <v>8.6604361370714589E-3</v>
      </c>
      <c r="K56" s="29">
        <v>323.77999999999997</v>
      </c>
      <c r="L56" s="31">
        <f>((26.4*0.94*1.4*0.93)*0.97*1.04)+(25.8+5.1)+(1.8+3.7)</f>
        <v>68.994763801600001</v>
      </c>
      <c r="M56" s="31">
        <f t="shared" si="32"/>
        <v>392.77476380159999</v>
      </c>
      <c r="N56" s="31">
        <f>M56</f>
        <v>392.77476380159999</v>
      </c>
      <c r="O56" s="18">
        <f t="shared" si="9"/>
        <v>1</v>
      </c>
      <c r="P56" s="32">
        <f t="shared" si="28"/>
        <v>14.34</v>
      </c>
      <c r="Q56" s="29">
        <f t="shared" si="29"/>
        <v>407.11476380159996</v>
      </c>
      <c r="R56" s="29">
        <f t="shared" si="14"/>
        <v>6183.7867540502575</v>
      </c>
      <c r="S56" s="20">
        <v>65627454</v>
      </c>
      <c r="T56" s="20">
        <f>U56-S56</f>
        <v>2322546</v>
      </c>
      <c r="U56" s="20">
        <v>67950000</v>
      </c>
      <c r="V56" s="33">
        <f t="shared" si="6"/>
        <v>5.9913872524150111</v>
      </c>
      <c r="W56" s="33">
        <f t="shared" si="15"/>
        <v>97.193855887269422</v>
      </c>
      <c r="X56" s="25">
        <f>510.3*0.829*0.123</f>
        <v>52.033760100000002</v>
      </c>
      <c r="Y56" s="34">
        <v>12381</v>
      </c>
      <c r="Z56" s="26">
        <f>X56+AP28</f>
        <v>56.315760100000006</v>
      </c>
      <c r="AA56" s="26">
        <f t="shared" si="12"/>
        <v>1735.7781985929485</v>
      </c>
      <c r="AB56" s="26">
        <v>9.15</v>
      </c>
      <c r="AC56" s="27">
        <f t="shared" si="1"/>
        <v>6.1547278797814213</v>
      </c>
      <c r="AD56" s="27">
        <f>AC56*$O$108*$G$115+AC56*(1-$O$108)</f>
        <v>4.5559160176849085</v>
      </c>
      <c r="AE56" s="27">
        <f t="shared" si="13"/>
        <v>154.31070250132282</v>
      </c>
      <c r="AF56" s="28">
        <f t="shared" si="17"/>
        <v>41.686631561816917</v>
      </c>
      <c r="AG56" s="28">
        <f t="shared" si="7"/>
        <v>57.116846614053401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F56" s="2"/>
    </row>
    <row r="57" spans="1:59" x14ac:dyDescent="0.3">
      <c r="A57" s="1">
        <v>2024</v>
      </c>
      <c r="B57" s="2"/>
      <c r="C57" s="2"/>
      <c r="D57" s="3"/>
      <c r="E57" s="3"/>
      <c r="F57" s="2"/>
      <c r="G57" s="2"/>
      <c r="H57" s="2"/>
      <c r="I57" s="2"/>
      <c r="J57" s="2"/>
      <c r="K57" s="29">
        <v>331</v>
      </c>
      <c r="L57" s="2"/>
      <c r="M57" s="2"/>
      <c r="N57" s="2"/>
      <c r="O57" s="2"/>
      <c r="P57" s="4"/>
      <c r="Q57" s="4"/>
      <c r="R57" s="4"/>
      <c r="S57" s="4"/>
      <c r="T57" s="49"/>
      <c r="U57" s="49"/>
      <c r="V57" s="49"/>
      <c r="W57" s="49"/>
      <c r="X57" s="49"/>
      <c r="Y57" s="3"/>
      <c r="Z57" s="3"/>
      <c r="AA57" s="3"/>
      <c r="AB57" s="6"/>
      <c r="AC57" s="6"/>
      <c r="AD57" s="49"/>
      <c r="AE57" s="49"/>
      <c r="AF57" s="49"/>
      <c r="AG57" s="28">
        <f t="shared" si="7"/>
        <v>0</v>
      </c>
      <c r="AH57" s="49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G57" s="2"/>
    </row>
    <row r="58" spans="1:59" x14ac:dyDescent="0.3">
      <c r="A58" s="1"/>
      <c r="B58" s="2"/>
      <c r="C58" s="2"/>
      <c r="D58" s="3"/>
      <c r="E58" s="3"/>
      <c r="F58" s="2"/>
      <c r="G58" s="2"/>
      <c r="H58" s="2"/>
      <c r="I58" s="49"/>
      <c r="J58" s="2"/>
      <c r="K58" s="2"/>
      <c r="L58" s="2"/>
      <c r="M58" s="2"/>
      <c r="N58" s="31">
        <f>SUM(N5:N56)</f>
        <v>5965.2097638016003</v>
      </c>
      <c r="O58" s="2"/>
      <c r="P58" s="31">
        <f>SUM(P5:P56)</f>
        <v>218.57699024865724</v>
      </c>
      <c r="Q58" s="31">
        <f>P58+N58</f>
        <v>6183.7867540502575</v>
      </c>
      <c r="R58" s="31">
        <f>R56</f>
        <v>6183.7867540502575</v>
      </c>
      <c r="S58" s="4"/>
      <c r="T58" s="4"/>
      <c r="U58" s="50"/>
      <c r="V58" s="31">
        <f>SUM(V5:V56)</f>
        <v>97.193855887269422</v>
      </c>
      <c r="W58" s="31"/>
      <c r="X58" s="51">
        <f>X56/X42-1</f>
        <v>0.50899753717381579</v>
      </c>
      <c r="Y58" s="51">
        <f>Y56/Y39-1</f>
        <v>6.7327586206896495E-2</v>
      </c>
      <c r="Z58" s="26">
        <f>SUM(Z4:Z56)</f>
        <v>1735.7781985929485</v>
      </c>
      <c r="AA58" s="26">
        <f>AA56</f>
        <v>1735.7781985929485</v>
      </c>
      <c r="AB58" s="2">
        <f>Z58*0.57</f>
        <v>989.39357319798057</v>
      </c>
      <c r="AC58" s="26">
        <f>SUM(AC5:AC56)</f>
        <v>207.83376808181507</v>
      </c>
      <c r="AD58" s="26">
        <f>SUM(AD4:AD56)</f>
        <v>154.31070250132282</v>
      </c>
      <c r="AE58" s="51">
        <f>AD58/V58-1</f>
        <v>0.5876590252813978</v>
      </c>
      <c r="AF58" s="26">
        <f>SUM(AF5:AF56)</f>
        <v>1281.3817163910876</v>
      </c>
      <c r="AG58" s="28">
        <f t="shared" si="7"/>
        <v>0.5876590252813978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E58" s="2"/>
    </row>
    <row r="59" spans="1:59" x14ac:dyDescent="0.3">
      <c r="A59" s="1">
        <f>B56/6340</f>
        <v>1.8238170347003155</v>
      </c>
      <c r="B59" s="2">
        <f>1872/1334</f>
        <v>1.4032983508245878</v>
      </c>
      <c r="C59" s="2"/>
      <c r="D59" s="40">
        <f>D55/D30-1</f>
        <v>0.50855212804898331</v>
      </c>
      <c r="E59" s="40"/>
      <c r="F59" s="2"/>
      <c r="G59" s="2">
        <f>B53/B42</f>
        <v>1.4009849276227428</v>
      </c>
      <c r="H59" s="2"/>
      <c r="I59" s="2">
        <f>(K53+45)/B53</f>
        <v>2.9186195142735408E-2</v>
      </c>
      <c r="J59" s="2"/>
      <c r="K59" s="2">
        <f>K55/B55</f>
        <v>3.0126701079305492E-2</v>
      </c>
      <c r="L59" s="51">
        <f>M56/B56</f>
        <v>3.3968240404877628E-2</v>
      </c>
      <c r="M59" s="2"/>
      <c r="N59" s="2"/>
      <c r="O59" s="2"/>
      <c r="P59" s="2"/>
      <c r="Q59" s="4"/>
      <c r="R59" s="2"/>
      <c r="S59" s="4"/>
      <c r="T59" s="4">
        <f>U59-S59</f>
        <v>0</v>
      </c>
      <c r="U59" s="4"/>
      <c r="V59" s="49"/>
      <c r="W59" s="49"/>
      <c r="X59" s="49"/>
      <c r="Y59" s="49"/>
      <c r="Z59" s="40"/>
      <c r="AA59" s="40"/>
      <c r="AB59" s="44"/>
      <c r="AC59" s="6"/>
      <c r="AD59" s="49"/>
      <c r="AE59" s="49"/>
      <c r="AF59" s="51"/>
      <c r="AG59" s="49"/>
      <c r="AH59" s="49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F59" s="2"/>
    </row>
    <row r="60" spans="1:59" x14ac:dyDescent="0.3">
      <c r="A60" s="1"/>
      <c r="B60" s="2"/>
      <c r="C60" s="2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4"/>
      <c r="P60" s="4"/>
      <c r="Q60" s="51">
        <f>Q55/Q39-1</f>
        <v>1.623396494447813</v>
      </c>
      <c r="R60" s="52"/>
      <c r="S60" s="4"/>
      <c r="T60" s="49"/>
      <c r="U60" s="49"/>
      <c r="V60" s="3"/>
      <c r="W60" s="3"/>
      <c r="X60" s="53"/>
      <c r="Y60" s="44"/>
      <c r="Z60" s="6"/>
      <c r="AA60" s="4"/>
      <c r="AB60" s="4"/>
      <c r="AC60" s="4"/>
      <c r="AD60" s="2"/>
      <c r="AE60" s="2"/>
      <c r="AF60" s="2"/>
      <c r="AG60" s="49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C60" s="2"/>
    </row>
    <row r="61" spans="1:59" x14ac:dyDescent="0.3">
      <c r="A61" s="1"/>
      <c r="B61" s="2"/>
      <c r="C61" s="2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4"/>
      <c r="P61" s="4"/>
      <c r="Q61" s="4"/>
      <c r="R61" s="4"/>
      <c r="S61" s="4"/>
      <c r="T61" s="49"/>
      <c r="U61" s="49"/>
      <c r="V61" s="3"/>
      <c r="W61" s="3"/>
      <c r="X61" s="3"/>
      <c r="Y61" s="6"/>
      <c r="Z61" s="6"/>
      <c r="AA61" s="4"/>
      <c r="AB61" s="4"/>
      <c r="AC61" s="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C61" s="2"/>
    </row>
    <row r="62" spans="1:59" x14ac:dyDescent="0.3">
      <c r="A62" s="54"/>
      <c r="B62" s="2"/>
      <c r="C62" s="2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4"/>
      <c r="R62" s="2"/>
      <c r="S62" s="3"/>
      <c r="T62" s="49"/>
      <c r="U62" s="55" t="s">
        <v>47</v>
      </c>
      <c r="V62" s="4">
        <v>2087</v>
      </c>
      <c r="W62" s="4"/>
      <c r="X62" s="2"/>
      <c r="Y62" s="2"/>
      <c r="Z62" s="4"/>
      <c r="AA62" s="4"/>
      <c r="AB62" s="56"/>
      <c r="AC62" s="4"/>
      <c r="AD62" s="2"/>
      <c r="AE62" s="2"/>
      <c r="AF62" s="2"/>
      <c r="AG62" s="2"/>
      <c r="AH62" s="2"/>
      <c r="AI62" s="4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G62" s="2"/>
    </row>
    <row r="63" spans="1:59" x14ac:dyDescent="0.3">
      <c r="A63" s="1"/>
      <c r="B63" s="2"/>
      <c r="C63" s="2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4"/>
      <c r="R63" s="2"/>
      <c r="S63" s="3"/>
      <c r="T63" s="49"/>
      <c r="U63" s="57" t="s">
        <v>49</v>
      </c>
      <c r="V63" s="4">
        <v>1208</v>
      </c>
      <c r="W63" s="4"/>
      <c r="X63" s="6"/>
      <c r="Y63" s="4"/>
      <c r="Z63" s="6"/>
      <c r="AA63" s="4"/>
      <c r="AB63" s="56"/>
      <c r="AC63" s="4"/>
      <c r="AD63" s="2"/>
      <c r="AE63" s="2"/>
      <c r="AF63" s="2"/>
      <c r="AG63" s="2"/>
      <c r="AH63" s="2"/>
      <c r="AI63" s="4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G63" s="2"/>
    </row>
    <row r="64" spans="1:59" x14ac:dyDescent="0.3">
      <c r="A64" s="1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2"/>
      <c r="S64" s="3"/>
      <c r="T64" s="49"/>
      <c r="U64" s="55" t="s">
        <v>50</v>
      </c>
      <c r="V64" s="58">
        <f>V63/V62</f>
        <v>0.57882127455678012</v>
      </c>
      <c r="W64" s="58"/>
      <c r="X64" s="6"/>
      <c r="Y64" s="4"/>
      <c r="Z64" s="4"/>
      <c r="AA64" s="4"/>
      <c r="AB64" s="56"/>
      <c r="AC64" s="4"/>
      <c r="AD64" s="2"/>
      <c r="AE64" s="2"/>
      <c r="AF64" s="2"/>
      <c r="AG64" s="2"/>
      <c r="AH64" s="2"/>
      <c r="AI64" s="4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G64" s="2"/>
    </row>
    <row r="65" spans="1:59" x14ac:dyDescent="0.3">
      <c r="A65" s="1"/>
      <c r="B65" s="3"/>
      <c r="C65" s="3"/>
      <c r="D65" s="3"/>
      <c r="E65" s="3"/>
      <c r="F65" s="2"/>
      <c r="G65" s="1"/>
      <c r="H65" s="2"/>
      <c r="I65" s="2"/>
      <c r="J65" s="2"/>
      <c r="K65" s="2"/>
      <c r="L65" s="1"/>
      <c r="M65" s="2"/>
      <c r="N65" s="2"/>
      <c r="O65" s="2"/>
      <c r="P65" s="2"/>
      <c r="Q65" s="4"/>
      <c r="R65" s="2"/>
      <c r="S65" s="3"/>
      <c r="T65" s="49"/>
      <c r="U65" s="57" t="s">
        <v>51</v>
      </c>
      <c r="V65" s="59">
        <f>X56*V64</f>
        <v>30.118247341063732</v>
      </c>
      <c r="W65" s="59"/>
      <c r="X65" s="6"/>
      <c r="Y65" s="4"/>
      <c r="Z65" s="4"/>
      <c r="AA65" s="4"/>
      <c r="AB65" s="56"/>
      <c r="AC65" s="4"/>
      <c r="AD65" s="2"/>
      <c r="AE65" s="2"/>
      <c r="AF65" s="2"/>
      <c r="AG65" s="2"/>
      <c r="AH65" s="2"/>
      <c r="AI65" s="4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G65" s="2"/>
    </row>
    <row r="66" spans="1:59" x14ac:dyDescent="0.3">
      <c r="A66" s="1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60"/>
      <c r="R66" s="2"/>
      <c r="S66" s="3"/>
      <c r="T66" s="49"/>
      <c r="U66" s="57" t="s">
        <v>52</v>
      </c>
      <c r="V66" s="4">
        <f>V65*0.57</f>
        <v>17.167400984406324</v>
      </c>
      <c r="W66" s="4"/>
      <c r="X66" s="6"/>
      <c r="Y66" s="4"/>
      <c r="Z66" s="4"/>
      <c r="AA66" s="4"/>
      <c r="AB66" s="56"/>
      <c r="AC66" s="4"/>
      <c r="AD66" s="2"/>
      <c r="AE66" s="2"/>
      <c r="AF66" s="2"/>
      <c r="AG66" s="2"/>
      <c r="AH66" s="2"/>
      <c r="AI66" s="4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G66" s="2"/>
    </row>
    <row r="67" spans="1:59" x14ac:dyDescent="0.3">
      <c r="A67" s="1"/>
      <c r="B67" s="3"/>
      <c r="C67" s="3"/>
      <c r="D67" s="61"/>
      <c r="E67" s="6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2"/>
      <c r="S67" s="3"/>
      <c r="T67" s="49"/>
      <c r="U67" s="57" t="s">
        <v>53</v>
      </c>
      <c r="V67" s="4">
        <f>X56-V65</f>
        <v>21.91551275893627</v>
      </c>
      <c r="W67" s="4"/>
      <c r="X67" s="6"/>
      <c r="Y67" s="4"/>
      <c r="Z67" s="4"/>
      <c r="AA67" s="4"/>
      <c r="AB67" s="56"/>
      <c r="AC67" s="4"/>
      <c r="AD67" s="2"/>
      <c r="AE67" s="2"/>
      <c r="AF67" s="2"/>
      <c r="AG67" s="2"/>
      <c r="AH67" s="2"/>
      <c r="AI67" s="4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G67" s="2"/>
    </row>
    <row r="68" spans="1:59" x14ac:dyDescent="0.3">
      <c r="A68" s="1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2"/>
      <c r="S68" s="3"/>
      <c r="T68" s="49"/>
      <c r="U68" s="57" t="s">
        <v>54</v>
      </c>
      <c r="V68" s="4">
        <f>V67</f>
        <v>21.91551275893627</v>
      </c>
      <c r="W68" s="4"/>
      <c r="X68" s="6"/>
      <c r="Y68" s="4"/>
      <c r="Z68" s="4"/>
      <c r="AA68" s="4"/>
      <c r="AB68" s="56"/>
      <c r="AC68" s="4"/>
      <c r="AD68" s="2"/>
      <c r="AE68" s="2"/>
      <c r="AF68" s="2"/>
      <c r="AG68" s="2"/>
      <c r="AH68" s="2"/>
      <c r="AI68" s="4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G68" s="2"/>
    </row>
    <row r="69" spans="1:59" x14ac:dyDescent="0.3">
      <c r="A69" s="1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2"/>
      <c r="S69" s="3"/>
      <c r="T69" s="49"/>
      <c r="U69" s="57" t="s">
        <v>55</v>
      </c>
      <c r="V69" s="4">
        <f>V68+V66</f>
        <v>39.082913743342594</v>
      </c>
      <c r="W69" s="4"/>
      <c r="X69" s="6"/>
      <c r="Y69" s="62"/>
      <c r="Z69" s="4"/>
      <c r="AA69" s="4"/>
      <c r="AB69" s="56"/>
      <c r="AC69" s="4"/>
      <c r="AD69" s="2"/>
      <c r="AE69" s="2"/>
      <c r="AF69" s="2"/>
      <c r="AG69" s="2"/>
      <c r="AH69" s="2"/>
      <c r="AI69" s="4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G69" s="2"/>
    </row>
    <row r="70" spans="1:59" x14ac:dyDescent="0.3">
      <c r="A70" s="1"/>
      <c r="B70" s="3"/>
      <c r="C70" s="2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2"/>
      <c r="S70" s="3"/>
      <c r="T70" s="49"/>
      <c r="U70" s="56"/>
      <c r="V70" s="6"/>
      <c r="W70" s="6"/>
      <c r="X70" s="6"/>
      <c r="Y70" s="4"/>
      <c r="Z70" s="4"/>
      <c r="AA70" s="4"/>
      <c r="AB70" s="56"/>
      <c r="AC70" s="56"/>
      <c r="AD70" s="6"/>
      <c r="AE70" s="6"/>
      <c r="AF70" s="6"/>
      <c r="AG70" s="6"/>
      <c r="AH70" s="4"/>
      <c r="AI70" s="4"/>
      <c r="AJ70" s="2"/>
      <c r="AK70" s="2"/>
      <c r="AL70" s="2"/>
      <c r="AM70" s="2"/>
      <c r="AN70" s="2"/>
      <c r="AO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G70" s="2"/>
    </row>
    <row r="71" spans="1:59" x14ac:dyDescent="0.3">
      <c r="A71" s="1"/>
      <c r="B71" s="3"/>
      <c r="C71" s="2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2"/>
      <c r="S71" s="3"/>
      <c r="T71" s="49"/>
      <c r="U71" s="49"/>
      <c r="V71" s="4"/>
      <c r="W71" s="4"/>
      <c r="X71" s="4"/>
      <c r="Y71" s="4"/>
      <c r="Z71" s="4"/>
      <c r="AA71" s="4"/>
      <c r="AB71" s="56"/>
      <c r="AC71" s="56"/>
      <c r="AD71" s="6"/>
      <c r="AE71" s="6"/>
      <c r="AF71" s="6"/>
      <c r="AG71" s="6"/>
      <c r="AH71" s="4"/>
      <c r="AI71" s="4"/>
      <c r="AJ71" s="2"/>
      <c r="AK71" s="2"/>
      <c r="AL71" s="2"/>
      <c r="AM71" s="2"/>
      <c r="AN71" s="2"/>
      <c r="AO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G71" s="2"/>
    </row>
    <row r="72" spans="1:59" x14ac:dyDescent="0.3">
      <c r="A72" s="1"/>
      <c r="B72" s="3"/>
      <c r="C72" s="2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2"/>
      <c r="S72" s="3"/>
      <c r="T72" s="49"/>
      <c r="U72" s="49"/>
      <c r="V72" s="4"/>
      <c r="W72" s="4"/>
      <c r="X72" s="4"/>
      <c r="Y72" s="4"/>
      <c r="Z72" s="4"/>
      <c r="AA72" s="4"/>
      <c r="AB72" s="56"/>
      <c r="AC72" s="56"/>
      <c r="AD72" s="6"/>
      <c r="AE72" s="6"/>
      <c r="AF72" s="6"/>
      <c r="AG72" s="6"/>
      <c r="AH72" s="4"/>
      <c r="AI72" s="4"/>
      <c r="AJ72" s="2"/>
      <c r="AK72" s="2"/>
      <c r="AL72" s="2"/>
      <c r="AM72" s="2"/>
      <c r="AN72" s="2"/>
      <c r="AO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G72" s="2"/>
    </row>
    <row r="73" spans="1:59" x14ac:dyDescent="0.3">
      <c r="A73" s="1"/>
      <c r="B73" s="2"/>
      <c r="C73" s="2"/>
      <c r="D73" s="3"/>
      <c r="E73" s="3"/>
      <c r="F73" s="2"/>
      <c r="G73" s="2"/>
      <c r="H73" s="2"/>
      <c r="I73" s="2"/>
      <c r="J73" s="2"/>
      <c r="K73" s="2"/>
      <c r="L73" s="2"/>
      <c r="M73" s="2"/>
      <c r="N73" s="4"/>
      <c r="O73" s="4"/>
      <c r="P73" s="4"/>
      <c r="Q73" s="4"/>
      <c r="R73" s="4"/>
      <c r="S73" s="3"/>
      <c r="T73" s="49"/>
      <c r="U73" s="49"/>
      <c r="V73" s="6"/>
      <c r="W73" s="6"/>
      <c r="X73" s="6"/>
      <c r="Y73" s="6"/>
      <c r="Z73" s="4"/>
      <c r="AA73" s="4"/>
      <c r="AB73" s="2"/>
      <c r="AC73" s="2"/>
      <c r="AD73" s="2"/>
      <c r="AE73" s="2"/>
      <c r="AF73" s="2"/>
      <c r="AG73" s="2"/>
      <c r="AH73" s="2"/>
      <c r="AI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B73" s="2"/>
    </row>
    <row r="74" spans="1:59" x14ac:dyDescent="0.3">
      <c r="A74" s="54"/>
      <c r="B74" s="2"/>
      <c r="C74" s="2"/>
      <c r="D74" s="3"/>
      <c r="E74" s="3"/>
      <c r="F74" s="2"/>
      <c r="G74" s="2"/>
      <c r="H74" s="2"/>
      <c r="I74" s="2"/>
      <c r="J74" s="2"/>
      <c r="K74" s="2"/>
      <c r="L74" s="2"/>
      <c r="M74" s="2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Q74" s="2"/>
    </row>
    <row r="75" spans="1:59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Q75" s="2"/>
    </row>
    <row r="76" spans="1:59" x14ac:dyDescent="0.3">
      <c r="A76" s="2"/>
      <c r="B76" s="2"/>
      <c r="C76" s="2"/>
      <c r="D76" s="2"/>
      <c r="E76" s="2"/>
      <c r="F76" s="39"/>
      <c r="G76" s="2"/>
      <c r="H76" s="2"/>
      <c r="I76" s="2"/>
      <c r="J76" s="35"/>
      <c r="K76" s="2"/>
      <c r="L76" s="2"/>
      <c r="M76" s="2"/>
      <c r="N76" s="4"/>
      <c r="O76" s="4"/>
      <c r="P76" s="3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Q76" s="2"/>
    </row>
    <row r="77" spans="1:59" x14ac:dyDescent="0.3">
      <c r="A77" s="2"/>
      <c r="B77" s="2"/>
      <c r="C77" s="2"/>
      <c r="D77" s="2"/>
      <c r="E77" s="2"/>
      <c r="F77" s="39"/>
      <c r="G77" s="2"/>
      <c r="H77" s="2"/>
      <c r="I77" s="2"/>
      <c r="J77" s="2"/>
      <c r="K77" s="2"/>
      <c r="L77" s="2"/>
      <c r="M77" s="2"/>
      <c r="N77" s="4"/>
      <c r="O77" s="4"/>
      <c r="P77" s="3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Q77" s="2"/>
    </row>
    <row r="78" spans="1:59" x14ac:dyDescent="0.3">
      <c r="A78" s="2"/>
      <c r="B78" s="2"/>
      <c r="C78" s="2"/>
      <c r="D78" s="2"/>
      <c r="E78" s="2"/>
      <c r="F78" s="39"/>
      <c r="G78" s="2"/>
      <c r="H78" s="2"/>
      <c r="I78" s="2"/>
      <c r="J78" s="2"/>
      <c r="K78" s="2"/>
      <c r="L78" s="2"/>
      <c r="M78" s="2"/>
      <c r="N78" s="4"/>
      <c r="O78" s="4"/>
      <c r="P78" s="35"/>
      <c r="Q78" s="4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Q78" s="2"/>
    </row>
    <row r="79" spans="1:59" x14ac:dyDescent="0.3">
      <c r="A79" s="2"/>
      <c r="B79" s="2"/>
      <c r="C79" s="2"/>
      <c r="D79" s="2"/>
      <c r="E79" s="2"/>
      <c r="F79" s="39"/>
      <c r="G79" s="2"/>
      <c r="H79" s="2"/>
      <c r="I79" s="2"/>
      <c r="J79" s="2"/>
      <c r="K79" s="2"/>
      <c r="L79" s="2"/>
      <c r="M79" s="2"/>
      <c r="N79" s="4"/>
      <c r="O79" s="4"/>
      <c r="P79" s="35"/>
      <c r="Q79" s="2"/>
      <c r="R79" s="2"/>
      <c r="S79" s="2"/>
      <c r="T79" s="2"/>
      <c r="U79" s="2"/>
      <c r="V79" s="2"/>
      <c r="W79" s="2"/>
      <c r="X79" s="2"/>
      <c r="Y79" s="2"/>
      <c r="Z79" s="40"/>
      <c r="AA79" s="40"/>
      <c r="AB79" s="2"/>
      <c r="AC79" s="2"/>
      <c r="AD79" s="40"/>
      <c r="AE79" s="40"/>
      <c r="AF79" s="2"/>
      <c r="AG79" s="2"/>
      <c r="AH79" s="2"/>
      <c r="AI79" s="2"/>
      <c r="AJ79" s="2"/>
      <c r="AK79" s="2"/>
      <c r="AL79" s="2"/>
      <c r="AM79" s="2"/>
      <c r="AN79" s="2"/>
      <c r="AO79" s="2"/>
      <c r="AQ79" s="2"/>
    </row>
    <row r="80" spans="1:59" x14ac:dyDescent="0.3">
      <c r="A80" s="2"/>
      <c r="B80" s="2"/>
      <c r="C80" s="2"/>
      <c r="D80" s="2"/>
      <c r="E80" s="2"/>
      <c r="F80" s="39"/>
      <c r="G80" s="2"/>
      <c r="H80" s="2"/>
      <c r="I80" s="2"/>
      <c r="J80" s="2"/>
      <c r="K80" s="2"/>
      <c r="L80" s="2"/>
      <c r="M80" s="2"/>
      <c r="N80" s="4"/>
      <c r="O80" s="4"/>
      <c r="P80" s="3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Q80" s="2"/>
    </row>
    <row r="81" spans="1:59" x14ac:dyDescent="0.3">
      <c r="A81" s="2"/>
      <c r="B81" s="2"/>
      <c r="C81" s="2"/>
      <c r="D81" s="2"/>
      <c r="E81" s="2"/>
      <c r="F81" s="39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3"/>
      <c r="T81" s="49"/>
      <c r="U81" s="49"/>
      <c r="V81" s="6"/>
      <c r="W81" s="6"/>
      <c r="X81" s="6"/>
      <c r="Y81" s="6"/>
      <c r="Z81" s="4"/>
      <c r="AA81" s="4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BA81" s="2"/>
    </row>
    <row r="82" spans="1:59" x14ac:dyDescent="0.3">
      <c r="A82" s="2"/>
      <c r="B82" s="2"/>
      <c r="C82" s="2"/>
      <c r="D82" s="2"/>
      <c r="E82" s="2"/>
      <c r="F82" s="39"/>
      <c r="G82" s="2"/>
      <c r="H82" s="2"/>
      <c r="I82" s="2"/>
      <c r="J82" s="2"/>
      <c r="K82" s="2"/>
      <c r="L82" s="2"/>
      <c r="M82" s="2"/>
      <c r="N82" s="4"/>
      <c r="O82" s="4"/>
      <c r="P82" s="4"/>
      <c r="Q82" s="4"/>
      <c r="R82" s="4"/>
      <c r="S82" s="3"/>
      <c r="T82" s="49"/>
      <c r="U82" s="49"/>
      <c r="V82" s="6"/>
      <c r="W82" s="6"/>
      <c r="X82" s="6"/>
      <c r="Y82" s="6"/>
      <c r="Z82" s="4"/>
      <c r="AA82" s="4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BA82" s="2"/>
    </row>
    <row r="83" spans="1:5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3"/>
      <c r="T83" s="49"/>
      <c r="U83" s="49"/>
      <c r="V83" s="6"/>
      <c r="W83" s="6"/>
      <c r="X83" s="6"/>
      <c r="Y83" s="6"/>
      <c r="Z83" s="4"/>
      <c r="AA83" s="4"/>
      <c r="AB83" s="2"/>
      <c r="AC83" s="2"/>
      <c r="AD83" s="2"/>
      <c r="AE83" s="2"/>
      <c r="AF83" s="2"/>
      <c r="AG83" s="2"/>
      <c r="AH83" s="37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BA83" s="2"/>
    </row>
    <row r="84" spans="1:59" x14ac:dyDescent="0.3">
      <c r="A84" s="1"/>
      <c r="B84" s="2"/>
      <c r="C84" s="2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4"/>
      <c r="P84" s="4"/>
      <c r="Q84" s="4"/>
      <c r="R84" s="4"/>
      <c r="S84" s="4"/>
      <c r="T84" s="4"/>
      <c r="U84" s="4"/>
      <c r="V84" s="3"/>
      <c r="W84" s="3"/>
      <c r="X84" s="3"/>
      <c r="Y84" s="6"/>
      <c r="Z84" s="6"/>
      <c r="AA84" s="4"/>
      <c r="AB84" s="4"/>
      <c r="AC84" s="4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C84" s="2"/>
    </row>
    <row r="85" spans="1:59" x14ac:dyDescent="0.3">
      <c r="A85" s="1" t="s">
        <v>56</v>
      </c>
      <c r="B85" s="2">
        <v>1971</v>
      </c>
      <c r="C85" s="2">
        <v>1972</v>
      </c>
      <c r="D85" s="2">
        <f>C85+1</f>
        <v>1973</v>
      </c>
      <c r="E85" s="2">
        <f>D85+1</f>
        <v>1974</v>
      </c>
      <c r="F85" s="2">
        <f t="shared" ref="F85:BA85" si="34">E85+1</f>
        <v>1975</v>
      </c>
      <c r="G85" s="2">
        <f t="shared" si="34"/>
        <v>1976</v>
      </c>
      <c r="H85" s="2">
        <f t="shared" si="34"/>
        <v>1977</v>
      </c>
      <c r="I85" s="2">
        <f t="shared" si="34"/>
        <v>1978</v>
      </c>
      <c r="J85" s="2">
        <f t="shared" si="34"/>
        <v>1979</v>
      </c>
      <c r="K85" s="2">
        <f t="shared" si="34"/>
        <v>1980</v>
      </c>
      <c r="L85" s="2">
        <f t="shared" si="34"/>
        <v>1981</v>
      </c>
      <c r="M85" s="2">
        <f t="shared" si="34"/>
        <v>1982</v>
      </c>
      <c r="N85" s="2">
        <f>M85+1</f>
        <v>1983</v>
      </c>
      <c r="O85" s="2">
        <f t="shared" si="34"/>
        <v>1984</v>
      </c>
      <c r="P85" s="2">
        <f t="shared" si="34"/>
        <v>1985</v>
      </c>
      <c r="Q85" s="2">
        <f>P85+1</f>
        <v>1986</v>
      </c>
      <c r="R85" s="2">
        <f t="shared" si="34"/>
        <v>1987</v>
      </c>
      <c r="S85" s="2">
        <f>R85+1</f>
        <v>1988</v>
      </c>
      <c r="T85" s="2">
        <f>S85+1</f>
        <v>1989</v>
      </c>
      <c r="U85" s="2">
        <f t="shared" si="34"/>
        <v>1990</v>
      </c>
      <c r="V85" s="2">
        <f>U85+1</f>
        <v>1991</v>
      </c>
      <c r="W85" s="2">
        <f>V85+1</f>
        <v>1992</v>
      </c>
      <c r="X85" s="2">
        <f>W85+1</f>
        <v>1993</v>
      </c>
      <c r="Y85" s="2">
        <f>X85+1</f>
        <v>1994</v>
      </c>
      <c r="Z85" s="2">
        <f>Y85+1</f>
        <v>1995</v>
      </c>
      <c r="AA85" s="2">
        <f t="shared" si="34"/>
        <v>1996</v>
      </c>
      <c r="AB85" s="2">
        <f t="shared" si="34"/>
        <v>1997</v>
      </c>
      <c r="AC85" s="2">
        <f t="shared" si="34"/>
        <v>1998</v>
      </c>
      <c r="AD85" s="2">
        <f>AC85+1</f>
        <v>1999</v>
      </c>
      <c r="AE85" s="2">
        <f>AD85+1</f>
        <v>2000</v>
      </c>
      <c r="AF85" s="2">
        <f t="shared" si="34"/>
        <v>2001</v>
      </c>
      <c r="AG85" s="2">
        <f>AF85+1</f>
        <v>2002</v>
      </c>
      <c r="AH85" s="2">
        <f t="shared" si="34"/>
        <v>2003</v>
      </c>
      <c r="AI85" s="2">
        <f t="shared" si="34"/>
        <v>2004</v>
      </c>
      <c r="AJ85" s="2">
        <f t="shared" si="34"/>
        <v>2005</v>
      </c>
      <c r="AK85" s="2">
        <f t="shared" si="34"/>
        <v>2006</v>
      </c>
      <c r="AL85" s="2">
        <f t="shared" si="34"/>
        <v>2007</v>
      </c>
      <c r="AM85" s="2">
        <f t="shared" si="34"/>
        <v>2008</v>
      </c>
      <c r="AN85" s="2">
        <f t="shared" si="34"/>
        <v>2009</v>
      </c>
      <c r="AO85" s="2">
        <f t="shared" si="34"/>
        <v>2010</v>
      </c>
      <c r="AP85" s="2">
        <f t="shared" si="34"/>
        <v>2011</v>
      </c>
      <c r="AQ85" s="2">
        <f t="shared" si="34"/>
        <v>2012</v>
      </c>
      <c r="AR85" s="2">
        <f t="shared" si="34"/>
        <v>2013</v>
      </c>
      <c r="AS85" s="2">
        <f t="shared" si="34"/>
        <v>2014</v>
      </c>
      <c r="AT85" s="2">
        <f t="shared" si="34"/>
        <v>2015</v>
      </c>
      <c r="AU85" s="2">
        <f t="shared" si="34"/>
        <v>2016</v>
      </c>
      <c r="AV85" s="2">
        <f t="shared" si="34"/>
        <v>2017</v>
      </c>
      <c r="AW85" s="2">
        <f t="shared" si="34"/>
        <v>2018</v>
      </c>
      <c r="AX85" s="2">
        <f t="shared" si="34"/>
        <v>2019</v>
      </c>
      <c r="AY85" s="2">
        <f t="shared" si="34"/>
        <v>2020</v>
      </c>
      <c r="AZ85" s="2">
        <f t="shared" si="34"/>
        <v>2021</v>
      </c>
      <c r="BA85" s="2">
        <f t="shared" si="34"/>
        <v>2022</v>
      </c>
      <c r="BB85" s="2">
        <v>2023</v>
      </c>
      <c r="BC85" s="2"/>
      <c r="BD85" s="2"/>
      <c r="BE85" s="2"/>
      <c r="BF85" s="2"/>
      <c r="BG85" s="2"/>
    </row>
    <row r="86" spans="1:59" x14ac:dyDescent="0.3">
      <c r="A86" s="1" t="s">
        <v>48</v>
      </c>
      <c r="B86" s="1"/>
      <c r="C86" s="1">
        <f>VLOOKUP(C85,$A1:$V56,22)</f>
        <v>9.817643099365693E-2</v>
      </c>
      <c r="D86" s="43">
        <f t="shared" ref="D86:BB86" si="35">VLOOKUP(D85,$A1:$V56,22)</f>
        <v>0.14678184743043601</v>
      </c>
      <c r="E86" s="43">
        <f t="shared" si="35"/>
        <v>0.1768855523893138</v>
      </c>
      <c r="F86" s="43">
        <f t="shared" si="35"/>
        <v>0.34196104571130514</v>
      </c>
      <c r="G86" s="43">
        <f t="shared" si="35"/>
        <v>0.52564190460393534</v>
      </c>
      <c r="H86" s="43">
        <f t="shared" si="35"/>
        <v>0.59330522920072915</v>
      </c>
      <c r="I86" s="43">
        <f t="shared" si="35"/>
        <v>0.60837301362759344</v>
      </c>
      <c r="J86" s="43">
        <f t="shared" si="35"/>
        <v>0.60128067473032054</v>
      </c>
      <c r="K86" s="43">
        <f t="shared" si="35"/>
        <v>0.5646769458130072</v>
      </c>
      <c r="L86" s="43">
        <f t="shared" si="35"/>
        <v>0.44344970255172983</v>
      </c>
      <c r="M86" s="43">
        <f t="shared" si="35"/>
        <v>0.58338076676026673</v>
      </c>
      <c r="N86" s="43">
        <f t="shared" si="35"/>
        <v>0.49315397816241918</v>
      </c>
      <c r="O86" s="43">
        <f t="shared" si="35"/>
        <v>0.52754170993484961</v>
      </c>
      <c r="P86" s="43">
        <f t="shared" si="35"/>
        <v>0.61511480217787495</v>
      </c>
      <c r="Q86" s="43">
        <f t="shared" si="35"/>
        <v>0.7697470034124686</v>
      </c>
      <c r="R86" s="43">
        <f t="shared" si="35"/>
        <v>0.86121815045140815</v>
      </c>
      <c r="S86" s="43">
        <f t="shared" si="35"/>
        <v>0.83331802589000659</v>
      </c>
      <c r="T86" s="43">
        <f t="shared" si="35"/>
        <v>0.90427357192674196</v>
      </c>
      <c r="U86" s="43">
        <f t="shared" si="35"/>
        <v>1.0948955263620583</v>
      </c>
      <c r="V86" s="43">
        <f t="shared" si="35"/>
        <v>1.7482800957822078</v>
      </c>
      <c r="W86" s="43">
        <f t="shared" si="35"/>
        <v>2.0912995230064886</v>
      </c>
      <c r="X86" s="43">
        <f t="shared" si="35"/>
        <v>2.1178548862279993</v>
      </c>
      <c r="Y86" s="43">
        <f t="shared" si="35"/>
        <v>1.905533321041718</v>
      </c>
      <c r="Z86" s="43">
        <f t="shared" si="35"/>
        <v>1.853389517446836</v>
      </c>
      <c r="AA86" s="43">
        <f t="shared" si="35"/>
        <v>1.5731058938468212</v>
      </c>
      <c r="AB86" s="43">
        <f t="shared" si="35"/>
        <v>1.4312835546868174</v>
      </c>
      <c r="AC86" s="43">
        <f t="shared" si="35"/>
        <v>1.3416246112063579</v>
      </c>
      <c r="AD86" s="43">
        <f t="shared" si="35"/>
        <v>1.494637223597675</v>
      </c>
      <c r="AE86" s="43">
        <f t="shared" si="35"/>
        <v>1.5307093425664438</v>
      </c>
      <c r="AF86" s="43">
        <f t="shared" si="35"/>
        <v>1.5545259289463031</v>
      </c>
      <c r="AG86" s="43">
        <f t="shared" si="35"/>
        <v>1.5346984612548289</v>
      </c>
      <c r="AH86" s="43">
        <f t="shared" si="35"/>
        <v>1.8020212009356329</v>
      </c>
      <c r="AI86" s="43">
        <f t="shared" si="35"/>
        <v>1.7655769781542419</v>
      </c>
      <c r="AJ86" s="43">
        <f t="shared" si="35"/>
        <v>1.9732501123633945</v>
      </c>
      <c r="AK86" s="43">
        <f t="shared" si="35"/>
        <v>2.5506089105754959</v>
      </c>
      <c r="AL86" s="43">
        <f t="shared" si="35"/>
        <v>2.1204484722668204</v>
      </c>
      <c r="AM86" s="43">
        <f t="shared" si="35"/>
        <v>1.5668898015214314</v>
      </c>
      <c r="AN86" s="43">
        <f t="shared" si="35"/>
        <v>2.1096743590186131</v>
      </c>
      <c r="AO86" s="43">
        <f t="shared" si="35"/>
        <v>2.0488309358741619</v>
      </c>
      <c r="AP86" s="43">
        <f t="shared" si="35"/>
        <v>2.3397300402421402</v>
      </c>
      <c r="AQ86" s="43">
        <f t="shared" si="35"/>
        <v>2.323031623019709</v>
      </c>
      <c r="AR86" s="43">
        <f t="shared" si="35"/>
        <v>2.7591464066134801</v>
      </c>
      <c r="AS86" s="43">
        <f t="shared" si="35"/>
        <v>2.6410974188025325</v>
      </c>
      <c r="AT86" s="43">
        <f t="shared" si="35"/>
        <v>2.7551410069662676</v>
      </c>
      <c r="AU86" s="43">
        <f t="shared" si="35"/>
        <v>2.9861232738024102</v>
      </c>
      <c r="AV86" s="43">
        <f t="shared" si="35"/>
        <v>3.2619315974124548</v>
      </c>
      <c r="AW86" s="43">
        <f t="shared" si="35"/>
        <v>3.8454499843353367</v>
      </c>
      <c r="AX86" s="43">
        <f t="shared" si="35"/>
        <v>4.4766370636284467</v>
      </c>
      <c r="AY86" s="43">
        <f t="shared" si="35"/>
        <v>5.0780506076216589</v>
      </c>
      <c r="AZ86" s="43">
        <f t="shared" si="35"/>
        <v>5.6040332972576348</v>
      </c>
      <c r="BA86" s="43">
        <f t="shared" si="35"/>
        <v>6.2346773027019298</v>
      </c>
      <c r="BB86" s="43">
        <f t="shared" si="35"/>
        <v>5.9913872524150111</v>
      </c>
    </row>
    <row r="87" spans="1:59" x14ac:dyDescent="0.3">
      <c r="A87" s="1" t="s">
        <v>57</v>
      </c>
      <c r="B87" s="50">
        <f>VLOOKUP(B85,$A1:$AD56,30)</f>
        <v>0.46585159730866832</v>
      </c>
      <c r="C87" s="50">
        <f t="shared" ref="C87:BB87" si="36">VLOOKUP(C85,$A1:$AD56,30)</f>
        <v>0.40045084382349044</v>
      </c>
      <c r="D87" s="50">
        <f t="shared" si="36"/>
        <v>0.3700176191191063</v>
      </c>
      <c r="E87" s="50">
        <f t="shared" si="36"/>
        <v>0.33738917534788149</v>
      </c>
      <c r="F87" s="50">
        <f t="shared" si="36"/>
        <v>0.31191234217860198</v>
      </c>
      <c r="G87" s="50">
        <f t="shared" si="36"/>
        <v>0.32024494153141769</v>
      </c>
      <c r="H87" s="50">
        <f t="shared" si="36"/>
        <v>0.311346532469018</v>
      </c>
      <c r="I87" s="50">
        <f t="shared" si="36"/>
        <v>0.33946804543927256</v>
      </c>
      <c r="J87" s="50">
        <f t="shared" si="36"/>
        <v>0.38933172064332183</v>
      </c>
      <c r="K87" s="50">
        <f t="shared" si="36"/>
        <v>0.37217406486075288</v>
      </c>
      <c r="L87" s="50">
        <f t="shared" si="36"/>
        <v>0.60440732323837953</v>
      </c>
      <c r="M87" s="50">
        <f t="shared" si="36"/>
        <v>0.52833081499061063</v>
      </c>
      <c r="N87" s="50">
        <f t="shared" si="36"/>
        <v>0.71859128511070702</v>
      </c>
      <c r="O87" s="50">
        <f t="shared" si="36"/>
        <v>0.68001314553670256</v>
      </c>
      <c r="P87" s="50">
        <f t="shared" si="36"/>
        <v>1.1672335072632154</v>
      </c>
      <c r="Q87" s="50">
        <f t="shared" si="36"/>
        <v>1.3015145562696699</v>
      </c>
      <c r="R87" s="50">
        <f t="shared" si="36"/>
        <v>1.2706145863386995</v>
      </c>
      <c r="S87" s="50">
        <f t="shared" si="36"/>
        <v>1.5488270451319262</v>
      </c>
      <c r="T87" s="50">
        <f t="shared" si="36"/>
        <v>1.6692331035302526</v>
      </c>
      <c r="U87" s="50">
        <f t="shared" si="36"/>
        <v>1.7919999819414545</v>
      </c>
      <c r="V87" s="50">
        <f t="shared" si="36"/>
        <v>1.9214309380564931</v>
      </c>
      <c r="W87" s="50">
        <f t="shared" si="36"/>
        <v>2.0551223381470312</v>
      </c>
      <c r="X87" s="50">
        <f t="shared" si="36"/>
        <v>2.2039641188142465</v>
      </c>
      <c r="Y87" s="50">
        <f t="shared" si="36"/>
        <v>2.3756790159403005</v>
      </c>
      <c r="Z87" s="50">
        <f t="shared" si="36"/>
        <v>2.5672513811653328</v>
      </c>
      <c r="AA87" s="50">
        <f t="shared" si="36"/>
        <v>2.7742763386490052</v>
      </c>
      <c r="AB87" s="50">
        <f t="shared" si="36"/>
        <v>3.0530552283052734</v>
      </c>
      <c r="AC87" s="50">
        <f t="shared" si="36"/>
        <v>3.8961344283959409</v>
      </c>
      <c r="AD87" s="50">
        <f t="shared" si="36"/>
        <v>3.7541441684537862</v>
      </c>
      <c r="AE87" s="50">
        <f t="shared" si="36"/>
        <v>2.672776593617348</v>
      </c>
      <c r="AF87" s="50">
        <f t="shared" si="36"/>
        <v>3.2999171813214039</v>
      </c>
      <c r="AG87" s="50">
        <f t="shared" si="36"/>
        <v>3.9990758318007673</v>
      </c>
      <c r="AH87" s="50">
        <f t="shared" si="36"/>
        <v>4.2565065036508143</v>
      </c>
      <c r="AI87" s="50">
        <f t="shared" si="36"/>
        <v>5.4241575166635219</v>
      </c>
      <c r="AJ87" s="50">
        <f t="shared" si="36"/>
        <v>6.5696113016570248</v>
      </c>
      <c r="AK87" s="50">
        <f t="shared" si="36"/>
        <v>6.4250557248242899</v>
      </c>
      <c r="AL87" s="50">
        <f t="shared" si="36"/>
        <v>5.5643913734076538</v>
      </c>
      <c r="AM87" s="50">
        <f t="shared" si="36"/>
        <v>4.7040211558012999</v>
      </c>
      <c r="AN87" s="50">
        <f t="shared" si="36"/>
        <v>4.8125619797262935</v>
      </c>
      <c r="AO87" s="50">
        <f t="shared" si="36"/>
        <v>4.7594328556842651</v>
      </c>
      <c r="AP87" s="50">
        <f t="shared" si="36"/>
        <v>5.2364896675314796</v>
      </c>
      <c r="AQ87" s="50">
        <f t="shared" si="36"/>
        <v>5.4127254661961173</v>
      </c>
      <c r="AR87" s="50">
        <f t="shared" si="36"/>
        <v>5.0761641462014966</v>
      </c>
      <c r="AS87" s="50">
        <f t="shared" si="36"/>
        <v>4.8709750534828089</v>
      </c>
      <c r="AT87" s="50">
        <f t="shared" si="36"/>
        <v>4.8682136193269541</v>
      </c>
      <c r="AU87" s="50">
        <f t="shared" si="36"/>
        <v>4.8912791582214199</v>
      </c>
      <c r="AV87" s="50">
        <f t="shared" si="36"/>
        <v>5.0185931478650643</v>
      </c>
      <c r="AW87" s="50">
        <f t="shared" si="36"/>
        <v>4.7513741230314697</v>
      </c>
      <c r="AX87" s="50">
        <f t="shared" si="36"/>
        <v>4.5632530025822984</v>
      </c>
      <c r="AY87" s="50">
        <f t="shared" si="36"/>
        <v>4.3950758680018884</v>
      </c>
      <c r="AZ87" s="50">
        <f t="shared" si="36"/>
        <v>4.3448874480372064</v>
      </c>
      <c r="BA87" s="50">
        <f t="shared" si="36"/>
        <v>4.3382375770044295</v>
      </c>
      <c r="BB87" s="50">
        <f t="shared" si="36"/>
        <v>4.5559160176849085</v>
      </c>
    </row>
    <row r="88" spans="1:59" x14ac:dyDescent="0.3">
      <c r="A88" s="1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</row>
    <row r="89" spans="1:59" x14ac:dyDescent="0.3">
      <c r="A89" s="1" t="s">
        <v>58</v>
      </c>
      <c r="B89" s="2">
        <v>1971</v>
      </c>
      <c r="C89" s="2">
        <v>1972</v>
      </c>
      <c r="D89" s="2">
        <f t="shared" ref="D89:BA89" si="37">C89+1</f>
        <v>1973</v>
      </c>
      <c r="E89" s="2">
        <f t="shared" si="37"/>
        <v>1974</v>
      </c>
      <c r="F89" s="2">
        <f t="shared" si="37"/>
        <v>1975</v>
      </c>
      <c r="G89" s="2">
        <f t="shared" si="37"/>
        <v>1976</v>
      </c>
      <c r="H89" s="2">
        <f t="shared" si="37"/>
        <v>1977</v>
      </c>
      <c r="I89" s="2">
        <f t="shared" si="37"/>
        <v>1978</v>
      </c>
      <c r="J89" s="2">
        <f t="shared" si="37"/>
        <v>1979</v>
      </c>
      <c r="K89" s="2">
        <f t="shared" si="37"/>
        <v>1980</v>
      </c>
      <c r="L89" s="2">
        <f t="shared" si="37"/>
        <v>1981</v>
      </c>
      <c r="M89" s="2">
        <f t="shared" si="37"/>
        <v>1982</v>
      </c>
      <c r="N89" s="2">
        <f t="shared" si="37"/>
        <v>1983</v>
      </c>
      <c r="O89" s="2">
        <f t="shared" si="37"/>
        <v>1984</v>
      </c>
      <c r="P89" s="2">
        <f t="shared" si="37"/>
        <v>1985</v>
      </c>
      <c r="Q89" s="2">
        <f t="shared" si="37"/>
        <v>1986</v>
      </c>
      <c r="R89" s="3">
        <f t="shared" si="37"/>
        <v>1987</v>
      </c>
      <c r="S89" s="3">
        <f t="shared" si="37"/>
        <v>1988</v>
      </c>
      <c r="T89" s="2">
        <f t="shared" si="37"/>
        <v>1989</v>
      </c>
      <c r="U89" s="2">
        <f t="shared" si="37"/>
        <v>1990</v>
      </c>
      <c r="V89" s="2">
        <f t="shared" si="37"/>
        <v>1991</v>
      </c>
      <c r="W89" s="2">
        <f t="shared" si="37"/>
        <v>1992</v>
      </c>
      <c r="X89" s="2">
        <f t="shared" si="37"/>
        <v>1993</v>
      </c>
      <c r="Y89" s="2">
        <f t="shared" si="37"/>
        <v>1994</v>
      </c>
      <c r="Z89" s="2">
        <f t="shared" si="37"/>
        <v>1995</v>
      </c>
      <c r="AA89" s="2">
        <f t="shared" si="37"/>
        <v>1996</v>
      </c>
      <c r="AB89" s="2">
        <f t="shared" si="37"/>
        <v>1997</v>
      </c>
      <c r="AC89" s="2">
        <f t="shared" si="37"/>
        <v>1998</v>
      </c>
      <c r="AD89" s="2">
        <f t="shared" si="37"/>
        <v>1999</v>
      </c>
      <c r="AE89" s="2">
        <f t="shared" si="37"/>
        <v>2000</v>
      </c>
      <c r="AF89" s="2">
        <f t="shared" si="37"/>
        <v>2001</v>
      </c>
      <c r="AG89" s="2">
        <f t="shared" si="37"/>
        <v>2002</v>
      </c>
      <c r="AH89" s="2">
        <f t="shared" si="37"/>
        <v>2003</v>
      </c>
      <c r="AI89" s="2">
        <f t="shared" si="37"/>
        <v>2004</v>
      </c>
      <c r="AJ89" s="2">
        <f t="shared" si="37"/>
        <v>2005</v>
      </c>
      <c r="AK89" s="2">
        <f t="shared" si="37"/>
        <v>2006</v>
      </c>
      <c r="AL89" s="2">
        <f t="shared" si="37"/>
        <v>2007</v>
      </c>
      <c r="AM89" s="2">
        <f t="shared" si="37"/>
        <v>2008</v>
      </c>
      <c r="AN89" s="2">
        <f t="shared" si="37"/>
        <v>2009</v>
      </c>
      <c r="AO89" s="2">
        <f t="shared" si="37"/>
        <v>2010</v>
      </c>
      <c r="AP89" s="2">
        <f t="shared" si="37"/>
        <v>2011</v>
      </c>
      <c r="AQ89" s="2">
        <f t="shared" si="37"/>
        <v>2012</v>
      </c>
      <c r="AR89" s="2">
        <f t="shared" si="37"/>
        <v>2013</v>
      </c>
      <c r="AS89" s="2">
        <f t="shared" si="37"/>
        <v>2014</v>
      </c>
      <c r="AT89" s="2">
        <f t="shared" si="37"/>
        <v>2015</v>
      </c>
      <c r="AU89" s="2">
        <f t="shared" si="37"/>
        <v>2016</v>
      </c>
      <c r="AV89" s="2">
        <f t="shared" si="37"/>
        <v>2017</v>
      </c>
      <c r="AW89" s="2">
        <f t="shared" si="37"/>
        <v>2018</v>
      </c>
      <c r="AX89" s="2">
        <f t="shared" si="37"/>
        <v>2019</v>
      </c>
      <c r="AY89" s="2">
        <f t="shared" si="37"/>
        <v>2020</v>
      </c>
      <c r="AZ89" s="2">
        <f t="shared" si="37"/>
        <v>2021</v>
      </c>
      <c r="BA89" s="2">
        <f t="shared" si="37"/>
        <v>2022</v>
      </c>
      <c r="BB89" s="2">
        <v>2023</v>
      </c>
      <c r="BC89" s="2"/>
      <c r="BD89" s="2"/>
      <c r="BE89" s="2"/>
      <c r="BF89" s="2"/>
      <c r="BG89" s="2"/>
    </row>
    <row r="90" spans="1:59" x14ac:dyDescent="0.3">
      <c r="A90" s="1" t="s">
        <v>48</v>
      </c>
      <c r="B90" s="50">
        <f>B86</f>
        <v>0</v>
      </c>
      <c r="C90" s="50">
        <f>B90+C86</f>
        <v>9.817643099365693E-2</v>
      </c>
      <c r="D90" s="50">
        <f t="shared" ref="D90:BB91" si="38">C90+D86</f>
        <v>0.24495827842409296</v>
      </c>
      <c r="E90" s="50">
        <f t="shared" si="38"/>
        <v>0.42184383081340676</v>
      </c>
      <c r="F90" s="50">
        <f t="shared" si="38"/>
        <v>0.76380487652471185</v>
      </c>
      <c r="G90" s="50">
        <f t="shared" si="38"/>
        <v>1.2894467811286472</v>
      </c>
      <c r="H90" s="50">
        <f t="shared" si="38"/>
        <v>1.8827520103293764</v>
      </c>
      <c r="I90" s="50">
        <f t="shared" si="38"/>
        <v>2.49112502395697</v>
      </c>
      <c r="J90" s="50">
        <f t="shared" si="38"/>
        <v>3.0924056986872905</v>
      </c>
      <c r="K90" s="50">
        <f t="shared" si="38"/>
        <v>3.6570826445002975</v>
      </c>
      <c r="L90" s="50">
        <f t="shared" si="38"/>
        <v>4.1005323470520274</v>
      </c>
      <c r="M90" s="50">
        <f t="shared" si="38"/>
        <v>4.6839131138122942</v>
      </c>
      <c r="N90" s="50">
        <f t="shared" si="38"/>
        <v>5.1770670919747133</v>
      </c>
      <c r="O90" s="50">
        <f t="shared" si="38"/>
        <v>5.7046088019095631</v>
      </c>
      <c r="P90" s="50">
        <f t="shared" si="38"/>
        <v>6.3197236040874376</v>
      </c>
      <c r="Q90" s="50">
        <f t="shared" si="38"/>
        <v>7.0894706074999059</v>
      </c>
      <c r="R90" s="50">
        <f t="shared" si="38"/>
        <v>7.9506887579513137</v>
      </c>
      <c r="S90" s="50">
        <f t="shared" si="38"/>
        <v>8.7840067838413205</v>
      </c>
      <c r="T90" s="50">
        <f t="shared" si="38"/>
        <v>9.6882803557680628</v>
      </c>
      <c r="U90" s="50">
        <f t="shared" si="38"/>
        <v>10.783175882130122</v>
      </c>
      <c r="V90" s="50">
        <f t="shared" si="38"/>
        <v>12.53145597791233</v>
      </c>
      <c r="W90" s="50">
        <f t="shared" si="38"/>
        <v>14.622755500918819</v>
      </c>
      <c r="X90" s="50">
        <f t="shared" si="38"/>
        <v>16.74061038714682</v>
      </c>
      <c r="Y90" s="50">
        <f t="shared" si="38"/>
        <v>18.646143708188539</v>
      </c>
      <c r="Z90" s="50">
        <f t="shared" si="38"/>
        <v>20.499533225635375</v>
      </c>
      <c r="AA90" s="50">
        <f t="shared" si="38"/>
        <v>22.072639119482197</v>
      </c>
      <c r="AB90" s="50">
        <f t="shared" si="38"/>
        <v>23.503922674169015</v>
      </c>
      <c r="AC90" s="50">
        <f t="shared" si="38"/>
        <v>24.845547285375375</v>
      </c>
      <c r="AD90" s="50">
        <f t="shared" si="38"/>
        <v>26.340184508973049</v>
      </c>
      <c r="AE90" s="50">
        <f t="shared" si="38"/>
        <v>27.870893851539492</v>
      </c>
      <c r="AF90" s="50">
        <f t="shared" si="38"/>
        <v>29.425419780485797</v>
      </c>
      <c r="AG90" s="50">
        <f t="shared" si="38"/>
        <v>30.960118241740627</v>
      </c>
      <c r="AH90" s="50">
        <f t="shared" si="38"/>
        <v>32.762139442676258</v>
      </c>
      <c r="AI90" s="50">
        <f t="shared" si="38"/>
        <v>34.527716420830501</v>
      </c>
      <c r="AJ90" s="50">
        <f t="shared" si="38"/>
        <v>36.500966533193896</v>
      </c>
      <c r="AK90" s="50">
        <f t="shared" si="38"/>
        <v>39.051575443769394</v>
      </c>
      <c r="AL90" s="50">
        <f t="shared" si="38"/>
        <v>41.172023916036217</v>
      </c>
      <c r="AM90" s="50">
        <f t="shared" si="38"/>
        <v>42.738913717557651</v>
      </c>
      <c r="AN90" s="50">
        <f t="shared" si="38"/>
        <v>44.848588076576263</v>
      </c>
      <c r="AO90" s="50">
        <f t="shared" si="38"/>
        <v>46.897419012450428</v>
      </c>
      <c r="AP90" s="50">
        <f t="shared" si="38"/>
        <v>49.237149052692565</v>
      </c>
      <c r="AQ90" s="50">
        <f t="shared" si="38"/>
        <v>51.560180675712274</v>
      </c>
      <c r="AR90" s="50">
        <f t="shared" si="38"/>
        <v>54.319327082325756</v>
      </c>
      <c r="AS90" s="50">
        <f t="shared" si="38"/>
        <v>56.960424501128287</v>
      </c>
      <c r="AT90" s="50">
        <f t="shared" si="38"/>
        <v>59.715565508094556</v>
      </c>
      <c r="AU90" s="50">
        <f t="shared" si="38"/>
        <v>62.701688781896969</v>
      </c>
      <c r="AV90" s="50">
        <f t="shared" si="38"/>
        <v>65.963620379309418</v>
      </c>
      <c r="AW90" s="50">
        <f t="shared" si="38"/>
        <v>69.80907036364475</v>
      </c>
      <c r="AX90" s="50">
        <f t="shared" si="38"/>
        <v>74.285707427273195</v>
      </c>
      <c r="AY90" s="50">
        <f t="shared" si="38"/>
        <v>79.363758034894857</v>
      </c>
      <c r="AZ90" s="50">
        <f t="shared" si="38"/>
        <v>84.967791332152487</v>
      </c>
      <c r="BA90" s="50">
        <f t="shared" si="38"/>
        <v>91.202468634854412</v>
      </c>
      <c r="BB90" s="50">
        <f t="shared" si="38"/>
        <v>97.193855887269422</v>
      </c>
    </row>
    <row r="91" spans="1:59" x14ac:dyDescent="0.3">
      <c r="A91" s="1" t="s">
        <v>57</v>
      </c>
      <c r="B91" s="50">
        <f>B87</f>
        <v>0.46585159730866832</v>
      </c>
      <c r="C91" s="50">
        <f>B91+C87</f>
        <v>0.86630244113215871</v>
      </c>
      <c r="D91" s="50">
        <f t="shared" si="38"/>
        <v>1.236320060251265</v>
      </c>
      <c r="E91" s="50">
        <f t="shared" si="38"/>
        <v>1.5737092355991464</v>
      </c>
      <c r="F91" s="50">
        <f t="shared" si="38"/>
        <v>1.8856215777777483</v>
      </c>
      <c r="G91" s="50">
        <f t="shared" si="38"/>
        <v>2.2058665193091658</v>
      </c>
      <c r="H91" s="50">
        <f t="shared" si="38"/>
        <v>2.5172130517781839</v>
      </c>
      <c r="I91" s="50">
        <f t="shared" si="38"/>
        <v>2.8566810972174563</v>
      </c>
      <c r="J91" s="50">
        <f t="shared" si="38"/>
        <v>3.2460128178607781</v>
      </c>
      <c r="K91" s="50">
        <f t="shared" si="38"/>
        <v>3.6181868827215311</v>
      </c>
      <c r="L91" s="50">
        <f t="shared" si="38"/>
        <v>4.2225942059599104</v>
      </c>
      <c r="M91" s="50">
        <f t="shared" si="38"/>
        <v>4.7509250209505209</v>
      </c>
      <c r="N91" s="50">
        <f t="shared" si="38"/>
        <v>5.4695163060612284</v>
      </c>
      <c r="O91" s="50">
        <f t="shared" si="38"/>
        <v>6.1495294515979309</v>
      </c>
      <c r="P91" s="50">
        <f t="shared" si="38"/>
        <v>7.3167629588611458</v>
      </c>
      <c r="Q91" s="50">
        <f t="shared" si="38"/>
        <v>8.6182775151308153</v>
      </c>
      <c r="R91" s="50">
        <f t="shared" si="38"/>
        <v>9.8888921014695157</v>
      </c>
      <c r="S91" s="50">
        <f t="shared" si="38"/>
        <v>11.437719146601442</v>
      </c>
      <c r="T91" s="50">
        <f t="shared" si="38"/>
        <v>13.106952250131695</v>
      </c>
      <c r="U91" s="50">
        <f t="shared" si="38"/>
        <v>14.89895223207315</v>
      </c>
      <c r="V91" s="50">
        <f t="shared" si="38"/>
        <v>16.820383170129642</v>
      </c>
      <c r="W91" s="50">
        <f t="shared" si="38"/>
        <v>18.875505508276675</v>
      </c>
      <c r="X91" s="50">
        <f t="shared" si="38"/>
        <v>21.079469627090923</v>
      </c>
      <c r="Y91" s="50">
        <f t="shared" si="38"/>
        <v>23.455148643031222</v>
      </c>
      <c r="Z91" s="50">
        <f t="shared" si="38"/>
        <v>26.022400024196557</v>
      </c>
      <c r="AA91" s="50">
        <f t="shared" si="38"/>
        <v>28.796676362845563</v>
      </c>
      <c r="AB91" s="50">
        <f t="shared" si="38"/>
        <v>31.849731591150835</v>
      </c>
      <c r="AC91" s="50">
        <f t="shared" si="38"/>
        <v>35.745866019546774</v>
      </c>
      <c r="AD91" s="50">
        <f t="shared" si="38"/>
        <v>39.500010188000559</v>
      </c>
      <c r="AE91" s="50">
        <f t="shared" si="38"/>
        <v>42.172786781617909</v>
      </c>
      <c r="AF91" s="50">
        <f t="shared" si="38"/>
        <v>45.472703962939313</v>
      </c>
      <c r="AG91" s="50">
        <f t="shared" si="38"/>
        <v>49.47177979474008</v>
      </c>
      <c r="AH91" s="50">
        <f t="shared" si="38"/>
        <v>53.728286298390891</v>
      </c>
      <c r="AI91" s="50">
        <f t="shared" si="38"/>
        <v>59.152443815054411</v>
      </c>
      <c r="AJ91" s="50">
        <f t="shared" si="38"/>
        <v>65.722055116711431</v>
      </c>
      <c r="AK91" s="50">
        <f t="shared" si="38"/>
        <v>72.147110841535721</v>
      </c>
      <c r="AL91" s="50">
        <f t="shared" si="38"/>
        <v>77.71150221494338</v>
      </c>
      <c r="AM91" s="50">
        <f t="shared" si="38"/>
        <v>82.41552337074468</v>
      </c>
      <c r="AN91" s="50">
        <f t="shared" si="38"/>
        <v>87.228085350470977</v>
      </c>
      <c r="AO91" s="50">
        <f t="shared" si="38"/>
        <v>91.987518206155244</v>
      </c>
      <c r="AP91" s="50">
        <f t="shared" si="38"/>
        <v>97.22400787368673</v>
      </c>
      <c r="AQ91" s="50">
        <f t="shared" si="38"/>
        <v>102.63673333988285</v>
      </c>
      <c r="AR91" s="50">
        <f t="shared" si="38"/>
        <v>107.71289748608434</v>
      </c>
      <c r="AS91" s="50">
        <f t="shared" si="38"/>
        <v>112.58387253956715</v>
      </c>
      <c r="AT91" s="50">
        <f t="shared" si="38"/>
        <v>117.4520861588941</v>
      </c>
      <c r="AU91" s="50">
        <f t="shared" si="38"/>
        <v>122.34336531711553</v>
      </c>
      <c r="AV91" s="50">
        <f t="shared" si="38"/>
        <v>127.36195846498059</v>
      </c>
      <c r="AW91" s="50">
        <f t="shared" si="38"/>
        <v>132.11333258801207</v>
      </c>
      <c r="AX91" s="50">
        <f t="shared" si="38"/>
        <v>136.67658559059436</v>
      </c>
      <c r="AY91" s="50">
        <f t="shared" si="38"/>
        <v>141.07166145859625</v>
      </c>
      <c r="AZ91" s="50">
        <f t="shared" si="38"/>
        <v>145.41654890663347</v>
      </c>
      <c r="BA91" s="50">
        <f t="shared" si="38"/>
        <v>149.7547864836379</v>
      </c>
      <c r="BB91" s="50">
        <f t="shared" si="38"/>
        <v>154.31070250132282</v>
      </c>
      <c r="BC91" s="50">
        <f>BB91/BB90</f>
        <v>1.5876590252813978</v>
      </c>
    </row>
    <row r="92" spans="1:59" x14ac:dyDescent="0.3">
      <c r="A92" s="1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  <c r="Q92" s="4"/>
      <c r="R92" s="4"/>
      <c r="S92" s="4"/>
      <c r="T92" s="3"/>
      <c r="U92" s="3"/>
      <c r="V92" s="6"/>
      <c r="W92" s="6"/>
      <c r="X92" s="4"/>
      <c r="Y92" s="4"/>
      <c r="Z92" s="4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X92" s="2"/>
    </row>
    <row r="93" spans="1:59" x14ac:dyDescent="0.3">
      <c r="A93" s="1" t="s">
        <v>59</v>
      </c>
      <c r="B93" s="2">
        <v>1971</v>
      </c>
      <c r="C93" s="2">
        <v>1972</v>
      </c>
      <c r="D93" s="2">
        <f t="shared" ref="D93:BA93" si="39">C93+1</f>
        <v>1973</v>
      </c>
      <c r="E93" s="2">
        <f>D93+1</f>
        <v>1974</v>
      </c>
      <c r="F93" s="2">
        <f t="shared" si="39"/>
        <v>1975</v>
      </c>
      <c r="G93" s="2">
        <f t="shared" si="39"/>
        <v>1976</v>
      </c>
      <c r="H93" s="2">
        <f t="shared" si="39"/>
        <v>1977</v>
      </c>
      <c r="I93" s="2">
        <f t="shared" si="39"/>
        <v>1978</v>
      </c>
      <c r="J93" s="2">
        <f t="shared" si="39"/>
        <v>1979</v>
      </c>
      <c r="K93" s="2">
        <f t="shared" si="39"/>
        <v>1980</v>
      </c>
      <c r="L93" s="2">
        <f t="shared" si="39"/>
        <v>1981</v>
      </c>
      <c r="M93" s="2">
        <f t="shared" si="39"/>
        <v>1982</v>
      </c>
      <c r="N93" s="2">
        <f>M93+1</f>
        <v>1983</v>
      </c>
      <c r="O93" s="2">
        <f t="shared" si="39"/>
        <v>1984</v>
      </c>
      <c r="P93" s="2">
        <f t="shared" si="39"/>
        <v>1985</v>
      </c>
      <c r="Q93" s="2">
        <f>P93+1</f>
        <v>1986</v>
      </c>
      <c r="R93" s="3">
        <f t="shared" si="39"/>
        <v>1987</v>
      </c>
      <c r="S93" s="3">
        <f t="shared" si="39"/>
        <v>1988</v>
      </c>
      <c r="T93" s="2">
        <f t="shared" si="39"/>
        <v>1989</v>
      </c>
      <c r="U93" s="2">
        <f t="shared" si="39"/>
        <v>1990</v>
      </c>
      <c r="V93" s="2">
        <f>U93+1</f>
        <v>1991</v>
      </c>
      <c r="W93" s="2">
        <f>V93+1</f>
        <v>1992</v>
      </c>
      <c r="X93" s="2">
        <f>W93+1</f>
        <v>1993</v>
      </c>
      <c r="Y93" s="2">
        <f>X93+1</f>
        <v>1994</v>
      </c>
      <c r="Z93" s="2">
        <f t="shared" si="39"/>
        <v>1995</v>
      </c>
      <c r="AA93" s="2">
        <f t="shared" si="39"/>
        <v>1996</v>
      </c>
      <c r="AB93" s="2">
        <f t="shared" si="39"/>
        <v>1997</v>
      </c>
      <c r="AC93" s="2">
        <f t="shared" si="39"/>
        <v>1998</v>
      </c>
      <c r="AD93" s="2">
        <f>AC93+1</f>
        <v>1999</v>
      </c>
      <c r="AE93" s="2">
        <f>AD93+1</f>
        <v>2000</v>
      </c>
      <c r="AF93" s="2">
        <f t="shared" si="39"/>
        <v>2001</v>
      </c>
      <c r="AG93" s="2">
        <f t="shared" si="39"/>
        <v>2002</v>
      </c>
      <c r="AH93" s="2">
        <f t="shared" si="39"/>
        <v>2003</v>
      </c>
      <c r="AI93" s="2">
        <f t="shared" si="39"/>
        <v>2004</v>
      </c>
      <c r="AJ93" s="2">
        <f t="shared" si="39"/>
        <v>2005</v>
      </c>
      <c r="AK93" s="2">
        <f t="shared" si="39"/>
        <v>2006</v>
      </c>
      <c r="AL93" s="2">
        <f t="shared" si="39"/>
        <v>2007</v>
      </c>
      <c r="AM93" s="2">
        <f t="shared" si="39"/>
        <v>2008</v>
      </c>
      <c r="AN93" s="2">
        <f t="shared" si="39"/>
        <v>2009</v>
      </c>
      <c r="AO93" s="2">
        <f t="shared" si="39"/>
        <v>2010</v>
      </c>
      <c r="AP93" s="2">
        <f t="shared" si="39"/>
        <v>2011</v>
      </c>
      <c r="AQ93" s="2">
        <f t="shared" si="39"/>
        <v>2012</v>
      </c>
      <c r="AR93" s="2">
        <f t="shared" si="39"/>
        <v>2013</v>
      </c>
      <c r="AS93" s="2">
        <f t="shared" si="39"/>
        <v>2014</v>
      </c>
      <c r="AT93" s="2">
        <f t="shared" si="39"/>
        <v>2015</v>
      </c>
      <c r="AU93" s="2">
        <f t="shared" si="39"/>
        <v>2016</v>
      </c>
      <c r="AV93" s="2">
        <f t="shared" si="39"/>
        <v>2017</v>
      </c>
      <c r="AW93" s="2">
        <f t="shared" si="39"/>
        <v>2018</v>
      </c>
      <c r="AX93" s="2">
        <f t="shared" si="39"/>
        <v>2019</v>
      </c>
      <c r="AY93" s="2">
        <f t="shared" si="39"/>
        <v>2020</v>
      </c>
      <c r="AZ93" s="2">
        <f t="shared" si="39"/>
        <v>2021</v>
      </c>
      <c r="BA93" s="2">
        <f t="shared" si="39"/>
        <v>2022</v>
      </c>
      <c r="BB93" s="2">
        <v>2023</v>
      </c>
      <c r="BC93" s="2"/>
      <c r="BD93" s="2"/>
      <c r="BE93" s="2"/>
      <c r="BF93" s="2"/>
      <c r="BG93" s="2"/>
    </row>
    <row r="94" spans="1:59" x14ac:dyDescent="0.3">
      <c r="A94" s="1" t="s">
        <v>48</v>
      </c>
      <c r="B94" s="1"/>
      <c r="C94" s="50">
        <f t="shared" ref="C94:BB94" si="40">VLOOKUP(C93,$A1:$Q56,17)</f>
        <v>5.16</v>
      </c>
      <c r="D94" s="50">
        <f t="shared" si="40"/>
        <v>7.78</v>
      </c>
      <c r="E94" s="50">
        <f t="shared" si="40"/>
        <v>9.4499999999999993</v>
      </c>
      <c r="F94" s="50">
        <f t="shared" si="40"/>
        <v>18.37</v>
      </c>
      <c r="G94" s="50">
        <f t="shared" si="40"/>
        <v>28.35</v>
      </c>
      <c r="H94" s="50">
        <f t="shared" si="40"/>
        <v>32.14</v>
      </c>
      <c r="I94" s="50">
        <f t="shared" si="40"/>
        <v>33.119999999999997</v>
      </c>
      <c r="J94" s="50">
        <f t="shared" si="40"/>
        <v>32.869999999999997</v>
      </c>
      <c r="K94" s="50">
        <f t="shared" si="40"/>
        <v>31.02</v>
      </c>
      <c r="L94" s="50">
        <f t="shared" si="40"/>
        <v>24.5</v>
      </c>
      <c r="M94" s="50">
        <f t="shared" si="40"/>
        <v>32.42</v>
      </c>
      <c r="N94" s="50">
        <f t="shared" si="40"/>
        <v>27.57</v>
      </c>
      <c r="O94" s="50">
        <f t="shared" si="40"/>
        <v>29.63</v>
      </c>
      <c r="P94" s="50">
        <f t="shared" si="40"/>
        <v>34.72</v>
      </c>
      <c r="Q94" s="50">
        <f t="shared" si="40"/>
        <v>43.66</v>
      </c>
      <c r="R94" s="50">
        <f t="shared" si="40"/>
        <v>49.1</v>
      </c>
      <c r="S94" s="50">
        <f t="shared" si="40"/>
        <v>47.77</v>
      </c>
      <c r="T94" s="50">
        <f t="shared" si="40"/>
        <v>52.14</v>
      </c>
      <c r="U94" s="50">
        <f t="shared" si="40"/>
        <v>63.5</v>
      </c>
      <c r="V94" s="50">
        <f t="shared" si="40"/>
        <v>101.89</v>
      </c>
      <c r="W94" s="50">
        <f t="shared" si="40"/>
        <v>122.49</v>
      </c>
      <c r="X94" s="50">
        <f t="shared" si="40"/>
        <v>124.64</v>
      </c>
      <c r="Y94" s="50">
        <f t="shared" si="40"/>
        <v>112.56</v>
      </c>
      <c r="Z94" s="50">
        <f t="shared" si="40"/>
        <v>109.87</v>
      </c>
      <c r="AA94" s="50">
        <f t="shared" si="40"/>
        <v>93.580000000000013</v>
      </c>
      <c r="AB94" s="50">
        <f t="shared" si="40"/>
        <v>85.435000000000002</v>
      </c>
      <c r="AC94" s="50">
        <f t="shared" si="40"/>
        <v>80.36243813038972</v>
      </c>
      <c r="AD94" s="50">
        <f t="shared" si="40"/>
        <v>89.861573090893103</v>
      </c>
      <c r="AE94" s="50">
        <f t="shared" si="40"/>
        <v>92.620390506411766</v>
      </c>
      <c r="AF94" s="50">
        <f t="shared" si="40"/>
        <v>94.73500199154752</v>
      </c>
      <c r="AG94" s="50">
        <f t="shared" si="40"/>
        <v>94.207572473019951</v>
      </c>
      <c r="AH94" s="50">
        <f t="shared" si="40"/>
        <v>111.40821278728059</v>
      </c>
      <c r="AI94" s="50">
        <f t="shared" si="40"/>
        <v>109.90904193285236</v>
      </c>
      <c r="AJ94" s="50">
        <f t="shared" si="40"/>
        <v>123.78303918386608</v>
      </c>
      <c r="AK94" s="50">
        <f t="shared" si="40"/>
        <v>161.16307304486583</v>
      </c>
      <c r="AL94" s="50">
        <f t="shared" si="40"/>
        <v>134.86198594561566</v>
      </c>
      <c r="AM94" s="50">
        <f t="shared" si="40"/>
        <v>100.22118455345178</v>
      </c>
      <c r="AN94" s="50">
        <f t="shared" si="40"/>
        <v>135.66155481951239</v>
      </c>
      <c r="AO94" s="50">
        <f t="shared" si="40"/>
        <v>132.38098828095013</v>
      </c>
      <c r="AP94" s="50">
        <f t="shared" si="40"/>
        <v>151.92662659505896</v>
      </c>
      <c r="AQ94" s="50">
        <f t="shared" si="40"/>
        <v>151.55746596804997</v>
      </c>
      <c r="AR94" s="50">
        <f t="shared" si="40"/>
        <v>180.90276091788959</v>
      </c>
      <c r="AS94" s="50">
        <f t="shared" si="40"/>
        <v>174.65807798345807</v>
      </c>
      <c r="AT94" s="50">
        <f t="shared" si="40"/>
        <v>183.00326812584569</v>
      </c>
      <c r="AU94" s="50">
        <f t="shared" si="40"/>
        <v>198.88370833129972</v>
      </c>
      <c r="AV94" s="50">
        <f t="shared" si="40"/>
        <v>217.81379273664922</v>
      </c>
      <c r="AW94" s="50">
        <f t="shared" si="40"/>
        <v>257.61499677714039</v>
      </c>
      <c r="AX94" s="50">
        <f t="shared" si="40"/>
        <v>301.0895750460549</v>
      </c>
      <c r="AY94" s="50">
        <f t="shared" si="40"/>
        <v>342.53544520868553</v>
      </c>
      <c r="AZ94" s="50">
        <f t="shared" si="40"/>
        <v>378.98057495753051</v>
      </c>
      <c r="BA94" s="50">
        <f t="shared" si="40"/>
        <v>422.79464086033784</v>
      </c>
      <c r="BB94" s="50">
        <f t="shared" si="40"/>
        <v>407.11476380159996</v>
      </c>
    </row>
    <row r="95" spans="1:59" x14ac:dyDescent="0.3">
      <c r="A95" s="1" t="s">
        <v>57</v>
      </c>
      <c r="B95" s="50">
        <f t="shared" ref="B95:BB95" si="41">VLOOKUP(B93,$A1:$AF58,26)</f>
        <v>4.72</v>
      </c>
      <c r="C95" s="50">
        <f t="shared" si="41"/>
        <v>4.0789999999999997</v>
      </c>
      <c r="D95" s="50">
        <f t="shared" si="41"/>
        <v>3.794</v>
      </c>
      <c r="E95" s="50">
        <f t="shared" si="41"/>
        <v>3.464</v>
      </c>
      <c r="F95" s="50">
        <f t="shared" si="41"/>
        <v>3.194</v>
      </c>
      <c r="G95" s="50">
        <f t="shared" si="41"/>
        <v>3.2749999999999999</v>
      </c>
      <c r="H95" s="50">
        <f t="shared" si="41"/>
        <v>3.1840000000000002</v>
      </c>
      <c r="I95" s="50">
        <f t="shared" si="41"/>
        <v>3.4670000000000001</v>
      </c>
      <c r="J95" s="50">
        <f t="shared" si="41"/>
        <v>3.9710000000000001</v>
      </c>
      <c r="K95" s="50">
        <f t="shared" si="41"/>
        <v>3.7959999999999998</v>
      </c>
      <c r="L95" s="50">
        <f t="shared" si="41"/>
        <v>6.181</v>
      </c>
      <c r="M95" s="50">
        <f t="shared" si="41"/>
        <v>5.4029999999999996</v>
      </c>
      <c r="N95" s="50">
        <f t="shared" si="41"/>
        <v>7.3390000000000004</v>
      </c>
      <c r="O95" s="50">
        <f t="shared" si="41"/>
        <v>6.9450000000000003</v>
      </c>
      <c r="P95" s="50">
        <f t="shared" si="41"/>
        <v>11.920999999999999</v>
      </c>
      <c r="Q95" s="50">
        <f t="shared" si="41"/>
        <v>13.31</v>
      </c>
      <c r="R95" s="50">
        <f t="shared" si="41"/>
        <v>12.994</v>
      </c>
      <c r="S95" s="50">
        <f t="shared" si="41"/>
        <v>15.881</v>
      </c>
      <c r="T95" s="50">
        <f t="shared" si="41"/>
        <v>17.183242</v>
      </c>
      <c r="U95" s="50">
        <f t="shared" si="41"/>
        <v>18.592267844000002</v>
      </c>
      <c r="V95" s="50">
        <f t="shared" si="41"/>
        <v>20.116833807208003</v>
      </c>
      <c r="W95" s="50">
        <f t="shared" si="41"/>
        <v>21.76641417939906</v>
      </c>
      <c r="X95" s="50">
        <f t="shared" si="41"/>
        <v>23.551260142109786</v>
      </c>
      <c r="Y95" s="50">
        <f t="shared" si="41"/>
        <v>25.482463473762792</v>
      </c>
      <c r="Z95" s="50">
        <f t="shared" si="41"/>
        <v>27.572025478611341</v>
      </c>
      <c r="AA95" s="50">
        <f t="shared" si="41"/>
        <v>29.832931567857472</v>
      </c>
      <c r="AB95" s="50">
        <f t="shared" si="41"/>
        <v>32.872</v>
      </c>
      <c r="AC95" s="50">
        <f t="shared" si="41"/>
        <v>42.001999999999995</v>
      </c>
      <c r="AD95" s="50">
        <f t="shared" si="41"/>
        <v>40.522000000000006</v>
      </c>
      <c r="AE95" s="50">
        <f t="shared" si="41"/>
        <v>28.922000000000001</v>
      </c>
      <c r="AF95" s="50">
        <f t="shared" si="41"/>
        <v>35.841999999999999</v>
      </c>
      <c r="AG95" s="50">
        <f t="shared" si="41"/>
        <v>43.652000000000001</v>
      </c>
      <c r="AH95" s="50">
        <f t="shared" si="41"/>
        <v>46.691999999999993</v>
      </c>
      <c r="AI95" s="50">
        <f t="shared" si="41"/>
        <v>59.866999999999997</v>
      </c>
      <c r="AJ95" s="50">
        <f t="shared" si="41"/>
        <v>73.042000000000002</v>
      </c>
      <c r="AK95" s="50">
        <f t="shared" si="41"/>
        <v>71.781999999999996</v>
      </c>
      <c r="AL95" s="50">
        <f t="shared" si="41"/>
        <v>62.391999999999996</v>
      </c>
      <c r="AM95" s="50">
        <f t="shared" si="41"/>
        <v>52.872</v>
      </c>
      <c r="AN95" s="50">
        <f t="shared" si="41"/>
        <v>54.221999999999994</v>
      </c>
      <c r="AO95" s="50">
        <f t="shared" si="41"/>
        <v>53.751999999999995</v>
      </c>
      <c r="AP95" s="50">
        <f t="shared" si="41"/>
        <v>59.352000000000004</v>
      </c>
      <c r="AQ95" s="50">
        <f t="shared" si="41"/>
        <v>61.641999999999996</v>
      </c>
      <c r="AR95" s="50">
        <f t="shared" si="41"/>
        <v>58.152000000000001</v>
      </c>
      <c r="AS95" s="50">
        <f t="shared" si="41"/>
        <v>56.262</v>
      </c>
      <c r="AT95" s="50">
        <f t="shared" si="41"/>
        <v>56.822000000000003</v>
      </c>
      <c r="AU95" s="50">
        <f t="shared" si="41"/>
        <v>57.751999999999995</v>
      </c>
      <c r="AV95" s="50">
        <f t="shared" si="41"/>
        <v>59.662000000000006</v>
      </c>
      <c r="AW95" s="50">
        <f t="shared" si="41"/>
        <v>56.742000000000004</v>
      </c>
      <c r="AX95" s="50">
        <f t="shared" si="41"/>
        <v>54.742000000000004</v>
      </c>
      <c r="AY95" s="50">
        <f t="shared" si="41"/>
        <v>52.962000000000003</v>
      </c>
      <c r="AZ95" s="50">
        <f t="shared" si="41"/>
        <v>52.591999999999999</v>
      </c>
      <c r="BA95" s="50">
        <f t="shared" si="41"/>
        <v>53.331999999999994</v>
      </c>
      <c r="BB95" s="50">
        <f t="shared" si="41"/>
        <v>56.315760100000006</v>
      </c>
    </row>
    <row r="96" spans="1:59" x14ac:dyDescent="0.3">
      <c r="A96" s="1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</row>
    <row r="97" spans="1:59" x14ac:dyDescent="0.3">
      <c r="A97" s="1" t="s">
        <v>58</v>
      </c>
      <c r="B97" s="2">
        <v>1971</v>
      </c>
      <c r="C97" s="2">
        <v>1972</v>
      </c>
      <c r="D97" s="2">
        <f t="shared" ref="D97:BA97" si="42">C97+1</f>
        <v>1973</v>
      </c>
      <c r="E97" s="2">
        <f t="shared" si="42"/>
        <v>1974</v>
      </c>
      <c r="F97" s="2">
        <f t="shared" si="42"/>
        <v>1975</v>
      </c>
      <c r="G97" s="2">
        <f t="shared" si="42"/>
        <v>1976</v>
      </c>
      <c r="H97" s="2">
        <f t="shared" si="42"/>
        <v>1977</v>
      </c>
      <c r="I97" s="2">
        <f t="shared" si="42"/>
        <v>1978</v>
      </c>
      <c r="J97" s="2">
        <f t="shared" si="42"/>
        <v>1979</v>
      </c>
      <c r="K97" s="2">
        <f t="shared" si="42"/>
        <v>1980</v>
      </c>
      <c r="L97" s="2">
        <f t="shared" si="42"/>
        <v>1981</v>
      </c>
      <c r="M97" s="2">
        <f t="shared" si="42"/>
        <v>1982</v>
      </c>
      <c r="N97" s="2">
        <f t="shared" si="42"/>
        <v>1983</v>
      </c>
      <c r="O97" s="2">
        <f t="shared" si="42"/>
        <v>1984</v>
      </c>
      <c r="P97" s="2">
        <f t="shared" si="42"/>
        <v>1985</v>
      </c>
      <c r="Q97" s="2">
        <f t="shared" si="42"/>
        <v>1986</v>
      </c>
      <c r="R97" s="3">
        <f t="shared" si="42"/>
        <v>1987</v>
      </c>
      <c r="S97" s="3">
        <f t="shared" si="42"/>
        <v>1988</v>
      </c>
      <c r="T97" s="2">
        <f t="shared" si="42"/>
        <v>1989</v>
      </c>
      <c r="U97" s="2">
        <f t="shared" si="42"/>
        <v>1990</v>
      </c>
      <c r="V97" s="2">
        <f t="shared" si="42"/>
        <v>1991</v>
      </c>
      <c r="W97" s="2">
        <f t="shared" si="42"/>
        <v>1992</v>
      </c>
      <c r="X97" s="2">
        <f t="shared" si="42"/>
        <v>1993</v>
      </c>
      <c r="Y97" s="2">
        <f t="shared" si="42"/>
        <v>1994</v>
      </c>
      <c r="Z97" s="2">
        <f t="shared" si="42"/>
        <v>1995</v>
      </c>
      <c r="AA97" s="2">
        <f t="shared" si="42"/>
        <v>1996</v>
      </c>
      <c r="AB97" s="2">
        <f t="shared" si="42"/>
        <v>1997</v>
      </c>
      <c r="AC97" s="2">
        <f t="shared" si="42"/>
        <v>1998</v>
      </c>
      <c r="AD97" s="2">
        <f t="shared" si="42"/>
        <v>1999</v>
      </c>
      <c r="AE97" s="2">
        <f t="shared" si="42"/>
        <v>2000</v>
      </c>
      <c r="AF97" s="2">
        <f t="shared" si="42"/>
        <v>2001</v>
      </c>
      <c r="AG97" s="2">
        <f t="shared" si="42"/>
        <v>2002</v>
      </c>
      <c r="AH97" s="2">
        <f t="shared" si="42"/>
        <v>2003</v>
      </c>
      <c r="AI97" s="2">
        <f t="shared" si="42"/>
        <v>2004</v>
      </c>
      <c r="AJ97" s="2">
        <f t="shared" si="42"/>
        <v>2005</v>
      </c>
      <c r="AK97" s="2">
        <f t="shared" si="42"/>
        <v>2006</v>
      </c>
      <c r="AL97" s="2">
        <f t="shared" si="42"/>
        <v>2007</v>
      </c>
      <c r="AM97" s="2">
        <f t="shared" si="42"/>
        <v>2008</v>
      </c>
      <c r="AN97" s="2">
        <f t="shared" si="42"/>
        <v>2009</v>
      </c>
      <c r="AO97" s="2">
        <f t="shared" si="42"/>
        <v>2010</v>
      </c>
      <c r="AP97" s="2">
        <f t="shared" si="42"/>
        <v>2011</v>
      </c>
      <c r="AQ97" s="2">
        <f t="shared" si="42"/>
        <v>2012</v>
      </c>
      <c r="AR97" s="2">
        <f t="shared" si="42"/>
        <v>2013</v>
      </c>
      <c r="AS97" s="2">
        <f t="shared" si="42"/>
        <v>2014</v>
      </c>
      <c r="AT97" s="2">
        <f t="shared" si="42"/>
        <v>2015</v>
      </c>
      <c r="AU97" s="2">
        <f t="shared" si="42"/>
        <v>2016</v>
      </c>
      <c r="AV97" s="2">
        <f t="shared" si="42"/>
        <v>2017</v>
      </c>
      <c r="AW97" s="2">
        <f t="shared" si="42"/>
        <v>2018</v>
      </c>
      <c r="AX97" s="2">
        <f t="shared" si="42"/>
        <v>2019</v>
      </c>
      <c r="AY97" s="2">
        <f t="shared" si="42"/>
        <v>2020</v>
      </c>
      <c r="AZ97" s="2">
        <f t="shared" si="42"/>
        <v>2021</v>
      </c>
      <c r="BA97" s="2">
        <f t="shared" si="42"/>
        <v>2022</v>
      </c>
      <c r="BB97" s="2">
        <v>2023</v>
      </c>
      <c r="BC97" s="2"/>
      <c r="BD97" s="2"/>
      <c r="BE97" s="2"/>
      <c r="BF97" s="2"/>
      <c r="BG97" s="2"/>
    </row>
    <row r="98" spans="1:59" x14ac:dyDescent="0.3">
      <c r="A98" s="1" t="s">
        <v>48</v>
      </c>
      <c r="B98" s="50">
        <v>0</v>
      </c>
      <c r="C98" s="50">
        <f>B94+C94</f>
        <v>5.16</v>
      </c>
      <c r="D98" s="50">
        <f>C98+D94</f>
        <v>12.940000000000001</v>
      </c>
      <c r="E98" s="50">
        <f t="shared" ref="E98:BB99" si="43">D98+E94</f>
        <v>22.39</v>
      </c>
      <c r="F98" s="50">
        <f t="shared" si="43"/>
        <v>40.760000000000005</v>
      </c>
      <c r="G98" s="50">
        <f t="shared" si="43"/>
        <v>69.110000000000014</v>
      </c>
      <c r="H98" s="50">
        <f t="shared" si="43"/>
        <v>101.25000000000001</v>
      </c>
      <c r="I98" s="50">
        <f t="shared" si="43"/>
        <v>134.37</v>
      </c>
      <c r="J98" s="50">
        <f t="shared" si="43"/>
        <v>167.24</v>
      </c>
      <c r="K98" s="50">
        <f t="shared" si="43"/>
        <v>198.26000000000002</v>
      </c>
      <c r="L98" s="50">
        <f t="shared" si="43"/>
        <v>222.76000000000002</v>
      </c>
      <c r="M98" s="50">
        <f t="shared" si="43"/>
        <v>255.18</v>
      </c>
      <c r="N98" s="50">
        <f t="shared" si="43"/>
        <v>282.75</v>
      </c>
      <c r="O98" s="50">
        <f t="shared" si="43"/>
        <v>312.38</v>
      </c>
      <c r="P98" s="50">
        <f t="shared" si="43"/>
        <v>347.1</v>
      </c>
      <c r="Q98" s="50">
        <f t="shared" si="43"/>
        <v>390.76</v>
      </c>
      <c r="R98" s="50">
        <f t="shared" si="43"/>
        <v>439.86</v>
      </c>
      <c r="S98" s="50">
        <f t="shared" si="43"/>
        <v>487.63</v>
      </c>
      <c r="T98" s="50">
        <f t="shared" si="43"/>
        <v>539.77</v>
      </c>
      <c r="U98" s="50">
        <f t="shared" si="43"/>
        <v>603.27</v>
      </c>
      <c r="V98" s="50">
        <f t="shared" si="43"/>
        <v>705.16</v>
      </c>
      <c r="W98" s="50">
        <f t="shared" si="43"/>
        <v>827.65</v>
      </c>
      <c r="X98" s="50">
        <f t="shared" si="43"/>
        <v>952.29</v>
      </c>
      <c r="Y98" s="50">
        <f t="shared" si="43"/>
        <v>1064.8499999999999</v>
      </c>
      <c r="Z98" s="50">
        <f t="shared" si="43"/>
        <v>1174.7199999999998</v>
      </c>
      <c r="AA98" s="50">
        <f t="shared" si="43"/>
        <v>1268.2999999999997</v>
      </c>
      <c r="AB98" s="50">
        <f t="shared" si="43"/>
        <v>1353.7349999999997</v>
      </c>
      <c r="AC98" s="50">
        <f t="shared" si="43"/>
        <v>1434.0974381303895</v>
      </c>
      <c r="AD98" s="50">
        <f t="shared" si="43"/>
        <v>1523.9590112212827</v>
      </c>
      <c r="AE98" s="50">
        <f t="shared" si="43"/>
        <v>1616.5794017276944</v>
      </c>
      <c r="AF98" s="50">
        <f t="shared" si="43"/>
        <v>1711.3144037192419</v>
      </c>
      <c r="AG98" s="50">
        <f t="shared" si="43"/>
        <v>1805.5219761922619</v>
      </c>
      <c r="AH98" s="50">
        <f t="shared" si="43"/>
        <v>1916.9301889795424</v>
      </c>
      <c r="AI98" s="50">
        <f t="shared" si="43"/>
        <v>2026.8392309123949</v>
      </c>
      <c r="AJ98" s="50">
        <f t="shared" si="43"/>
        <v>2150.6222700962608</v>
      </c>
      <c r="AK98" s="50">
        <f t="shared" si="43"/>
        <v>2311.7853431411268</v>
      </c>
      <c r="AL98" s="50">
        <f t="shared" si="43"/>
        <v>2446.6473290867425</v>
      </c>
      <c r="AM98" s="50">
        <f t="shared" si="43"/>
        <v>2546.8685136401941</v>
      </c>
      <c r="AN98" s="50">
        <f t="shared" si="43"/>
        <v>2682.5300684597064</v>
      </c>
      <c r="AO98" s="50">
        <f t="shared" si="43"/>
        <v>2814.9110567406565</v>
      </c>
      <c r="AP98" s="50">
        <f t="shared" si="43"/>
        <v>2966.8376833357156</v>
      </c>
      <c r="AQ98" s="50">
        <f t="shared" si="43"/>
        <v>3118.3951493037657</v>
      </c>
      <c r="AR98" s="50">
        <f t="shared" si="43"/>
        <v>3299.2979102216555</v>
      </c>
      <c r="AS98" s="50">
        <f t="shared" si="43"/>
        <v>3473.9559882051135</v>
      </c>
      <c r="AT98" s="50">
        <f t="shared" si="43"/>
        <v>3656.9592563309593</v>
      </c>
      <c r="AU98" s="50">
        <f t="shared" si="43"/>
        <v>3855.842964662259</v>
      </c>
      <c r="AV98" s="50">
        <f t="shared" si="43"/>
        <v>4073.6567573989082</v>
      </c>
      <c r="AW98" s="50">
        <f t="shared" si="43"/>
        <v>4331.2717541760485</v>
      </c>
      <c r="AX98" s="50">
        <f t="shared" si="43"/>
        <v>4632.3613292221034</v>
      </c>
      <c r="AY98" s="50">
        <f t="shared" si="43"/>
        <v>4974.8967744307893</v>
      </c>
      <c r="AZ98" s="50">
        <f t="shared" si="43"/>
        <v>5353.87734938832</v>
      </c>
      <c r="BA98" s="50">
        <f t="shared" si="43"/>
        <v>5776.6719902486575</v>
      </c>
      <c r="BB98" s="50">
        <f t="shared" si="43"/>
        <v>6183.7867540502575</v>
      </c>
      <c r="BC98" s="50">
        <f>BB98*0.29</f>
        <v>1793.2981586745746</v>
      </c>
    </row>
    <row r="99" spans="1:59" x14ac:dyDescent="0.3">
      <c r="A99" s="1" t="s">
        <v>57</v>
      </c>
      <c r="B99" s="50">
        <f>B95</f>
        <v>4.72</v>
      </c>
      <c r="C99" s="50">
        <f>B95+C95</f>
        <v>8.7989999999999995</v>
      </c>
      <c r="D99" s="50">
        <f>C99+D95</f>
        <v>12.593</v>
      </c>
      <c r="E99" s="50">
        <f t="shared" si="43"/>
        <v>16.056999999999999</v>
      </c>
      <c r="F99" s="50">
        <f t="shared" si="43"/>
        <v>19.250999999999998</v>
      </c>
      <c r="G99" s="50">
        <f t="shared" si="43"/>
        <v>22.525999999999996</v>
      </c>
      <c r="H99" s="50">
        <f t="shared" si="43"/>
        <v>25.709999999999997</v>
      </c>
      <c r="I99" s="50">
        <f t="shared" si="43"/>
        <v>29.176999999999996</v>
      </c>
      <c r="J99" s="50">
        <f t="shared" si="43"/>
        <v>33.147999999999996</v>
      </c>
      <c r="K99" s="50">
        <f t="shared" si="43"/>
        <v>36.943999999999996</v>
      </c>
      <c r="L99" s="50">
        <f t="shared" si="43"/>
        <v>43.124999999999993</v>
      </c>
      <c r="M99" s="50">
        <f t="shared" si="43"/>
        <v>48.527999999999992</v>
      </c>
      <c r="N99" s="50">
        <f t="shared" si="43"/>
        <v>55.86699999999999</v>
      </c>
      <c r="O99" s="50">
        <f t="shared" si="43"/>
        <v>62.811999999999991</v>
      </c>
      <c r="P99" s="50">
        <f t="shared" si="43"/>
        <v>74.73299999999999</v>
      </c>
      <c r="Q99" s="50">
        <f t="shared" si="43"/>
        <v>88.042999999999992</v>
      </c>
      <c r="R99" s="50">
        <f t="shared" si="43"/>
        <v>101.03699999999999</v>
      </c>
      <c r="S99" s="50">
        <f t="shared" si="43"/>
        <v>116.91799999999999</v>
      </c>
      <c r="T99" s="50">
        <f t="shared" si="43"/>
        <v>134.10124199999998</v>
      </c>
      <c r="U99" s="50">
        <f t="shared" si="43"/>
        <v>152.69350984399998</v>
      </c>
      <c r="V99" s="50">
        <f t="shared" si="43"/>
        <v>172.81034365120797</v>
      </c>
      <c r="W99" s="50">
        <f t="shared" si="43"/>
        <v>194.57675783060702</v>
      </c>
      <c r="X99" s="50">
        <f t="shared" si="43"/>
        <v>218.1280179727168</v>
      </c>
      <c r="Y99" s="50">
        <f t="shared" si="43"/>
        <v>243.61048144647958</v>
      </c>
      <c r="Z99" s="50">
        <f t="shared" si="43"/>
        <v>271.18250692509093</v>
      </c>
      <c r="AA99" s="50">
        <f t="shared" si="43"/>
        <v>301.01543849294842</v>
      </c>
      <c r="AB99" s="50">
        <f t="shared" si="43"/>
        <v>333.88743849294843</v>
      </c>
      <c r="AC99" s="50">
        <f t="shared" si="43"/>
        <v>375.88943849294844</v>
      </c>
      <c r="AD99" s="50">
        <f t="shared" si="43"/>
        <v>416.41143849294843</v>
      </c>
      <c r="AE99" s="50">
        <f t="shared" si="43"/>
        <v>445.33343849294846</v>
      </c>
      <c r="AF99" s="50">
        <f t="shared" si="43"/>
        <v>481.17543849294844</v>
      </c>
      <c r="AG99" s="50">
        <f t="shared" si="43"/>
        <v>524.82743849294843</v>
      </c>
      <c r="AH99" s="50">
        <f t="shared" si="43"/>
        <v>571.51943849294844</v>
      </c>
      <c r="AI99" s="50">
        <f t="shared" si="43"/>
        <v>631.3864384929484</v>
      </c>
      <c r="AJ99" s="50">
        <f t="shared" si="43"/>
        <v>704.42843849294843</v>
      </c>
      <c r="AK99" s="50">
        <f t="shared" si="43"/>
        <v>776.21043849294847</v>
      </c>
      <c r="AL99" s="50">
        <f t="shared" si="43"/>
        <v>838.60243849294852</v>
      </c>
      <c r="AM99" s="50">
        <f t="shared" si="43"/>
        <v>891.47443849294848</v>
      </c>
      <c r="AN99" s="50">
        <f t="shared" si="43"/>
        <v>945.69643849294846</v>
      </c>
      <c r="AO99" s="50">
        <f t="shared" si="43"/>
        <v>999.44843849294841</v>
      </c>
      <c r="AP99" s="50">
        <f t="shared" si="43"/>
        <v>1058.8004384929484</v>
      </c>
      <c r="AQ99" s="50">
        <f t="shared" si="43"/>
        <v>1120.4424384929484</v>
      </c>
      <c r="AR99" s="50">
        <f t="shared" si="43"/>
        <v>1178.5944384929485</v>
      </c>
      <c r="AS99" s="50">
        <f t="shared" si="43"/>
        <v>1234.8564384929484</v>
      </c>
      <c r="AT99" s="50">
        <f t="shared" si="43"/>
        <v>1291.6784384929483</v>
      </c>
      <c r="AU99" s="50">
        <f t="shared" si="43"/>
        <v>1349.4304384929483</v>
      </c>
      <c r="AV99" s="50">
        <f t="shared" si="43"/>
        <v>1409.0924384929483</v>
      </c>
      <c r="AW99" s="50">
        <f t="shared" si="43"/>
        <v>1465.8344384929483</v>
      </c>
      <c r="AX99" s="50">
        <f t="shared" si="43"/>
        <v>1520.5764384929482</v>
      </c>
      <c r="AY99" s="50">
        <f t="shared" si="43"/>
        <v>1573.5384384929482</v>
      </c>
      <c r="AZ99" s="50">
        <f t="shared" si="43"/>
        <v>1626.1304384929483</v>
      </c>
      <c r="BA99" s="50">
        <f t="shared" si="43"/>
        <v>1679.4624384929484</v>
      </c>
      <c r="BB99" s="50">
        <f t="shared" si="43"/>
        <v>1735.7781985929485</v>
      </c>
    </row>
    <row r="100" spans="1:59" x14ac:dyDescent="0.3">
      <c r="A100" s="1"/>
      <c r="B100" s="2"/>
      <c r="C100" s="2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3"/>
      <c r="W100" s="3"/>
      <c r="X100" s="6"/>
      <c r="Y100" s="6"/>
      <c r="Z100" s="4"/>
      <c r="AA100" s="4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Z100" s="2"/>
    </row>
    <row r="101" spans="1:59" x14ac:dyDescent="0.3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3">
      <c r="A102" s="1"/>
      <c r="B102" s="1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9" x14ac:dyDescent="0.3">
      <c r="A103" s="1"/>
      <c r="B103" s="1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9" x14ac:dyDescent="0.3">
      <c r="A104" s="1"/>
      <c r="B104" s="2"/>
      <c r="C104" s="2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6"/>
      <c r="Z104" s="6"/>
      <c r="AA104" s="4"/>
      <c r="AB104" s="4"/>
      <c r="AC104" s="4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C104" s="2"/>
    </row>
    <row r="105" spans="1:59" x14ac:dyDescent="0.3">
      <c r="A105" s="54" t="s">
        <v>86</v>
      </c>
      <c r="B105" s="2"/>
      <c r="C105" s="2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6"/>
      <c r="Z105" s="6"/>
      <c r="AA105" s="4"/>
      <c r="AB105" s="4"/>
      <c r="AC105" s="4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C105" s="2"/>
    </row>
    <row r="106" spans="1:59" x14ac:dyDescent="0.3">
      <c r="A106" s="1"/>
      <c r="B106" s="2"/>
      <c r="C106" s="2"/>
      <c r="D106" s="3"/>
      <c r="E106" s="3"/>
      <c r="F106" s="2"/>
      <c r="G106" s="2"/>
      <c r="H106" s="2"/>
      <c r="I106" s="2"/>
      <c r="J106" s="2"/>
      <c r="K106" s="2"/>
      <c r="L106" s="2"/>
      <c r="M106" s="4"/>
      <c r="N106" s="4" t="s">
        <v>48</v>
      </c>
      <c r="O106" s="4" t="s">
        <v>57</v>
      </c>
      <c r="P106" s="4" t="s">
        <v>60</v>
      </c>
      <c r="Q106" s="4"/>
      <c r="R106" s="4"/>
      <c r="S106" s="4"/>
      <c r="T106" s="3"/>
      <c r="U106" s="3"/>
      <c r="V106" s="6"/>
      <c r="W106" s="6"/>
      <c r="X106" s="6"/>
      <c r="Y106" s="4"/>
      <c r="Z106" s="4"/>
      <c r="AA106" s="4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BA106" s="2"/>
    </row>
    <row r="107" spans="1:59" x14ac:dyDescent="0.3">
      <c r="A107" s="1" t="s">
        <v>76</v>
      </c>
      <c r="B107" s="2"/>
      <c r="C107" s="2"/>
      <c r="D107" s="3"/>
      <c r="E107" s="3"/>
      <c r="F107" s="57">
        <v>3267183</v>
      </c>
      <c r="G107" s="2"/>
      <c r="H107" s="2"/>
      <c r="I107" s="2"/>
      <c r="J107" s="2"/>
      <c r="K107" s="2"/>
      <c r="L107" s="2"/>
      <c r="M107" s="57" t="s">
        <v>61</v>
      </c>
      <c r="N107" s="63"/>
      <c r="O107" s="63">
        <f>AC58</f>
        <v>207.83376808181507</v>
      </c>
      <c r="P107" s="60"/>
      <c r="Q107" s="4"/>
      <c r="R107" s="4"/>
      <c r="S107" s="4"/>
      <c r="T107" s="3"/>
      <c r="U107" s="3"/>
      <c r="V107" s="6"/>
      <c r="W107" s="6"/>
      <c r="X107" s="6"/>
      <c r="Y107" s="4"/>
      <c r="Z107" s="4"/>
      <c r="AA107" s="4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BA107" s="2"/>
    </row>
    <row r="108" spans="1:59" x14ac:dyDescent="0.3">
      <c r="A108" s="1" t="s">
        <v>77</v>
      </c>
      <c r="B108" s="2"/>
      <c r="C108" s="2"/>
      <c r="D108" s="3"/>
      <c r="E108" s="3"/>
      <c r="F108" s="57">
        <v>929356</v>
      </c>
      <c r="G108" s="2"/>
      <c r="H108" s="2"/>
      <c r="I108" s="2"/>
      <c r="J108" s="2"/>
      <c r="K108" s="2"/>
      <c r="L108" s="2"/>
      <c r="M108" s="57" t="s">
        <v>62</v>
      </c>
      <c r="N108" s="58"/>
      <c r="O108" s="58">
        <f>V64</f>
        <v>0.57882127455678012</v>
      </c>
      <c r="P108" s="4"/>
      <c r="Q108" s="4"/>
      <c r="R108" s="4"/>
      <c r="S108" s="4"/>
      <c r="T108" s="3"/>
      <c r="U108" s="3"/>
      <c r="V108" s="6"/>
      <c r="W108" s="6"/>
      <c r="X108" s="6"/>
      <c r="Y108" s="4"/>
      <c r="Z108" s="4"/>
      <c r="AA108" s="4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BA108" s="2"/>
    </row>
    <row r="109" spans="1:59" x14ac:dyDescent="0.3">
      <c r="A109" s="1" t="s">
        <v>78</v>
      </c>
      <c r="B109" s="2"/>
      <c r="C109" s="2"/>
      <c r="D109" s="3"/>
      <c r="E109" s="3"/>
      <c r="F109" s="57">
        <v>71553</v>
      </c>
      <c r="G109" s="2"/>
      <c r="H109" s="2"/>
      <c r="I109" s="2"/>
      <c r="J109" s="2"/>
      <c r="K109" s="2"/>
      <c r="L109" s="2"/>
      <c r="M109" s="57" t="s">
        <v>63</v>
      </c>
      <c r="N109" s="63"/>
      <c r="O109" s="63">
        <f>O107*O108</f>
        <v>120.29860653705444</v>
      </c>
      <c r="P109" s="4"/>
      <c r="Q109" s="4"/>
      <c r="R109" s="4"/>
      <c r="S109" s="4"/>
      <c r="T109" s="3"/>
      <c r="U109" s="3"/>
      <c r="V109" s="6"/>
      <c r="W109" s="6"/>
      <c r="X109" s="6"/>
      <c r="Y109" s="4"/>
      <c r="Z109" s="4"/>
      <c r="AA109" s="4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BA109" s="2"/>
    </row>
    <row r="110" spans="1:59" x14ac:dyDescent="0.3">
      <c r="A110" s="1" t="s">
        <v>79</v>
      </c>
      <c r="B110" s="2"/>
      <c r="C110" s="2"/>
      <c r="D110" s="3"/>
      <c r="E110" s="3"/>
      <c r="F110" s="57">
        <v>513486</v>
      </c>
      <c r="G110" s="2"/>
      <c r="H110" s="2"/>
      <c r="I110" s="2"/>
      <c r="J110" s="2"/>
      <c r="K110" s="2"/>
      <c r="L110" s="2"/>
      <c r="M110" s="57" t="s">
        <v>64</v>
      </c>
      <c r="N110" s="63"/>
      <c r="O110" s="39">
        <f>1-G115</f>
        <v>0.44879087740032342</v>
      </c>
      <c r="P110" s="4"/>
      <c r="Q110" s="4"/>
      <c r="R110" s="4"/>
      <c r="S110" s="4"/>
      <c r="T110" s="3"/>
      <c r="U110" s="3"/>
      <c r="V110" s="6"/>
      <c r="W110" s="6"/>
      <c r="X110" s="6"/>
      <c r="Y110" s="4"/>
      <c r="Z110" s="4"/>
      <c r="AA110" s="4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BA110" s="2"/>
    </row>
    <row r="111" spans="1:59" x14ac:dyDescent="0.3">
      <c r="A111" s="1" t="s">
        <v>80</v>
      </c>
      <c r="B111" s="2"/>
      <c r="C111" s="2"/>
      <c r="D111" s="3"/>
      <c r="E111" s="3"/>
      <c r="F111" s="64">
        <f>F107-SUM(F108:F110)</f>
        <v>1752788</v>
      </c>
      <c r="G111" s="2"/>
      <c r="H111" s="2"/>
      <c r="I111" s="2"/>
      <c r="J111" s="2"/>
      <c r="K111" s="2"/>
      <c r="L111" s="2"/>
      <c r="M111" s="57" t="s">
        <v>65</v>
      </c>
      <c r="N111" s="63"/>
      <c r="O111" s="63">
        <f>O109*G115</f>
        <v>66.309689359253497</v>
      </c>
      <c r="P111" s="4"/>
      <c r="Q111" s="4"/>
      <c r="R111" s="4"/>
      <c r="S111" s="4"/>
      <c r="T111" s="3"/>
      <c r="U111" s="3"/>
      <c r="V111" s="6"/>
      <c r="W111" s="6"/>
      <c r="X111" s="6"/>
      <c r="Y111" s="4"/>
      <c r="Z111" s="4"/>
      <c r="AA111" s="4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BA111" s="2"/>
    </row>
    <row r="112" spans="1:59" x14ac:dyDescent="0.3">
      <c r="A112" s="1" t="s">
        <v>81</v>
      </c>
      <c r="B112" s="2"/>
      <c r="C112" s="2"/>
      <c r="D112" s="3"/>
      <c r="E112" s="3"/>
      <c r="F112" s="64">
        <v>70019</v>
      </c>
      <c r="G112" s="2"/>
      <c r="H112" s="2"/>
      <c r="I112" s="2"/>
      <c r="J112" s="2"/>
      <c r="K112" s="2"/>
      <c r="L112" s="2"/>
      <c r="M112" s="57" t="s">
        <v>66</v>
      </c>
      <c r="N112" s="63"/>
      <c r="O112" s="63">
        <f>O107-O109</f>
        <v>87.535161544760626</v>
      </c>
      <c r="P112" s="4"/>
      <c r="Q112" s="4"/>
      <c r="R112" s="4"/>
      <c r="S112" s="4"/>
      <c r="T112" s="3"/>
      <c r="U112" s="3"/>
      <c r="V112" s="6"/>
      <c r="W112" s="6"/>
      <c r="X112" s="6"/>
      <c r="Y112" s="4"/>
      <c r="Z112" s="4"/>
      <c r="AA112" s="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BA112" s="2"/>
    </row>
    <row r="113" spans="1:55" x14ac:dyDescent="0.3">
      <c r="A113" s="1" t="s">
        <v>82</v>
      </c>
      <c r="B113" s="2"/>
      <c r="C113" s="2"/>
      <c r="D113" s="3"/>
      <c r="E113" s="3"/>
      <c r="F113" s="64">
        <f>25461+9643</f>
        <v>35104</v>
      </c>
      <c r="G113" s="2"/>
      <c r="H113" s="2"/>
      <c r="I113" s="2"/>
      <c r="J113" s="2"/>
      <c r="K113" s="2"/>
      <c r="L113" s="2"/>
      <c r="M113" s="57" t="s">
        <v>67</v>
      </c>
      <c r="N113" s="63">
        <f>V58</f>
        <v>97.193855887269422</v>
      </c>
      <c r="O113" s="63">
        <f>O112+O111</f>
        <v>153.84485090401412</v>
      </c>
      <c r="P113" s="60">
        <f>O113/N113</f>
        <v>1.5828660104034922</v>
      </c>
      <c r="Q113" s="4"/>
      <c r="R113" s="4"/>
      <c r="S113" s="4"/>
      <c r="T113" s="3"/>
      <c r="U113" s="3"/>
      <c r="V113" s="6"/>
      <c r="W113" s="6"/>
      <c r="X113" s="6"/>
      <c r="Y113" s="4"/>
      <c r="Z113" s="4"/>
      <c r="AA113" s="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BA113" s="2"/>
    </row>
    <row r="114" spans="1:55" x14ac:dyDescent="0.3">
      <c r="A114" s="1" t="s">
        <v>85</v>
      </c>
      <c r="B114" s="2"/>
      <c r="C114" s="2"/>
      <c r="D114" s="3"/>
      <c r="E114" s="3"/>
      <c r="F114" s="64">
        <f>8885-6802</f>
        <v>2083</v>
      </c>
      <c r="G114" s="2"/>
      <c r="H114" s="2"/>
      <c r="I114" s="2"/>
      <c r="J114" s="2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6"/>
      <c r="Z114" s="6"/>
      <c r="AA114" s="4"/>
      <c r="AB114" s="4"/>
      <c r="AC114" s="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C114" s="2"/>
    </row>
    <row r="115" spans="1:55" x14ac:dyDescent="0.3">
      <c r="A115" s="1" t="s">
        <v>83</v>
      </c>
      <c r="B115" s="2"/>
      <c r="C115" s="2"/>
      <c r="D115" s="3"/>
      <c r="E115" s="3"/>
      <c r="F115" s="57">
        <f>SUM(F111:F114)</f>
        <v>1859994</v>
      </c>
      <c r="G115" s="39">
        <f>F115/F116</f>
        <v>0.55120912259967658</v>
      </c>
      <c r="H115" s="2"/>
      <c r="I115" s="2"/>
      <c r="J115" s="2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6"/>
      <c r="Z115" s="6"/>
      <c r="AA115" s="4"/>
      <c r="AB115" s="4"/>
      <c r="AC115" s="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C115" s="2"/>
    </row>
    <row r="116" spans="1:55" x14ac:dyDescent="0.3">
      <c r="A116" s="1" t="s">
        <v>84</v>
      </c>
      <c r="B116" s="2"/>
      <c r="C116" s="2"/>
      <c r="D116" s="3"/>
      <c r="E116" s="3"/>
      <c r="F116" s="57">
        <f>F107+SUM(F112:F114)</f>
        <v>3374389</v>
      </c>
      <c r="G116" s="2"/>
      <c r="H116" s="2"/>
      <c r="I116" s="2"/>
      <c r="J116" s="2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6"/>
      <c r="Z116" s="6"/>
      <c r="AA116" s="4"/>
      <c r="AB116" s="4"/>
      <c r="AC116" s="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C116" s="2"/>
    </row>
    <row r="117" spans="1:55" x14ac:dyDescent="0.3">
      <c r="A117" s="1"/>
      <c r="B117" s="2"/>
      <c r="C117" s="2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6"/>
      <c r="Z117" s="6"/>
      <c r="AA117" s="4"/>
      <c r="AB117" s="4"/>
      <c r="AC117" s="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C117" s="2"/>
    </row>
    <row r="118" spans="1:55" x14ac:dyDescent="0.3">
      <c r="A118" s="1">
        <v>2022</v>
      </c>
      <c r="B118" s="1" t="s">
        <v>75</v>
      </c>
      <c r="C118" s="2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6"/>
      <c r="Z118" s="6"/>
      <c r="AA118" s="4"/>
      <c r="AB118" s="4"/>
      <c r="AC118" s="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C118" s="2"/>
    </row>
    <row r="119" spans="1:55" x14ac:dyDescent="0.3">
      <c r="A119" s="1" t="s">
        <v>72</v>
      </c>
      <c r="B119" s="2"/>
      <c r="C119" s="57">
        <v>3845</v>
      </c>
      <c r="D119" s="58">
        <f>C119/C122</f>
        <v>0.41175840651103018</v>
      </c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6"/>
      <c r="Z119" s="6"/>
      <c r="AA119" s="4"/>
      <c r="AB119" s="4"/>
      <c r="AC119" s="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C119" s="2"/>
    </row>
    <row r="120" spans="1:55" x14ac:dyDescent="0.3">
      <c r="A120" s="1" t="s">
        <v>73</v>
      </c>
      <c r="B120" s="2"/>
      <c r="C120" s="57">
        <v>4518</v>
      </c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6"/>
      <c r="Z120" s="6"/>
      <c r="AA120" s="4"/>
      <c r="AB120" s="4"/>
      <c r="AC120" s="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C120" s="2"/>
    </row>
    <row r="121" spans="1:55" x14ac:dyDescent="0.3">
      <c r="A121" s="1" t="s">
        <v>74</v>
      </c>
      <c r="B121" s="2"/>
      <c r="C121" s="57">
        <v>975</v>
      </c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6"/>
      <c r="Z121" s="6"/>
      <c r="AA121" s="4"/>
      <c r="AB121" s="4"/>
      <c r="AC121" s="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C121" s="2"/>
    </row>
    <row r="122" spans="1:55" x14ac:dyDescent="0.3">
      <c r="A122" s="1" t="s">
        <v>68</v>
      </c>
      <c r="B122" s="2"/>
      <c r="C122" s="65">
        <f>+SUM(C119:C121)</f>
        <v>9338</v>
      </c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3"/>
      <c r="V122" s="3"/>
      <c r="W122" s="3"/>
      <c r="X122" s="6"/>
      <c r="Y122" s="6"/>
      <c r="Z122" s="4"/>
      <c r="AA122" s="4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B122" s="2"/>
    </row>
    <row r="123" spans="1:55" x14ac:dyDescent="0.3">
      <c r="A123" s="1"/>
      <c r="B123" s="2"/>
      <c r="C123" s="2"/>
      <c r="D123" s="3"/>
      <c r="E123" s="58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4"/>
      <c r="Q123" s="4"/>
      <c r="R123" s="4"/>
      <c r="S123" s="60"/>
      <c r="T123" s="60"/>
      <c r="U123" s="3"/>
      <c r="V123" s="3"/>
      <c r="W123" s="3"/>
      <c r="X123" s="6"/>
      <c r="Y123" s="6"/>
      <c r="Z123" s="4"/>
      <c r="AA123" s="4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B123" s="2"/>
    </row>
    <row r="124" spans="1:55" x14ac:dyDescent="0.3">
      <c r="A124" s="1"/>
      <c r="B124" s="2"/>
      <c r="C124" s="2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4"/>
      <c r="P124" s="4"/>
      <c r="Q124" s="4"/>
      <c r="R124" s="4"/>
      <c r="S124" s="60"/>
      <c r="T124" s="60"/>
      <c r="U124" s="3"/>
      <c r="V124" s="3"/>
      <c r="W124" s="3"/>
      <c r="X124" s="6"/>
      <c r="Y124" s="6"/>
      <c r="Z124" s="4"/>
      <c r="AA124" s="4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B124" s="2"/>
    </row>
    <row r="125" spans="1:55" x14ac:dyDescent="0.3">
      <c r="A125" s="1"/>
      <c r="B125" s="2"/>
      <c r="C125" s="35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4"/>
      <c r="P125" s="4"/>
      <c r="Q125" s="4"/>
      <c r="R125" s="4"/>
      <c r="S125" s="60"/>
      <c r="T125" s="60"/>
      <c r="U125" s="3"/>
      <c r="V125" s="3"/>
      <c r="W125" s="3"/>
      <c r="X125" s="6"/>
      <c r="Y125" s="6"/>
      <c r="Z125" s="4"/>
      <c r="AA125" s="4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B125" s="2"/>
    </row>
    <row r="126" spans="1:55" x14ac:dyDescent="0.3">
      <c r="A126" s="1"/>
      <c r="B126" s="2"/>
      <c r="C126" s="57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3"/>
      <c r="V126" s="3"/>
      <c r="W126" s="3"/>
      <c r="X126" s="6"/>
      <c r="Y126" s="6"/>
      <c r="Z126" s="4"/>
      <c r="AA126" s="4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B126" s="2"/>
    </row>
    <row r="127" spans="1:55" x14ac:dyDescent="0.3">
      <c r="A127" s="1"/>
      <c r="B127" s="2"/>
      <c r="C127" s="57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3"/>
      <c r="V127" s="3"/>
      <c r="W127" s="3"/>
      <c r="X127" s="6"/>
      <c r="Y127" s="6"/>
      <c r="Z127" s="4"/>
      <c r="AA127" s="4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B127" s="2"/>
    </row>
    <row r="128" spans="1:55" x14ac:dyDescent="0.3">
      <c r="A128" s="1"/>
      <c r="B128" s="2"/>
      <c r="C128" s="35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3"/>
      <c r="V128" s="3"/>
      <c r="W128" s="3"/>
      <c r="X128" s="6"/>
      <c r="Y128" s="6"/>
      <c r="Z128" s="4"/>
      <c r="AA128" s="4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B128" s="2"/>
    </row>
    <row r="129" spans="1:57" x14ac:dyDescent="0.3">
      <c r="A129" s="1"/>
      <c r="B129" s="2"/>
      <c r="C129" s="66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3"/>
      <c r="V129" s="3"/>
      <c r="W129" s="3"/>
      <c r="X129" s="6"/>
      <c r="Y129" s="6"/>
      <c r="Z129" s="4"/>
      <c r="AA129" s="4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B129" s="2"/>
    </row>
    <row r="130" spans="1:57" x14ac:dyDescent="0.3">
      <c r="A130" s="1"/>
      <c r="B130" s="2"/>
      <c r="C130" s="2"/>
      <c r="D130" s="3"/>
      <c r="E130" s="3"/>
      <c r="F130" s="58"/>
      <c r="G130" s="2"/>
      <c r="H130" s="2"/>
      <c r="I130" s="2"/>
      <c r="J130" s="2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3"/>
      <c r="V130" s="3"/>
      <c r="W130" s="3"/>
      <c r="X130" s="6"/>
      <c r="Y130" s="6"/>
      <c r="Z130" s="4"/>
      <c r="AA130" s="4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B130" s="2"/>
    </row>
    <row r="131" spans="1:57" x14ac:dyDescent="0.3">
      <c r="A131" s="1"/>
      <c r="B131" s="2"/>
      <c r="C131" s="2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3"/>
      <c r="V131" s="3"/>
      <c r="W131" s="3"/>
      <c r="X131" s="6"/>
      <c r="Y131" s="6"/>
      <c r="Z131" s="4"/>
      <c r="AA131" s="4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B131" s="2"/>
    </row>
    <row r="132" spans="1:57" x14ac:dyDescent="0.3">
      <c r="A132" s="1"/>
      <c r="B132" s="2"/>
      <c r="C132" s="2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3"/>
      <c r="V132" s="3"/>
      <c r="W132" s="3"/>
      <c r="X132" s="6"/>
      <c r="Y132" s="6"/>
      <c r="Z132" s="4"/>
      <c r="AA132" s="4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B132" s="2"/>
    </row>
    <row r="133" spans="1:57" x14ac:dyDescent="0.3">
      <c r="A133" s="1"/>
      <c r="B133" s="2"/>
      <c r="C133" s="2"/>
      <c r="D133" s="58"/>
      <c r="E133" s="58"/>
      <c r="F133" s="2"/>
      <c r="G133" s="2"/>
      <c r="H133" s="2"/>
      <c r="I133" s="2"/>
      <c r="J133" s="2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3"/>
      <c r="V133" s="3"/>
      <c r="W133" s="3"/>
      <c r="X133" s="6"/>
      <c r="Y133" s="6"/>
      <c r="Z133" s="4"/>
      <c r="AA133" s="4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B133" s="2"/>
    </row>
    <row r="134" spans="1:57" x14ac:dyDescent="0.3">
      <c r="A134" s="1"/>
      <c r="B134" s="2"/>
      <c r="C134" s="2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3" t="s">
        <v>69</v>
      </c>
      <c r="V134" s="3"/>
      <c r="W134" s="3"/>
      <c r="X134" s="6"/>
      <c r="Y134" s="6"/>
      <c r="Z134" s="4"/>
      <c r="AA134" s="4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B134" s="2"/>
    </row>
    <row r="135" spans="1:57" x14ac:dyDescent="0.3">
      <c r="A135" s="1" t="s">
        <v>70</v>
      </c>
      <c r="B135" s="2"/>
      <c r="C135" s="2"/>
      <c r="D135" s="67">
        <v>2006</v>
      </c>
      <c r="E135" s="67">
        <v>2007</v>
      </c>
      <c r="F135" s="67">
        <v>2008</v>
      </c>
      <c r="G135" s="67">
        <v>2009</v>
      </c>
      <c r="H135" s="67">
        <f>G135+1</f>
        <v>2010</v>
      </c>
      <c r="I135" s="67">
        <f t="shared" ref="I135:T135" si="44">H135+1</f>
        <v>2011</v>
      </c>
      <c r="J135" s="67">
        <f t="shared" si="44"/>
        <v>2012</v>
      </c>
      <c r="K135" s="67">
        <f t="shared" si="44"/>
        <v>2013</v>
      </c>
      <c r="L135" s="67">
        <f t="shared" si="44"/>
        <v>2014</v>
      </c>
      <c r="M135" s="67">
        <f t="shared" si="44"/>
        <v>2015</v>
      </c>
      <c r="N135" s="67">
        <f>M135+1</f>
        <v>2016</v>
      </c>
      <c r="O135" s="67">
        <f>N135+1</f>
        <v>2017</v>
      </c>
      <c r="P135" s="67">
        <f>O135+1</f>
        <v>2018</v>
      </c>
      <c r="Q135" s="67">
        <f t="shared" si="44"/>
        <v>2019</v>
      </c>
      <c r="R135" s="67">
        <f t="shared" si="44"/>
        <v>2020</v>
      </c>
      <c r="S135" s="67">
        <f>R135+1</f>
        <v>2021</v>
      </c>
      <c r="T135" s="67">
        <f t="shared" si="44"/>
        <v>2022</v>
      </c>
      <c r="U135" s="67">
        <v>2023</v>
      </c>
      <c r="V135" s="3" t="s">
        <v>71</v>
      </c>
      <c r="W135" s="3"/>
      <c r="X135" s="3"/>
      <c r="Y135" s="3"/>
      <c r="Z135" s="3"/>
      <c r="AA135" s="3"/>
      <c r="AB135" s="3"/>
      <c r="AC135" s="3"/>
      <c r="AD135" s="3"/>
      <c r="AE135" s="3"/>
      <c r="AF135" s="4"/>
      <c r="AG135" s="4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E135" s="2"/>
    </row>
    <row r="136" spans="1:57" x14ac:dyDescent="0.3">
      <c r="A136" s="1" t="s">
        <v>89</v>
      </c>
      <c r="B136" s="2"/>
      <c r="C136" s="2"/>
      <c r="D136" s="68">
        <v>2.88</v>
      </c>
      <c r="E136" s="68">
        <v>4.2300000000000004</v>
      </c>
      <c r="F136" s="68">
        <v>4.28</v>
      </c>
      <c r="G136" s="68">
        <v>5.37</v>
      </c>
      <c r="H136" s="68">
        <v>5.86</v>
      </c>
      <c r="I136" s="68">
        <v>5.04</v>
      </c>
      <c r="J136" s="68">
        <v>6.42</v>
      </c>
      <c r="K136" s="68">
        <v>7.2</v>
      </c>
      <c r="L136" s="68">
        <v>5.13</v>
      </c>
      <c r="M136" s="68">
        <v>6.7</v>
      </c>
      <c r="N136" s="68">
        <v>5.7</v>
      </c>
      <c r="O136" s="68">
        <v>7.6</v>
      </c>
      <c r="P136" s="68">
        <v>10.07</v>
      </c>
      <c r="Q136" s="52">
        <v>10.25</v>
      </c>
      <c r="R136" s="52">
        <v>11.73</v>
      </c>
      <c r="S136" s="52">
        <v>11.42</v>
      </c>
      <c r="T136" s="52">
        <v>11.8</v>
      </c>
      <c r="U136" s="52">
        <v>8.36</v>
      </c>
      <c r="V136" s="4"/>
      <c r="W136" s="4"/>
      <c r="X136" s="4"/>
      <c r="Y136" s="3"/>
      <c r="Z136" s="3"/>
      <c r="AA136" s="6"/>
      <c r="AB136" s="6"/>
      <c r="AC136" s="4"/>
      <c r="AD136" s="4"/>
      <c r="AE136" s="4"/>
      <c r="AF136" s="4"/>
      <c r="AG136" s="4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E136" s="2"/>
    </row>
    <row r="137" spans="1:57" x14ac:dyDescent="0.3">
      <c r="A137" s="1" t="s">
        <v>90</v>
      </c>
      <c r="B137" s="2"/>
      <c r="C137" s="2"/>
      <c r="D137" s="68">
        <v>1.86</v>
      </c>
      <c r="E137" s="68">
        <v>1.66</v>
      </c>
      <c r="F137" s="68">
        <v>0.45</v>
      </c>
      <c r="G137" s="68">
        <v>1.31</v>
      </c>
      <c r="H137" s="68">
        <v>1.76</v>
      </c>
      <c r="I137" s="68">
        <v>0.57999999999999996</v>
      </c>
      <c r="J137" s="68">
        <v>1.3</v>
      </c>
      <c r="K137" s="68">
        <v>0.27</v>
      </c>
      <c r="L137" s="68">
        <v>1.31</v>
      </c>
      <c r="M137" s="68">
        <v>2.02</v>
      </c>
      <c r="N137" s="68"/>
      <c r="O137" s="68">
        <v>0.52</v>
      </c>
      <c r="P137" s="68">
        <v>0.36</v>
      </c>
      <c r="Q137" s="52">
        <v>0.69</v>
      </c>
      <c r="R137" s="52">
        <v>3.11</v>
      </c>
      <c r="S137" s="52">
        <v>2.4</v>
      </c>
      <c r="T137" s="52">
        <v>4.5</v>
      </c>
      <c r="U137" s="52">
        <v>5.98</v>
      </c>
      <c r="V137" s="4"/>
      <c r="W137" s="4"/>
      <c r="X137" s="4"/>
      <c r="Y137" s="3"/>
      <c r="Z137" s="3"/>
      <c r="AA137" s="6"/>
      <c r="AB137" s="6"/>
      <c r="AC137" s="4"/>
      <c r="AD137" s="4"/>
      <c r="AE137" s="4"/>
      <c r="AF137" s="4"/>
      <c r="AG137" s="4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E137" s="2"/>
    </row>
    <row r="138" spans="1:57" x14ac:dyDescent="0.3">
      <c r="A138" s="1"/>
      <c r="B138" s="2"/>
      <c r="C138" s="2"/>
      <c r="D138" s="52">
        <f t="shared" ref="D138:R138" si="45">SUM(D136:D137)</f>
        <v>4.74</v>
      </c>
      <c r="E138" s="52">
        <f t="shared" si="45"/>
        <v>5.8900000000000006</v>
      </c>
      <c r="F138" s="52">
        <f t="shared" si="45"/>
        <v>4.7300000000000004</v>
      </c>
      <c r="G138" s="52">
        <f t="shared" si="45"/>
        <v>6.68</v>
      </c>
      <c r="H138" s="52">
        <f t="shared" si="45"/>
        <v>7.62</v>
      </c>
      <c r="I138" s="52">
        <f t="shared" si="45"/>
        <v>5.62</v>
      </c>
      <c r="J138" s="52">
        <f t="shared" si="45"/>
        <v>7.72</v>
      </c>
      <c r="K138" s="52">
        <f t="shared" si="45"/>
        <v>7.4700000000000006</v>
      </c>
      <c r="L138" s="52">
        <f t="shared" si="45"/>
        <v>6.4399999999999995</v>
      </c>
      <c r="M138" s="52">
        <f t="shared" si="45"/>
        <v>8.7200000000000006</v>
      </c>
      <c r="N138" s="52">
        <f t="shared" si="45"/>
        <v>5.7</v>
      </c>
      <c r="O138" s="52">
        <f t="shared" si="45"/>
        <v>8.1199999999999992</v>
      </c>
      <c r="P138" s="52">
        <f t="shared" si="45"/>
        <v>10.43</v>
      </c>
      <c r="Q138" s="52">
        <f t="shared" si="45"/>
        <v>10.94</v>
      </c>
      <c r="R138" s="52">
        <f t="shared" si="45"/>
        <v>14.84</v>
      </c>
      <c r="S138" s="52">
        <f>SUM(S136:S137)</f>
        <v>13.82</v>
      </c>
      <c r="T138" s="52">
        <f>SUM(T136:T137)</f>
        <v>16.3</v>
      </c>
      <c r="U138" s="52">
        <f>SUM(U136:U137)</f>
        <v>14.34</v>
      </c>
      <c r="V138" s="2"/>
      <c r="W138" s="2"/>
      <c r="X138" s="4"/>
      <c r="Y138" s="3"/>
      <c r="Z138" s="3"/>
      <c r="AA138" s="6"/>
      <c r="AB138" s="6"/>
      <c r="AC138" s="4"/>
      <c r="AD138" s="4"/>
      <c r="AE138" s="4"/>
      <c r="AF138" s="4"/>
      <c r="AG138" s="4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E138" s="2"/>
    </row>
    <row r="139" spans="1:57" x14ac:dyDescent="0.3">
      <c r="A139" s="1"/>
      <c r="B139" s="2"/>
      <c r="C139" s="2"/>
      <c r="D139" s="3"/>
      <c r="E139" s="2">
        <f>E138/D138</f>
        <v>1.2426160337552743</v>
      </c>
      <c r="F139" s="2">
        <f t="shared" ref="F139:U139" si="46">F138/E138</f>
        <v>0.80305602716468594</v>
      </c>
      <c r="G139" s="2">
        <f t="shared" si="46"/>
        <v>1.4122621564482027</v>
      </c>
      <c r="H139" s="2">
        <f t="shared" si="46"/>
        <v>1.1407185628742516</v>
      </c>
      <c r="I139" s="2">
        <f t="shared" si="46"/>
        <v>0.73753280839895019</v>
      </c>
      <c r="J139" s="2">
        <f t="shared" si="46"/>
        <v>1.3736654804270463</v>
      </c>
      <c r="K139" s="2">
        <f t="shared" si="46"/>
        <v>0.96761658031088094</v>
      </c>
      <c r="L139" s="2">
        <f t="shared" si="46"/>
        <v>0.86211512717536798</v>
      </c>
      <c r="M139" s="2">
        <f t="shared" si="46"/>
        <v>1.3540372670807455</v>
      </c>
      <c r="N139" s="2">
        <f>N138/M138</f>
        <v>0.65366972477064222</v>
      </c>
      <c r="O139" s="2">
        <f>O138/N138</f>
        <v>1.4245614035087717</v>
      </c>
      <c r="P139" s="2">
        <f>P138/O138</f>
        <v>1.2844827586206897</v>
      </c>
      <c r="Q139" s="2">
        <f t="shared" si="46"/>
        <v>1.0488974113135188</v>
      </c>
      <c r="R139" s="2">
        <f t="shared" si="46"/>
        <v>1.3564899451553931</v>
      </c>
      <c r="S139" s="2">
        <f>S138/R138</f>
        <v>0.93126684636118606</v>
      </c>
      <c r="T139" s="2">
        <f t="shared" si="46"/>
        <v>1.1794500723589001</v>
      </c>
      <c r="U139" s="2">
        <f t="shared" si="46"/>
        <v>0.87975460122699378</v>
      </c>
      <c r="V139" s="2">
        <f>AVERAGE(E139:T139)</f>
        <v>1.1107773878577818</v>
      </c>
      <c r="W139" s="2"/>
      <c r="X139" s="6"/>
      <c r="Y139" s="6"/>
      <c r="Z139" s="4"/>
      <c r="AA139" s="4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B139" s="2"/>
    </row>
  </sheetData>
  <mergeCells count="1">
    <mergeCell ref="AK5:AM5"/>
  </mergeCells>
  <hyperlinks>
    <hyperlink ref="AQ5" r:id="rId1" location="/"/>
    <hyperlink ref="R1" r:id="rId2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Mathis</dc:creator>
  <cp:lastModifiedBy>Bruno Mathis</cp:lastModifiedBy>
  <dcterms:created xsi:type="dcterms:W3CDTF">2024-08-19T06:24:08Z</dcterms:created>
  <dcterms:modified xsi:type="dcterms:W3CDTF">2024-08-19T06:52:17Z</dcterms:modified>
</cp:coreProperties>
</file>