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2400"/>
        <bgColor rgb="00FF24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9" customWidth="1" min="3" max="3"/>
    <col width="9" customWidth="1" min="4" max="4"/>
    <col width="14" customWidth="1" min="5" max="5"/>
    <col width="5" customWidth="1" min="6" max="6"/>
    <col width="5" customWidth="1" min="7" max="7"/>
    <col width="45" customWidth="1" min="8" max="8"/>
    <col width="20" customWidth="1" min="9" max="9"/>
  </cols>
  <sheetData>
    <row r="1">
      <c r="A1" s="2" t="inlineStr">
        <is>
          <t>Tarih</t>
        </is>
      </c>
      <c r="B1" s="2" t="inlineStr">
        <is>
          <t>Saat</t>
        </is>
      </c>
      <c r="C1" s="2" t="inlineStr">
        <is>
          <t>Enlem</t>
        </is>
      </c>
      <c r="D1" s="2" t="inlineStr">
        <is>
          <t>Boylam</t>
        </is>
      </c>
      <c r="E1" s="2" t="inlineStr">
        <is>
          <t>Derinlik(km)</t>
        </is>
      </c>
      <c r="F1" s="2" t="inlineStr">
        <is>
          <t>ML</t>
        </is>
      </c>
      <c r="G1" s="2" t="inlineStr">
        <is>
          <t>Mw</t>
        </is>
      </c>
      <c r="H1" s="2" t="inlineStr">
        <is>
          <t>Yer</t>
        </is>
      </c>
      <c r="I1" s="2" t="inlineStr">
        <is>
          <t>Harita</t>
        </is>
      </c>
    </row>
    <row r="2">
      <c r="A2" s="3" t="inlineStr">
        <is>
          <t>2025.05.23</t>
        </is>
      </c>
      <c r="B2" s="3" t="inlineStr">
        <is>
          <t>09:41:55</t>
        </is>
      </c>
      <c r="C2" s="3" t="inlineStr">
        <is>
          <t>36.9958</t>
        </is>
      </c>
      <c r="D2" s="3" t="inlineStr">
        <is>
          <t>28.3205</t>
        </is>
      </c>
      <c r="E2" s="3" t="inlineStr">
        <is>
          <t>12.6</t>
        </is>
      </c>
      <c r="F2" s="3" t="inlineStr">
        <is>
          <t>1.2</t>
        </is>
      </c>
      <c r="G2" s="3" t="inlineStr">
        <is>
          <t>-.-</t>
        </is>
      </c>
      <c r="H2" s="3" t="inlineStr">
        <is>
          <t>CETIBELI-MARMARIS (MUGLA)</t>
        </is>
      </c>
      <c r="I2" s="3">
        <f>HYPERLINK("https://www.openstreetmap.org/?mlat=36.9958&amp;mlon=28.3205&amp;zoom=9","Haritada Gör")</f>
        <v/>
      </c>
    </row>
    <row r="3">
      <c r="A3" s="3" t="inlineStr">
        <is>
          <t>2025.05.23</t>
        </is>
      </c>
      <c r="B3" s="3" t="inlineStr">
        <is>
          <t>09:13:56</t>
        </is>
      </c>
      <c r="C3" s="3" t="inlineStr">
        <is>
          <t>36.3652</t>
        </is>
      </c>
      <c r="D3" s="3" t="inlineStr">
        <is>
          <t>25.4348</t>
        </is>
      </c>
      <c r="E3" s="3" t="inlineStr">
        <is>
          <t>8.8</t>
        </is>
      </c>
      <c r="F3" s="3" t="inlineStr">
        <is>
          <t>1.6</t>
        </is>
      </c>
      <c r="G3" s="3" t="inlineStr">
        <is>
          <t>-.-</t>
        </is>
      </c>
      <c r="H3" s="3" t="inlineStr">
        <is>
          <t>EGE DENIZI</t>
        </is>
      </c>
      <c r="I3" s="3">
        <f>HYPERLINK("https://www.openstreetmap.org/?mlat=36.3652&amp;mlon=25.4348&amp;zoom=9","Haritada Gör")</f>
        <v/>
      </c>
    </row>
    <row r="4">
      <c r="A4" s="3" t="inlineStr">
        <is>
          <t>2025.05.23</t>
        </is>
      </c>
      <c r="B4" s="3" t="inlineStr">
        <is>
          <t>09:09:48</t>
        </is>
      </c>
      <c r="C4" s="3" t="inlineStr">
        <is>
          <t>36.4702</t>
        </is>
      </c>
      <c r="D4" s="3" t="inlineStr">
        <is>
          <t>25.4397</t>
        </is>
      </c>
      <c r="E4" s="3" t="inlineStr">
        <is>
          <t>5.0</t>
        </is>
      </c>
      <c r="F4" s="3" t="inlineStr">
        <is>
          <t>1.8</t>
        </is>
      </c>
      <c r="G4" s="3" t="inlineStr">
        <is>
          <t>-.-</t>
        </is>
      </c>
      <c r="H4" s="3" t="inlineStr">
        <is>
          <t>EGE DENIZI</t>
        </is>
      </c>
      <c r="I4" s="3">
        <f>HYPERLINK("https://www.openstreetmap.org/?mlat=36.4702&amp;mlon=25.4397&amp;zoom=9","Haritada Gör")</f>
        <v/>
      </c>
    </row>
    <row r="5">
      <c r="A5" s="3" t="inlineStr">
        <is>
          <t>2025.05.23</t>
        </is>
      </c>
      <c r="B5" s="3" t="inlineStr">
        <is>
          <t>07:42:20</t>
        </is>
      </c>
      <c r="C5" s="3" t="inlineStr">
        <is>
          <t>39.2493</t>
        </is>
      </c>
      <c r="D5" s="3" t="inlineStr">
        <is>
          <t>28.9303</t>
        </is>
      </c>
      <c r="E5" s="3" t="inlineStr">
        <is>
          <t>8.4</t>
        </is>
      </c>
      <c r="F5" s="3" t="inlineStr">
        <is>
          <t>2.6</t>
        </is>
      </c>
      <c r="G5" s="3" t="inlineStr">
        <is>
          <t>-.-</t>
        </is>
      </c>
      <c r="H5" s="3" t="inlineStr">
        <is>
          <t>YENILER-SIMAV (KUTAHYA)</t>
        </is>
      </c>
      <c r="I5" s="3">
        <f>HYPERLINK("https://www.openstreetmap.org/?mlat=39.2493&amp;mlon=28.9303&amp;zoom=9","Haritada Gör")</f>
        <v/>
      </c>
    </row>
    <row r="6">
      <c r="A6" s="3" t="inlineStr">
        <is>
          <t>2025.05.23</t>
        </is>
      </c>
      <c r="B6" s="3" t="inlineStr">
        <is>
          <t>07:09:25</t>
        </is>
      </c>
      <c r="C6" s="3" t="inlineStr">
        <is>
          <t>37.1697</t>
        </is>
      </c>
      <c r="D6" s="3" t="inlineStr">
        <is>
          <t>36.9498</t>
        </is>
      </c>
      <c r="E6" s="3" t="inlineStr">
        <is>
          <t>5.0</t>
        </is>
      </c>
      <c r="F6" s="3" t="inlineStr">
        <is>
          <t>2.2</t>
        </is>
      </c>
      <c r="G6" s="3" t="inlineStr">
        <is>
          <t>-.-</t>
        </is>
      </c>
      <c r="H6" s="3" t="inlineStr">
        <is>
          <t>SAKCAGOZE-NURDAGI (GAZIANTEP)</t>
        </is>
      </c>
      <c r="I6" s="3">
        <f>HYPERLINK("https://www.openstreetmap.org/?mlat=37.1697&amp;mlon=36.9498&amp;zoom=9","Haritada Gör")</f>
        <v/>
      </c>
    </row>
    <row r="7">
      <c r="A7" s="3" t="inlineStr">
        <is>
          <t>2025.05.23</t>
        </is>
      </c>
      <c r="B7" s="3" t="inlineStr">
        <is>
          <t>06:53:29</t>
        </is>
      </c>
      <c r="C7" s="3" t="inlineStr">
        <is>
          <t>34.5690</t>
        </is>
      </c>
      <c r="D7" s="3" t="inlineStr">
        <is>
          <t>33.9673</t>
        </is>
      </c>
      <c r="E7" s="3" t="inlineStr">
        <is>
          <t>16.5</t>
        </is>
      </c>
      <c r="F7" s="3" t="inlineStr">
        <is>
          <t>2.6</t>
        </is>
      </c>
      <c r="G7" s="3" t="inlineStr">
        <is>
          <t>2.5</t>
        </is>
      </c>
      <c r="H7" s="3" t="inlineStr">
        <is>
          <t>AKDENIZ</t>
        </is>
      </c>
      <c r="I7" s="3">
        <f>HYPERLINK("https://www.openstreetmap.org/?mlat=34.5690&amp;mlon=33.9673&amp;zoom=9","Haritada Gör")</f>
        <v/>
      </c>
    </row>
    <row r="8">
      <c r="A8" s="3" t="inlineStr">
        <is>
          <t>2025.05.23</t>
        </is>
      </c>
      <c r="B8" s="3" t="inlineStr">
        <is>
          <t>06:33:11</t>
        </is>
      </c>
      <c r="C8" s="3" t="inlineStr">
        <is>
          <t>35.9688</t>
        </is>
      </c>
      <c r="D8" s="3" t="inlineStr">
        <is>
          <t>35.7788</t>
        </is>
      </c>
      <c r="E8" s="3" t="inlineStr">
        <is>
          <t>11.1</t>
        </is>
      </c>
      <c r="F8" s="3" t="inlineStr">
        <is>
          <t>1.8</t>
        </is>
      </c>
      <c r="G8" s="3" t="inlineStr">
        <is>
          <t>-.-</t>
        </is>
      </c>
      <c r="H8" s="3" t="inlineStr">
        <is>
          <t>AKDENIZ</t>
        </is>
      </c>
      <c r="I8" s="3">
        <f>HYPERLINK("https://www.openstreetmap.org/?mlat=35.9688&amp;mlon=35.7788&amp;zoom=9","Haritada Gör")</f>
        <v/>
      </c>
    </row>
    <row r="9">
      <c r="A9" s="3" t="inlineStr">
        <is>
          <t>2025.05.23</t>
        </is>
      </c>
      <c r="B9" s="3" t="inlineStr">
        <is>
          <t>06:16:28</t>
        </is>
      </c>
      <c r="C9" s="3" t="inlineStr">
        <is>
          <t>38.8607</t>
        </is>
      </c>
      <c r="D9" s="3" t="inlineStr">
        <is>
          <t>26.4312</t>
        </is>
      </c>
      <c r="E9" s="3" t="inlineStr">
        <is>
          <t>12.3</t>
        </is>
      </c>
      <c r="F9" s="3" t="inlineStr">
        <is>
          <t>2.0</t>
        </is>
      </c>
      <c r="G9" s="3" t="inlineStr">
        <is>
          <t>-.-</t>
        </is>
      </c>
      <c r="H9" s="3" t="inlineStr">
        <is>
          <t>MIDILLI ADASI GUNEYI (EGE DENIZI)</t>
        </is>
      </c>
      <c r="I9" s="3">
        <f>HYPERLINK("https://www.openstreetmap.org/?mlat=38.8607&amp;mlon=26.4312&amp;zoom=9","Haritada Gör")</f>
        <v/>
      </c>
    </row>
    <row r="10">
      <c r="A10" s="3" t="inlineStr">
        <is>
          <t>2025.05.23</t>
        </is>
      </c>
      <c r="B10" s="3" t="inlineStr">
        <is>
          <t>06:16:09</t>
        </is>
      </c>
      <c r="C10" s="3" t="inlineStr">
        <is>
          <t>39.2608</t>
        </is>
      </c>
      <c r="D10" s="3" t="inlineStr">
        <is>
          <t>29.0023</t>
        </is>
      </c>
      <c r="E10" s="3" t="inlineStr">
        <is>
          <t>16.6</t>
        </is>
      </c>
      <c r="F10" s="3" t="inlineStr">
        <is>
          <t>1.2</t>
        </is>
      </c>
      <c r="G10" s="3" t="inlineStr">
        <is>
          <t>-.-</t>
        </is>
      </c>
      <c r="H10" s="3" t="inlineStr">
        <is>
          <t>YESILDERE-SIMAV (KUTAHYA)</t>
        </is>
      </c>
      <c r="I10" s="3">
        <f>HYPERLINK("https://www.openstreetmap.org/?mlat=39.2608&amp;mlon=29.0023&amp;zoom=9","Haritada Gör")</f>
        <v/>
      </c>
    </row>
    <row r="11">
      <c r="A11" s="3" t="inlineStr">
        <is>
          <t>2025.05.23</t>
        </is>
      </c>
      <c r="B11" s="3" t="inlineStr">
        <is>
          <t>06:06:32</t>
        </is>
      </c>
      <c r="C11" s="3" t="inlineStr">
        <is>
          <t>39.2445</t>
        </is>
      </c>
      <c r="D11" s="3" t="inlineStr">
        <is>
          <t>29.0197</t>
        </is>
      </c>
      <c r="E11" s="3" t="inlineStr">
        <is>
          <t>13.0</t>
        </is>
      </c>
      <c r="F11" s="3" t="inlineStr">
        <is>
          <t>1.0</t>
        </is>
      </c>
      <c r="G11" s="3" t="inlineStr">
        <is>
          <t>-.-</t>
        </is>
      </c>
      <c r="H11" s="3" t="inlineStr">
        <is>
          <t>YEMISLI-SIMAV (KUTAHYA)</t>
        </is>
      </c>
      <c r="I11" s="3">
        <f>HYPERLINK("https://www.openstreetmap.org/?mlat=39.2445&amp;mlon=29.0197&amp;zoom=9","Haritada Gör")</f>
        <v/>
      </c>
    </row>
    <row r="12">
      <c r="A12" s="3" t="inlineStr">
        <is>
          <t>2025.05.23</t>
        </is>
      </c>
      <c r="B12" s="3" t="inlineStr">
        <is>
          <t>06:03:36</t>
        </is>
      </c>
      <c r="C12" s="3" t="inlineStr">
        <is>
          <t>35.7615</t>
        </is>
      </c>
      <c r="D12" s="3" t="inlineStr">
        <is>
          <t>25.9298</t>
        </is>
      </c>
      <c r="E12" s="3" t="inlineStr">
        <is>
          <t>26.6</t>
        </is>
      </c>
      <c r="F12" s="3" t="inlineStr">
        <is>
          <t>2.1</t>
        </is>
      </c>
      <c r="G12" s="3" t="inlineStr">
        <is>
          <t>-.-</t>
        </is>
      </c>
      <c r="H12" s="3" t="inlineStr">
        <is>
          <t>EGE DENIZI</t>
        </is>
      </c>
      <c r="I12" s="3">
        <f>HYPERLINK("https://www.openstreetmap.org/?mlat=35.7615&amp;mlon=25.9298&amp;zoom=9","Haritada Gör")</f>
        <v/>
      </c>
    </row>
    <row r="13">
      <c r="A13" s="3" t="inlineStr">
        <is>
          <t>2025.05.23</t>
        </is>
      </c>
      <c r="B13" s="3" t="inlineStr">
        <is>
          <t>05:55:45</t>
        </is>
      </c>
      <c r="C13" s="3" t="inlineStr">
        <is>
          <t>38.0972</t>
        </is>
      </c>
      <c r="D13" s="3" t="inlineStr">
        <is>
          <t>36.6363</t>
        </is>
      </c>
      <c r="E13" s="3" t="inlineStr">
        <is>
          <t>8.3</t>
        </is>
      </c>
      <c r="F13" s="3" t="inlineStr">
        <is>
          <t>1.7</t>
        </is>
      </c>
      <c r="G13" s="3" t="inlineStr">
        <is>
          <t>-.-</t>
        </is>
      </c>
      <c r="H13" s="3" t="inlineStr">
        <is>
          <t>KANLIKAVAK-GOKSUN (KAHRAMANMARAS)</t>
        </is>
      </c>
      <c r="I13" s="3">
        <f>HYPERLINK("https://www.openstreetmap.org/?mlat=38.0972&amp;mlon=36.6363&amp;zoom=9","Haritada Gör")</f>
        <v/>
      </c>
    </row>
    <row r="14">
      <c r="A14" s="3" t="inlineStr">
        <is>
          <t>2025.05.23</t>
        </is>
      </c>
      <c r="B14" s="3" t="inlineStr">
        <is>
          <t>05:21:08</t>
        </is>
      </c>
      <c r="C14" s="3" t="inlineStr">
        <is>
          <t>37.9752</t>
        </is>
      </c>
      <c r="D14" s="3" t="inlineStr">
        <is>
          <t>36.2882</t>
        </is>
      </c>
      <c r="E14" s="3" t="inlineStr">
        <is>
          <t>1.5</t>
        </is>
      </c>
      <c r="F14" s="3" t="inlineStr">
        <is>
          <t>1.8</t>
        </is>
      </c>
      <c r="G14" s="3" t="inlineStr">
        <is>
          <t>-.-</t>
        </is>
      </c>
      <c r="H14" s="3" t="inlineStr">
        <is>
          <t>KAZANDERE-GOKSUN (KAHRAMANMARAS)</t>
        </is>
      </c>
      <c r="I14" s="3">
        <f>HYPERLINK("https://www.openstreetmap.org/?mlat=37.9752&amp;mlon=36.2882&amp;zoom=9","Haritada Gör")</f>
        <v/>
      </c>
    </row>
    <row r="15">
      <c r="A15" s="3" t="inlineStr">
        <is>
          <t>2025.05.23</t>
        </is>
      </c>
      <c r="B15" s="3" t="inlineStr">
        <is>
          <t>05:18:31</t>
        </is>
      </c>
      <c r="C15" s="3" t="inlineStr">
        <is>
          <t>37.0883</t>
        </is>
      </c>
      <c r="D15" s="3" t="inlineStr">
        <is>
          <t>30.5968</t>
        </is>
      </c>
      <c r="E15" s="3" t="inlineStr">
        <is>
          <t>5.6</t>
        </is>
      </c>
      <c r="F15" s="3" t="inlineStr">
        <is>
          <t>1.6</t>
        </is>
      </c>
      <c r="G15" s="3" t="inlineStr">
        <is>
          <t>-.-</t>
        </is>
      </c>
      <c r="H15" s="3" t="inlineStr">
        <is>
          <t>KOMURCULER-DOSEMEALTI (ANTALYA)</t>
        </is>
      </c>
      <c r="I15" s="3">
        <f>HYPERLINK("https://www.openstreetmap.org/?mlat=37.0883&amp;mlon=30.5968&amp;zoom=9","Haritada Gör")</f>
        <v/>
      </c>
    </row>
    <row r="16">
      <c r="A16" s="3" t="inlineStr">
        <is>
          <t>2025.05.23</t>
        </is>
      </c>
      <c r="B16" s="3" t="inlineStr">
        <is>
          <t>05:07:40</t>
        </is>
      </c>
      <c r="C16" s="3" t="inlineStr">
        <is>
          <t>38.5990</t>
        </is>
      </c>
      <c r="D16" s="3" t="inlineStr">
        <is>
          <t>27.1827</t>
        </is>
      </c>
      <c r="E16" s="3" t="inlineStr">
        <is>
          <t>15.7</t>
        </is>
      </c>
      <c r="F16" s="3" t="inlineStr">
        <is>
          <t>1.8</t>
        </is>
      </c>
      <c r="G16" s="3" t="inlineStr">
        <is>
          <t>-.-</t>
        </is>
      </c>
      <c r="H16" s="3" t="inlineStr">
        <is>
          <t>AYVACIK-MENEMEN (IZMIR)</t>
        </is>
      </c>
      <c r="I16" s="3">
        <f>HYPERLINK("https://www.openstreetmap.org/?mlat=38.5990&amp;mlon=27.1827&amp;zoom=9","Haritada Gör")</f>
        <v/>
      </c>
    </row>
    <row r="17">
      <c r="A17" s="3" t="inlineStr">
        <is>
          <t>2025.05.23</t>
        </is>
      </c>
      <c r="B17" s="3" t="inlineStr">
        <is>
          <t>05:03:35</t>
        </is>
      </c>
      <c r="C17" s="3" t="inlineStr">
        <is>
          <t>38.6207</t>
        </is>
      </c>
      <c r="D17" s="3" t="inlineStr">
        <is>
          <t>27.1750</t>
        </is>
      </c>
      <c r="E17" s="3" t="inlineStr">
        <is>
          <t>12.0</t>
        </is>
      </c>
      <c r="F17" s="3" t="inlineStr">
        <is>
          <t>1.7</t>
        </is>
      </c>
      <c r="G17" s="3" t="inlineStr">
        <is>
          <t>-.-</t>
        </is>
      </c>
      <c r="H17" s="3" t="inlineStr">
        <is>
          <t>AYVACIK-MENEMEN (IZMIR)</t>
        </is>
      </c>
      <c r="I17" s="3">
        <f>HYPERLINK("https://www.openstreetmap.org/?mlat=38.6207&amp;mlon=27.1750&amp;zoom=9","Haritada Gör")</f>
        <v/>
      </c>
    </row>
    <row r="18">
      <c r="A18" s="3" t="inlineStr">
        <is>
          <t>2025.05.23</t>
        </is>
      </c>
      <c r="B18" s="3" t="inlineStr">
        <is>
          <t>04:57:20</t>
        </is>
      </c>
      <c r="C18" s="3" t="inlineStr">
        <is>
          <t>35.7540</t>
        </is>
      </c>
      <c r="D18" s="3" t="inlineStr">
        <is>
          <t>25.8775</t>
        </is>
      </c>
      <c r="E18" s="3" t="inlineStr">
        <is>
          <t>26.8</t>
        </is>
      </c>
      <c r="F18" s="3" t="inlineStr">
        <is>
          <t>2.0</t>
        </is>
      </c>
      <c r="G18" s="3" t="inlineStr">
        <is>
          <t>-.-</t>
        </is>
      </c>
      <c r="H18" s="3" t="inlineStr">
        <is>
          <t>EGE DENIZI</t>
        </is>
      </c>
      <c r="I18" s="3">
        <f>HYPERLINK("https://www.openstreetmap.org/?mlat=35.7540&amp;mlon=25.8775&amp;zoom=9","Haritada Gör")</f>
        <v/>
      </c>
    </row>
    <row r="19">
      <c r="A19" s="3" t="inlineStr">
        <is>
          <t>2025.05.23</t>
        </is>
      </c>
      <c r="B19" s="3" t="inlineStr">
        <is>
          <t>04:34:20</t>
        </is>
      </c>
      <c r="C19" s="3" t="inlineStr">
        <is>
          <t>37.1938</t>
        </is>
      </c>
      <c r="D19" s="3" t="inlineStr">
        <is>
          <t>30.7992</t>
        </is>
      </c>
      <c r="E19" s="3" t="inlineStr">
        <is>
          <t>89.3</t>
        </is>
      </c>
      <c r="F19" s="3" t="inlineStr">
        <is>
          <t>1.7</t>
        </is>
      </c>
      <c r="G19" s="3" t="inlineStr">
        <is>
          <t>-.-</t>
        </is>
      </c>
      <c r="H19" s="3" t="inlineStr">
        <is>
          <t>KARAOZ-AKSU (ANTALYA)</t>
        </is>
      </c>
      <c r="I19" s="3">
        <f>HYPERLINK("https://www.openstreetmap.org/?mlat=37.1938&amp;mlon=30.7992&amp;zoom=9","Haritada Gör")</f>
        <v/>
      </c>
    </row>
    <row r="20">
      <c r="A20" s="3" t="inlineStr">
        <is>
          <t>2025.05.23</t>
        </is>
      </c>
      <c r="B20" s="3" t="inlineStr">
        <is>
          <t>03:50:10</t>
        </is>
      </c>
      <c r="C20" s="3" t="inlineStr">
        <is>
          <t>38.2798</t>
        </is>
      </c>
      <c r="D20" s="3" t="inlineStr">
        <is>
          <t>38.7440</t>
        </is>
      </c>
      <c r="E20" s="3" t="inlineStr">
        <is>
          <t>5.0</t>
        </is>
      </c>
      <c r="F20" s="3" t="inlineStr">
        <is>
          <t>2.2</t>
        </is>
      </c>
      <c r="G20" s="3" t="inlineStr">
        <is>
          <t>-.-</t>
        </is>
      </c>
      <c r="H20" s="3" t="inlineStr">
        <is>
          <t>BALPINARI-PUTURGE (MALATYA)</t>
        </is>
      </c>
      <c r="I20" s="3">
        <f>HYPERLINK("https://www.openstreetmap.org/?mlat=38.2798&amp;mlon=38.7440&amp;zoom=9","Haritada Gör")</f>
        <v/>
      </c>
    </row>
    <row r="21">
      <c r="A21" s="3" t="inlineStr">
        <is>
          <t>2025.05.23</t>
        </is>
      </c>
      <c r="B21" s="3" t="inlineStr">
        <is>
          <t>03:18:20</t>
        </is>
      </c>
      <c r="C21" s="3" t="inlineStr">
        <is>
          <t>36.0122</t>
        </is>
      </c>
      <c r="D21" s="3" t="inlineStr">
        <is>
          <t>29.0338</t>
        </is>
      </c>
      <c r="E21" s="3" t="inlineStr">
        <is>
          <t>9.2</t>
        </is>
      </c>
      <c r="F21" s="3" t="inlineStr">
        <is>
          <t>2.3</t>
        </is>
      </c>
      <c r="G21" s="3" t="inlineStr">
        <is>
          <t>-.-</t>
        </is>
      </c>
      <c r="H21" s="3" t="inlineStr">
        <is>
          <t>AKDENIZ</t>
        </is>
      </c>
      <c r="I21" s="3">
        <f>HYPERLINK("https://www.openstreetmap.org/?mlat=36.0122&amp;mlon=29.0338&amp;zoom=9","Haritada Gör")</f>
        <v/>
      </c>
    </row>
    <row r="22">
      <c r="A22" s="3" t="inlineStr">
        <is>
          <t>2025.05.23</t>
        </is>
      </c>
      <c r="B22" s="3" t="inlineStr">
        <is>
          <t>03:06:12</t>
        </is>
      </c>
      <c r="C22" s="3" t="inlineStr">
        <is>
          <t>37.3020</t>
        </is>
      </c>
      <c r="D22" s="3" t="inlineStr">
        <is>
          <t>26.9870</t>
        </is>
      </c>
      <c r="E22" s="3" t="inlineStr">
        <is>
          <t>4.4</t>
        </is>
      </c>
      <c r="F22" s="3" t="inlineStr">
        <is>
          <t>1.7</t>
        </is>
      </c>
      <c r="G22" s="3" t="inlineStr">
        <is>
          <t>-.-</t>
        </is>
      </c>
      <c r="H22" s="3" t="inlineStr">
        <is>
          <t>EGE DENIZI</t>
        </is>
      </c>
      <c r="I22" s="3">
        <f>HYPERLINK("https://www.openstreetmap.org/?mlat=37.3020&amp;mlon=26.9870&amp;zoom=9","Haritada Gör")</f>
        <v/>
      </c>
    </row>
    <row r="23">
      <c r="A23" s="3" t="inlineStr">
        <is>
          <t>2025.05.23</t>
        </is>
      </c>
      <c r="B23" s="3" t="inlineStr">
        <is>
          <t>03:05:46</t>
        </is>
      </c>
      <c r="C23" s="3" t="inlineStr">
        <is>
          <t>38.0948</t>
        </is>
      </c>
      <c r="D23" s="3" t="inlineStr">
        <is>
          <t>36.5038</t>
        </is>
      </c>
      <c r="E23" s="3" t="inlineStr">
        <is>
          <t>7.6</t>
        </is>
      </c>
      <c r="F23" s="3" t="inlineStr">
        <is>
          <t>1.3</t>
        </is>
      </c>
      <c r="G23" s="3" t="inlineStr">
        <is>
          <t>-.-</t>
        </is>
      </c>
      <c r="H23" s="3" t="inlineStr">
        <is>
          <t>ALICLIBUCAK-GOKSUN (KAHRAMANMARAS)</t>
        </is>
      </c>
      <c r="I23" s="3">
        <f>HYPERLINK("https://www.openstreetmap.org/?mlat=38.0948&amp;mlon=36.5038&amp;zoom=9","Haritada Gör")</f>
        <v/>
      </c>
    </row>
    <row r="24">
      <c r="A24" s="3" t="inlineStr">
        <is>
          <t>2025.05.23</t>
        </is>
      </c>
      <c r="B24" s="3" t="inlineStr">
        <is>
          <t>02:53:07</t>
        </is>
      </c>
      <c r="C24" s="3" t="inlineStr">
        <is>
          <t>41.0908</t>
        </is>
      </c>
      <c r="D24" s="3" t="inlineStr">
        <is>
          <t>37.3968</t>
        </is>
      </c>
      <c r="E24" s="3" t="inlineStr">
        <is>
          <t>11.0</t>
        </is>
      </c>
      <c r="F24" s="3" t="inlineStr">
        <is>
          <t>2.3</t>
        </is>
      </c>
      <c r="G24" s="3" t="inlineStr">
        <is>
          <t>-.-</t>
        </is>
      </c>
      <c r="H24" s="3" t="inlineStr">
        <is>
          <t>GUZELYALI-UNYE (ORDU)</t>
        </is>
      </c>
      <c r="I24" s="3">
        <f>HYPERLINK("https://www.openstreetmap.org/?mlat=41.0908&amp;mlon=37.3968&amp;zoom=9","Haritada Gör")</f>
        <v/>
      </c>
    </row>
    <row r="25">
      <c r="A25" s="3" t="inlineStr">
        <is>
          <t>2025.05.23</t>
        </is>
      </c>
      <c r="B25" s="3" t="inlineStr">
        <is>
          <t>02:36:36</t>
        </is>
      </c>
      <c r="C25" s="3" t="inlineStr">
        <is>
          <t>39.0435</t>
        </is>
      </c>
      <c r="D25" s="3" t="inlineStr">
        <is>
          <t>33.2710</t>
        </is>
      </c>
      <c r="E25" s="3" t="inlineStr">
        <is>
          <t>5.6</t>
        </is>
      </c>
      <c r="F25" s="3" t="inlineStr">
        <is>
          <t>1.5</t>
        </is>
      </c>
      <c r="G25" s="3" t="inlineStr">
        <is>
          <t>-.-</t>
        </is>
      </c>
      <c r="H25" s="3" t="inlineStr">
        <is>
          <t>KIRKKUYU-KULU (KONYA)</t>
        </is>
      </c>
      <c r="I25" s="3">
        <f>HYPERLINK("https://www.openstreetmap.org/?mlat=39.0435&amp;mlon=33.2710&amp;zoom=9","Haritada Gör")</f>
        <v/>
      </c>
    </row>
    <row r="26">
      <c r="A26" s="3" t="inlineStr">
        <is>
          <t>2025.05.23</t>
        </is>
      </c>
      <c r="B26" s="3" t="inlineStr">
        <is>
          <t>02:25:59</t>
        </is>
      </c>
      <c r="C26" s="3" t="inlineStr">
        <is>
          <t>38.6150</t>
        </is>
      </c>
      <c r="D26" s="3" t="inlineStr">
        <is>
          <t>31.5585</t>
        </is>
      </c>
      <c r="E26" s="3" t="inlineStr">
        <is>
          <t>7.0</t>
        </is>
      </c>
      <c r="F26" s="3" t="inlineStr">
        <is>
          <t>1.7</t>
        </is>
      </c>
      <c r="G26" s="3" t="inlineStr">
        <is>
          <t>-.-</t>
        </is>
      </c>
      <c r="H26" s="3" t="inlineStr">
        <is>
          <t>MEVLUTLU-TUZLUKCU (KONYA)</t>
        </is>
      </c>
      <c r="I26" s="3">
        <f>HYPERLINK("https://www.openstreetmap.org/?mlat=38.6150&amp;mlon=31.5585&amp;zoom=9","Haritada Gör")</f>
        <v/>
      </c>
    </row>
    <row r="27">
      <c r="A27" s="3" t="inlineStr">
        <is>
          <t>2025.05.23</t>
        </is>
      </c>
      <c r="B27" s="3" t="inlineStr">
        <is>
          <t>01:48:22</t>
        </is>
      </c>
      <c r="C27" s="3" t="inlineStr">
        <is>
          <t>38.1667</t>
        </is>
      </c>
      <c r="D27" s="3" t="inlineStr">
        <is>
          <t>38.3405</t>
        </is>
      </c>
      <c r="E27" s="3" t="inlineStr">
        <is>
          <t>6.0</t>
        </is>
      </c>
      <c r="F27" s="3" t="inlineStr">
        <is>
          <t>1.4</t>
        </is>
      </c>
      <c r="G27" s="3" t="inlineStr">
        <is>
          <t>-.-</t>
        </is>
      </c>
      <c r="H27" s="3" t="inlineStr">
        <is>
          <t>ONCU-YESILYURT (MALATYA)</t>
        </is>
      </c>
      <c r="I27" s="3">
        <f>HYPERLINK("https://www.openstreetmap.org/?mlat=38.1667&amp;mlon=38.3405&amp;zoom=9","Haritada Gör")</f>
        <v/>
      </c>
    </row>
    <row r="28">
      <c r="A28" s="3" t="inlineStr">
        <is>
          <t>2025.05.23</t>
        </is>
      </c>
      <c r="B28" s="3" t="inlineStr">
        <is>
          <t>01:40:57</t>
        </is>
      </c>
      <c r="C28" s="3" t="inlineStr">
        <is>
          <t>39.7132</t>
        </is>
      </c>
      <c r="D28" s="3" t="inlineStr">
        <is>
          <t>41.3240</t>
        </is>
      </c>
      <c r="E28" s="3" t="inlineStr">
        <is>
          <t>5.0</t>
        </is>
      </c>
      <c r="F28" s="3" t="inlineStr">
        <is>
          <t>2.2</t>
        </is>
      </c>
      <c r="G28" s="3" t="inlineStr">
        <is>
          <t>-.-</t>
        </is>
      </c>
      <c r="H28" s="3" t="inlineStr">
        <is>
          <t>YALINCA-TEKMAN (ERZURUM)</t>
        </is>
      </c>
      <c r="I28" s="3">
        <f>HYPERLINK("https://www.openstreetmap.org/?mlat=39.7132&amp;mlon=41.3240&amp;zoom=9","Haritada Gör")</f>
        <v/>
      </c>
    </row>
    <row r="29">
      <c r="A29" s="3" t="inlineStr">
        <is>
          <t>2025.05.23</t>
        </is>
      </c>
      <c r="B29" s="3" t="inlineStr">
        <is>
          <t>01:38:28</t>
        </is>
      </c>
      <c r="C29" s="3" t="inlineStr">
        <is>
          <t>38.2445</t>
        </is>
      </c>
      <c r="D29" s="3" t="inlineStr">
        <is>
          <t>28.7812</t>
        </is>
      </c>
      <c r="E29" s="3" t="inlineStr">
        <is>
          <t>10.7</t>
        </is>
      </c>
      <c r="F29" s="3" t="inlineStr">
        <is>
          <t>1.4</t>
        </is>
      </c>
      <c r="G29" s="3" t="inlineStr">
        <is>
          <t>-.-</t>
        </is>
      </c>
      <c r="H29" s="3" t="inlineStr">
        <is>
          <t>BAHADIRLAR-SARIGOL (MANISA)</t>
        </is>
      </c>
      <c r="I29" s="3">
        <f>HYPERLINK("https://www.openstreetmap.org/?mlat=38.2445&amp;mlon=28.7812&amp;zoom=9","Haritada Gör")</f>
        <v/>
      </c>
    </row>
    <row r="30">
      <c r="A30" s="3" t="inlineStr">
        <is>
          <t>2025.05.23</t>
        </is>
      </c>
      <c r="B30" s="3" t="inlineStr">
        <is>
          <t>01:18:15</t>
        </is>
      </c>
      <c r="C30" s="3" t="inlineStr">
        <is>
          <t>35.6935</t>
        </is>
      </c>
      <c r="D30" s="3" t="inlineStr">
        <is>
          <t>25.9047</t>
        </is>
      </c>
      <c r="E30" s="3" t="inlineStr">
        <is>
          <t>24.2</t>
        </is>
      </c>
      <c r="F30" s="3" t="inlineStr">
        <is>
          <t>2.7</t>
        </is>
      </c>
      <c r="G30" s="3" t="inlineStr">
        <is>
          <t>-.-</t>
        </is>
      </c>
      <c r="H30" s="3" t="inlineStr">
        <is>
          <t>EGE DENIZI</t>
        </is>
      </c>
      <c r="I30" s="3">
        <f>HYPERLINK("https://www.openstreetmap.org/?mlat=35.6935&amp;mlon=25.9047&amp;zoom=9","Haritada Gör")</f>
        <v/>
      </c>
    </row>
    <row r="31">
      <c r="A31" s="3" t="inlineStr">
        <is>
          <t>2025.05.23</t>
        </is>
      </c>
      <c r="B31" s="3" t="inlineStr">
        <is>
          <t>01:16:16</t>
        </is>
      </c>
      <c r="C31" s="3" t="inlineStr">
        <is>
          <t>39.1938</t>
        </is>
      </c>
      <c r="D31" s="3" t="inlineStr">
        <is>
          <t>28.9383</t>
        </is>
      </c>
      <c r="E31" s="3" t="inlineStr">
        <is>
          <t>1.7</t>
        </is>
      </c>
      <c r="F31" s="3" t="inlineStr">
        <is>
          <t>1.8</t>
        </is>
      </c>
      <c r="G31" s="3" t="inlineStr">
        <is>
          <t>-.-</t>
        </is>
      </c>
      <c r="H31" s="3" t="inlineStr">
        <is>
          <t>HAMZABEY-SIMAV (KUTAHYA)</t>
        </is>
      </c>
      <c r="I31" s="3">
        <f>HYPERLINK("https://www.openstreetmap.org/?mlat=39.1938&amp;mlon=28.9383&amp;zoom=9","Haritada Gör")</f>
        <v/>
      </c>
    </row>
    <row r="32">
      <c r="A32" s="3" t="inlineStr">
        <is>
          <t>2025.05.23</t>
        </is>
      </c>
      <c r="B32" s="3" t="inlineStr">
        <is>
          <t>01:12:52</t>
        </is>
      </c>
      <c r="C32" s="3" t="inlineStr">
        <is>
          <t>39.2433</t>
        </is>
      </c>
      <c r="D32" s="3" t="inlineStr">
        <is>
          <t>28.9428</t>
        </is>
      </c>
      <c r="E32" s="3" t="inlineStr">
        <is>
          <t>5.3</t>
        </is>
      </c>
      <c r="F32" s="3" t="inlineStr">
        <is>
          <t>2.4</t>
        </is>
      </c>
      <c r="G32" s="3" t="inlineStr">
        <is>
          <t>-.-</t>
        </is>
      </c>
      <c r="H32" s="3" t="inlineStr">
        <is>
          <t>YENILER-SIMAV (KUTAHYA)</t>
        </is>
      </c>
      <c r="I32" s="3">
        <f>HYPERLINK("https://www.openstreetmap.org/?mlat=39.2433&amp;mlon=28.9428&amp;zoom=9","Haritada Gör")</f>
        <v/>
      </c>
    </row>
    <row r="33">
      <c r="A33" s="3" t="inlineStr">
        <is>
          <t>2025.05.23</t>
        </is>
      </c>
      <c r="B33" s="3" t="inlineStr">
        <is>
          <t>00:58:49</t>
        </is>
      </c>
      <c r="C33" s="3" t="inlineStr">
        <is>
          <t>37.4462</t>
        </is>
      </c>
      <c r="D33" s="3" t="inlineStr">
        <is>
          <t>37.8298</t>
        </is>
      </c>
      <c r="E33" s="3" t="inlineStr">
        <is>
          <t>10.1</t>
        </is>
      </c>
      <c r="F33" s="3" t="inlineStr">
        <is>
          <t>1.5</t>
        </is>
      </c>
      <c r="G33" s="3" t="inlineStr">
        <is>
          <t>-.-</t>
        </is>
      </c>
      <c r="H33" s="3" t="inlineStr">
        <is>
          <t>KUCUKLU-ARABAN (GAZIANTEP)</t>
        </is>
      </c>
      <c r="I33" s="3">
        <f>HYPERLINK("https://www.openstreetmap.org/?mlat=37.4462&amp;mlon=37.8298&amp;zoom=9","Haritada Gör")</f>
        <v/>
      </c>
    </row>
    <row r="34">
      <c r="A34" s="4" t="inlineStr">
        <is>
          <t>2025.05.23</t>
        </is>
      </c>
      <c r="B34" s="4" t="inlineStr">
        <is>
          <t>00:57:31</t>
        </is>
      </c>
      <c r="C34" s="4" t="inlineStr">
        <is>
          <t>35.6980</t>
        </is>
      </c>
      <c r="D34" s="4" t="inlineStr">
        <is>
          <t>25.8857</t>
        </is>
      </c>
      <c r="E34" s="4" t="inlineStr">
        <is>
          <t>27.5</t>
        </is>
      </c>
      <c r="F34" s="4" t="inlineStr">
        <is>
          <t>3.5</t>
        </is>
      </c>
      <c r="G34" s="4" t="inlineStr">
        <is>
          <t>3.4</t>
        </is>
      </c>
      <c r="H34" s="4" t="inlineStr">
        <is>
          <t>EGE DENIZI</t>
        </is>
      </c>
      <c r="I34" s="4">
        <f>HYPERLINK("https://www.openstreetmap.org/?mlat=35.6980&amp;mlon=25.8857&amp;zoom=9","Haritada Gör")</f>
        <v/>
      </c>
    </row>
    <row r="35">
      <c r="A35" s="3" t="inlineStr">
        <is>
          <t>2025.05.23</t>
        </is>
      </c>
      <c r="B35" s="3" t="inlineStr">
        <is>
          <t>00:16:13</t>
        </is>
      </c>
      <c r="C35" s="3" t="inlineStr">
        <is>
          <t>37.1260</t>
        </is>
      </c>
      <c r="D35" s="3" t="inlineStr">
        <is>
          <t>36.6977</t>
        </is>
      </c>
      <c r="E35" s="3" t="inlineStr">
        <is>
          <t>8.6</t>
        </is>
      </c>
      <c r="F35" s="3" t="inlineStr">
        <is>
          <t>2.3</t>
        </is>
      </c>
      <c r="G35" s="3" t="inlineStr">
        <is>
          <t>-.-</t>
        </is>
      </c>
      <c r="H35" s="3" t="inlineStr">
        <is>
          <t>KARABURCLU-NURDAGI (GAZIANTEP)</t>
        </is>
      </c>
      <c r="I35" s="3">
        <f>HYPERLINK("https://www.openstreetmap.org/?mlat=37.1260&amp;mlon=36.6977&amp;zoom=9","Haritada Gör")</f>
        <v/>
      </c>
    </row>
    <row r="36">
      <c r="A36" s="3" t="inlineStr">
        <is>
          <t>2025.05.23</t>
        </is>
      </c>
      <c r="B36" s="3" t="inlineStr">
        <is>
          <t>00:11:44</t>
        </is>
      </c>
      <c r="C36" s="3" t="inlineStr">
        <is>
          <t>38.0847</t>
        </is>
      </c>
      <c r="D36" s="3" t="inlineStr">
        <is>
          <t>36.5205</t>
        </is>
      </c>
      <c r="E36" s="3" t="inlineStr">
        <is>
          <t>7.8</t>
        </is>
      </c>
      <c r="F36" s="3" t="inlineStr">
        <is>
          <t>1.8</t>
        </is>
      </c>
      <c r="G36" s="3" t="inlineStr">
        <is>
          <t>-.-</t>
        </is>
      </c>
      <c r="H36" s="3" t="inlineStr">
        <is>
          <t>ALICLIBUCAK-GOKSUN (KAHRAMANMARAS)</t>
        </is>
      </c>
      <c r="I36" s="3">
        <f>HYPERLINK("https://www.openstreetmap.org/?mlat=38.0847&amp;mlon=36.5205&amp;zoom=9","Haritada Gör")</f>
        <v/>
      </c>
    </row>
    <row r="37">
      <c r="A37" s="3" t="inlineStr">
        <is>
          <t>2025.05.22</t>
        </is>
      </c>
      <c r="B37" s="3" t="inlineStr">
        <is>
          <t>23:57:00</t>
        </is>
      </c>
      <c r="C37" s="3" t="inlineStr">
        <is>
          <t>35.9945</t>
        </is>
      </c>
      <c r="D37" s="3" t="inlineStr">
        <is>
          <t>29.5783</t>
        </is>
      </c>
      <c r="E37" s="3" t="inlineStr">
        <is>
          <t>4.4</t>
        </is>
      </c>
      <c r="F37" s="3" t="inlineStr">
        <is>
          <t>1.9</t>
        </is>
      </c>
      <c r="G37" s="3" t="inlineStr">
        <is>
          <t>-.-</t>
        </is>
      </c>
      <c r="H37" s="3" t="inlineStr">
        <is>
          <t>KAS ACIKLARI-ANTALYA (AKDENIZ)</t>
        </is>
      </c>
      <c r="I37" s="3">
        <f>HYPERLINK("https://www.openstreetmap.org/?mlat=35.9945&amp;mlon=29.5783&amp;zoom=9","Haritada Gör")</f>
        <v/>
      </c>
    </row>
    <row r="38">
      <c r="A38" s="3" t="inlineStr">
        <is>
          <t>2025.05.22</t>
        </is>
      </c>
      <c r="B38" s="3" t="inlineStr">
        <is>
          <t>23:03:22</t>
        </is>
      </c>
      <c r="C38" s="3" t="inlineStr">
        <is>
          <t>39.2500</t>
        </is>
      </c>
      <c r="D38" s="3" t="inlineStr">
        <is>
          <t>28.9643</t>
        </is>
      </c>
      <c r="E38" s="3" t="inlineStr">
        <is>
          <t>12.0</t>
        </is>
      </c>
      <c r="F38" s="3" t="inlineStr">
        <is>
          <t>1.7</t>
        </is>
      </c>
      <c r="G38" s="3" t="inlineStr">
        <is>
          <t>-.-</t>
        </is>
      </c>
      <c r="H38" s="3" t="inlineStr">
        <is>
          <t>YEMISLI-SIMAV (KUTAHYA)</t>
        </is>
      </c>
      <c r="I38" s="3">
        <f>HYPERLINK("https://www.openstreetmap.org/?mlat=39.2500&amp;mlon=28.9643&amp;zoom=9","Haritada Gör")</f>
        <v/>
      </c>
    </row>
    <row r="39">
      <c r="A39" s="3" t="inlineStr">
        <is>
          <t>2025.05.22</t>
        </is>
      </c>
      <c r="B39" s="3" t="inlineStr">
        <is>
          <t>22:55:45</t>
        </is>
      </c>
      <c r="C39" s="3" t="inlineStr">
        <is>
          <t>39.2487</t>
        </is>
      </c>
      <c r="D39" s="3" t="inlineStr">
        <is>
          <t>29.0290</t>
        </is>
      </c>
      <c r="E39" s="3" t="inlineStr">
        <is>
          <t>21.1</t>
        </is>
      </c>
      <c r="F39" s="3" t="inlineStr">
        <is>
          <t>1.7</t>
        </is>
      </c>
      <c r="G39" s="3" t="inlineStr">
        <is>
          <t>-.-</t>
        </is>
      </c>
      <c r="H39" s="3" t="inlineStr">
        <is>
          <t>KATRANDAGI-EMET (KUTAHYA)</t>
        </is>
      </c>
      <c r="I39" s="3">
        <f>HYPERLINK("https://www.openstreetmap.org/?mlat=39.2487&amp;mlon=29.0290&amp;zoom=9","Haritada Gör")</f>
        <v/>
      </c>
    </row>
    <row r="40">
      <c r="A40" s="3" t="inlineStr">
        <is>
          <t>2025.05.22</t>
        </is>
      </c>
      <c r="B40" s="3" t="inlineStr">
        <is>
          <t>22:20:12</t>
        </is>
      </c>
      <c r="C40" s="3" t="inlineStr">
        <is>
          <t>38.8922</t>
        </is>
      </c>
      <c r="D40" s="3" t="inlineStr">
        <is>
          <t>26.7223</t>
        </is>
      </c>
      <c r="E40" s="3" t="inlineStr">
        <is>
          <t>5.3</t>
        </is>
      </c>
      <c r="F40" s="3" t="inlineStr">
        <is>
          <t>1.4</t>
        </is>
      </c>
      <c r="G40" s="3" t="inlineStr">
        <is>
          <t>-.-</t>
        </is>
      </c>
      <c r="H40" s="3" t="inlineStr">
        <is>
          <t>CANDARLI KORFEZI (EGE DENIZI)</t>
        </is>
      </c>
      <c r="I40" s="3">
        <f>HYPERLINK("https://www.openstreetmap.org/?mlat=38.8922&amp;mlon=26.7223&amp;zoom=9","Haritada Gör")</f>
        <v/>
      </c>
    </row>
    <row r="41">
      <c r="A41" s="4" t="inlineStr">
        <is>
          <t>2025.05.22</t>
        </is>
      </c>
      <c r="B41" s="4" t="inlineStr">
        <is>
          <t>22:05:09</t>
        </is>
      </c>
      <c r="C41" s="4" t="inlineStr">
        <is>
          <t>35.7560</t>
        </is>
      </c>
      <c r="D41" s="4" t="inlineStr">
        <is>
          <t>25.9182</t>
        </is>
      </c>
      <c r="E41" s="4" t="inlineStr">
        <is>
          <t>24.7</t>
        </is>
      </c>
      <c r="F41" s="4" t="inlineStr">
        <is>
          <t>3.6</t>
        </is>
      </c>
      <c r="G41" s="4" t="inlineStr">
        <is>
          <t>-.-</t>
        </is>
      </c>
      <c r="H41" s="4" t="inlineStr">
        <is>
          <t>EGE DENIZI</t>
        </is>
      </c>
      <c r="I41" s="4">
        <f>HYPERLINK("https://www.openstreetmap.org/?mlat=35.7560&amp;mlon=25.9182&amp;zoom=9","Haritada Gör")</f>
        <v/>
      </c>
    </row>
    <row r="42">
      <c r="A42" s="3" t="inlineStr">
        <is>
          <t>2025.05.22</t>
        </is>
      </c>
      <c r="B42" s="3" t="inlineStr">
        <is>
          <t>22:04:37</t>
        </is>
      </c>
      <c r="C42" s="3" t="inlineStr">
        <is>
          <t>39.2505</t>
        </is>
      </c>
      <c r="D42" s="3" t="inlineStr">
        <is>
          <t>28.9570</t>
        </is>
      </c>
      <c r="E42" s="3" t="inlineStr">
        <is>
          <t>8.4</t>
        </is>
      </c>
      <c r="F42" s="3" t="inlineStr">
        <is>
          <t>2.6</t>
        </is>
      </c>
      <c r="G42" s="3" t="inlineStr">
        <is>
          <t>-.-</t>
        </is>
      </c>
      <c r="H42" s="3" t="inlineStr">
        <is>
          <t>YENILER-SIMAV (KUTAHYA)</t>
        </is>
      </c>
      <c r="I42" s="3">
        <f>HYPERLINK("https://www.openstreetmap.org/?mlat=39.2505&amp;mlon=28.9570&amp;zoom=9","Haritada Gör")</f>
        <v/>
      </c>
    </row>
    <row r="43">
      <c r="A43" s="4" t="inlineStr">
        <is>
          <t>2025.05.22</t>
        </is>
      </c>
      <c r="B43" s="4" t="inlineStr">
        <is>
          <t>21:51:52</t>
        </is>
      </c>
      <c r="C43" s="4" t="inlineStr">
        <is>
          <t>39.2557</t>
        </is>
      </c>
      <c r="D43" s="4" t="inlineStr">
        <is>
          <t>28.9523</t>
        </is>
      </c>
      <c r="E43" s="4" t="inlineStr">
        <is>
          <t>5.4</t>
        </is>
      </c>
      <c r="F43" s="4" t="inlineStr">
        <is>
          <t>3.3</t>
        </is>
      </c>
      <c r="G43" s="4" t="inlineStr">
        <is>
          <t>-.-</t>
        </is>
      </c>
      <c r="H43" s="4" t="inlineStr">
        <is>
          <t>YENILER-SIMAV (KUTAHYA)</t>
        </is>
      </c>
      <c r="I43" s="4">
        <f>HYPERLINK("https://www.openstreetmap.org/?mlat=39.2557&amp;mlon=28.9523&amp;zoom=9","Haritada Gör")</f>
        <v/>
      </c>
    </row>
    <row r="44">
      <c r="A44" s="3" t="inlineStr">
        <is>
          <t>2025.05.22</t>
        </is>
      </c>
      <c r="B44" s="3" t="inlineStr">
        <is>
          <t>21:51:02</t>
        </is>
      </c>
      <c r="C44" s="3" t="inlineStr">
        <is>
          <t>39.2582</t>
        </is>
      </c>
      <c r="D44" s="3" t="inlineStr">
        <is>
          <t>28.9803</t>
        </is>
      </c>
      <c r="E44" s="3" t="inlineStr">
        <is>
          <t>5.0</t>
        </is>
      </c>
      <c r="F44" s="3" t="inlineStr">
        <is>
          <t>2.7</t>
        </is>
      </c>
      <c r="G44" s="3" t="inlineStr">
        <is>
          <t>-.-</t>
        </is>
      </c>
      <c r="H44" s="3" t="inlineStr">
        <is>
          <t>YEMISLI-SIMAV (KUTAHYA)</t>
        </is>
      </c>
      <c r="I44" s="3">
        <f>HYPERLINK("https://www.openstreetmap.org/?mlat=39.2582&amp;mlon=28.9803&amp;zoom=9","Haritada Gör")</f>
        <v/>
      </c>
    </row>
    <row r="45">
      <c r="A45" s="3" t="inlineStr">
        <is>
          <t>2025.05.22</t>
        </is>
      </c>
      <c r="B45" s="3" t="inlineStr">
        <is>
          <t>20:56:46</t>
        </is>
      </c>
      <c r="C45" s="3" t="inlineStr">
        <is>
          <t>37.6070</t>
        </is>
      </c>
      <c r="D45" s="3" t="inlineStr">
        <is>
          <t>29.1198</t>
        </is>
      </c>
      <c r="E45" s="3" t="inlineStr">
        <is>
          <t>10.0</t>
        </is>
      </c>
      <c r="F45" s="3" t="inlineStr">
        <is>
          <t>1.9</t>
        </is>
      </c>
      <c r="G45" s="3" t="inlineStr">
        <is>
          <t>-.-</t>
        </is>
      </c>
      <c r="H45" s="3" t="inlineStr">
        <is>
          <t>AKYAR-TAVAS (DENIZLI)</t>
        </is>
      </c>
      <c r="I45" s="3">
        <f>HYPERLINK("https://www.openstreetmap.org/?mlat=37.6070&amp;mlon=29.1198&amp;zoom=9","Haritada Gör")</f>
        <v/>
      </c>
    </row>
    <row r="46">
      <c r="A46" s="3" t="inlineStr">
        <is>
          <t>2025.05.22</t>
        </is>
      </c>
      <c r="B46" s="3" t="inlineStr">
        <is>
          <t>20:54:02</t>
        </is>
      </c>
      <c r="C46" s="3" t="inlineStr">
        <is>
          <t>38.1348</t>
        </is>
      </c>
      <c r="D46" s="3" t="inlineStr">
        <is>
          <t>38.3667</t>
        </is>
      </c>
      <c r="E46" s="3" t="inlineStr">
        <is>
          <t>5.4</t>
        </is>
      </c>
      <c r="F46" s="3" t="inlineStr">
        <is>
          <t>2.9</t>
        </is>
      </c>
      <c r="G46" s="3" t="inlineStr">
        <is>
          <t>-.-</t>
        </is>
      </c>
      <c r="H46" s="3" t="inlineStr">
        <is>
          <t>SALKONAK-YESILYURT (MALATYA)</t>
        </is>
      </c>
      <c r="I46" s="3">
        <f>HYPERLINK("https://www.openstreetmap.org/?mlat=38.1348&amp;mlon=38.3667&amp;zoom=9","Haritada Gör")</f>
        <v/>
      </c>
    </row>
    <row r="47">
      <c r="A47" s="3" t="inlineStr">
        <is>
          <t>2025.05.22</t>
        </is>
      </c>
      <c r="B47" s="3" t="inlineStr">
        <is>
          <t>20:05:23</t>
        </is>
      </c>
      <c r="C47" s="3" t="inlineStr">
        <is>
          <t>38.8298</t>
        </is>
      </c>
      <c r="D47" s="3" t="inlineStr">
        <is>
          <t>26.8113</t>
        </is>
      </c>
      <c r="E47" s="3" t="inlineStr">
        <is>
          <t>13.0</t>
        </is>
      </c>
      <c r="F47" s="3" t="inlineStr">
        <is>
          <t>1.9</t>
        </is>
      </c>
      <c r="G47" s="3" t="inlineStr">
        <is>
          <t>-.-</t>
        </is>
      </c>
      <c r="H47" s="3" t="inlineStr">
        <is>
          <t>CANDARLI KORFEZI (EGE DENIZI)</t>
        </is>
      </c>
      <c r="I47" s="3">
        <f>HYPERLINK("https://www.openstreetmap.org/?mlat=38.8298&amp;mlon=26.8113&amp;zoom=9","Haritada Gör")</f>
        <v/>
      </c>
    </row>
    <row r="48">
      <c r="A48" s="3" t="inlineStr">
        <is>
          <t>2025.05.22</t>
        </is>
      </c>
      <c r="B48" s="3" t="inlineStr">
        <is>
          <t>20:01:30</t>
        </is>
      </c>
      <c r="C48" s="3" t="inlineStr">
        <is>
          <t>37.0913</t>
        </is>
      </c>
      <c r="D48" s="3" t="inlineStr">
        <is>
          <t>30.5980</t>
        </is>
      </c>
      <c r="E48" s="3" t="inlineStr">
        <is>
          <t>2.4</t>
        </is>
      </c>
      <c r="F48" s="3" t="inlineStr">
        <is>
          <t>1.9</t>
        </is>
      </c>
      <c r="G48" s="3" t="inlineStr">
        <is>
          <t>-.-</t>
        </is>
      </c>
      <c r="H48" s="3" t="inlineStr">
        <is>
          <t>KOMURCULER-DOSEMEALTI (ANTALYA)</t>
        </is>
      </c>
      <c r="I48" s="3">
        <f>HYPERLINK("https://www.openstreetmap.org/?mlat=37.0913&amp;mlon=30.5980&amp;zoom=9","Haritada Gör")</f>
        <v/>
      </c>
    </row>
    <row r="49">
      <c r="A49" s="3" t="inlineStr">
        <is>
          <t>2025.05.22</t>
        </is>
      </c>
      <c r="B49" s="3" t="inlineStr">
        <is>
          <t>19:36:17</t>
        </is>
      </c>
      <c r="C49" s="3" t="inlineStr">
        <is>
          <t>39.6365</t>
        </is>
      </c>
      <c r="D49" s="3" t="inlineStr">
        <is>
          <t>38.2225</t>
        </is>
      </c>
      <c r="E49" s="3" t="inlineStr">
        <is>
          <t>5.0</t>
        </is>
      </c>
      <c r="F49" s="3" t="inlineStr">
        <is>
          <t>2.1</t>
        </is>
      </c>
      <c r="G49" s="3" t="inlineStr">
        <is>
          <t>-.-</t>
        </is>
      </c>
      <c r="H49" s="3" t="inlineStr">
        <is>
          <t>ORTAKDARACIK-IMRANLI (SIVAS)</t>
        </is>
      </c>
      <c r="I49" s="3">
        <f>HYPERLINK("https://www.openstreetmap.org/?mlat=39.6365&amp;mlon=38.2225&amp;zoom=9","Haritada Gör")</f>
        <v/>
      </c>
    </row>
    <row r="50">
      <c r="A50" s="3" t="inlineStr">
        <is>
          <t>2025.05.22</t>
        </is>
      </c>
      <c r="B50" s="3" t="inlineStr">
        <is>
          <t>19:21:21</t>
        </is>
      </c>
      <c r="C50" s="3" t="inlineStr">
        <is>
          <t>37.6378</t>
        </is>
      </c>
      <c r="D50" s="3" t="inlineStr">
        <is>
          <t>35.9365</t>
        </is>
      </c>
      <c r="E50" s="3" t="inlineStr">
        <is>
          <t>11.4</t>
        </is>
      </c>
      <c r="F50" s="3" t="inlineStr">
        <is>
          <t>2.2</t>
        </is>
      </c>
      <c r="G50" s="3" t="inlineStr">
        <is>
          <t>-.-</t>
        </is>
      </c>
      <c r="H50" s="3" t="inlineStr">
        <is>
          <t>CURUKLU-KOZAN (ADANA)</t>
        </is>
      </c>
      <c r="I50" s="3">
        <f>HYPERLINK("https://www.openstreetmap.org/?mlat=37.6378&amp;mlon=35.9365&amp;zoom=9","Haritada Gör")</f>
        <v/>
      </c>
    </row>
    <row r="51">
      <c r="A51" s="3" t="inlineStr">
        <is>
          <t>2025.05.22</t>
        </is>
      </c>
      <c r="B51" s="3" t="inlineStr">
        <is>
          <t>19:20:46</t>
        </is>
      </c>
      <c r="C51" s="3" t="inlineStr">
        <is>
          <t>37.6658</t>
        </is>
      </c>
      <c r="D51" s="3" t="inlineStr">
        <is>
          <t>35.9595</t>
        </is>
      </c>
      <c r="E51" s="3" t="inlineStr">
        <is>
          <t>1.9</t>
        </is>
      </c>
      <c r="F51" s="3" t="inlineStr">
        <is>
          <t>2.4</t>
        </is>
      </c>
      <c r="G51" s="3" t="inlineStr">
        <is>
          <t>-.-</t>
        </is>
      </c>
      <c r="H51" s="3" t="inlineStr">
        <is>
          <t>CURUKLU-KOZAN (ADANA)</t>
        </is>
      </c>
      <c r="I51" s="3">
        <f>HYPERLINK("https://www.openstreetmap.org/?mlat=37.6658&amp;mlon=35.9595&amp;zoom=9","Haritada Gör")</f>
        <v/>
      </c>
    </row>
    <row r="52">
      <c r="A52" s="3" t="inlineStr">
        <is>
          <t>2025.05.22</t>
        </is>
      </c>
      <c r="B52" s="3" t="inlineStr">
        <is>
          <t>19:19:25</t>
        </is>
      </c>
      <c r="C52" s="3" t="inlineStr">
        <is>
          <t>37.6557</t>
        </is>
      </c>
      <c r="D52" s="3" t="inlineStr">
        <is>
          <t>35.9508</t>
        </is>
      </c>
      <c r="E52" s="3" t="inlineStr">
        <is>
          <t>2.6</t>
        </is>
      </c>
      <c r="F52" s="3" t="inlineStr">
        <is>
          <t>2.4</t>
        </is>
      </c>
      <c r="G52" s="3" t="inlineStr">
        <is>
          <t>-.-</t>
        </is>
      </c>
      <c r="H52" s="3" t="inlineStr">
        <is>
          <t>CURUKLU-KOZAN (ADANA)</t>
        </is>
      </c>
      <c r="I52" s="3">
        <f>HYPERLINK("https://www.openstreetmap.org/?mlat=37.6557&amp;mlon=35.9508&amp;zoom=9","Haritada Gör")</f>
        <v/>
      </c>
    </row>
    <row r="53">
      <c r="A53" s="3" t="inlineStr">
        <is>
          <t>2025.05.22</t>
        </is>
      </c>
      <c r="B53" s="3" t="inlineStr">
        <is>
          <t>18:41:51</t>
        </is>
      </c>
      <c r="C53" s="3" t="inlineStr">
        <is>
          <t>38.8440</t>
        </is>
      </c>
      <c r="D53" s="3" t="inlineStr">
        <is>
          <t>26.7853</t>
        </is>
      </c>
      <c r="E53" s="3" t="inlineStr">
        <is>
          <t>12.1</t>
        </is>
      </c>
      <c r="F53" s="3" t="inlineStr">
        <is>
          <t>2.6</t>
        </is>
      </c>
      <c r="G53" s="3" t="inlineStr">
        <is>
          <t>-.-</t>
        </is>
      </c>
      <c r="H53" s="3" t="inlineStr">
        <is>
          <t>CANDARLI KORFEZI (EGE DENIZI)</t>
        </is>
      </c>
      <c r="I53" s="3">
        <f>HYPERLINK("https://www.openstreetmap.org/?mlat=38.8440&amp;mlon=26.7853&amp;zoom=9","Haritada Gör")</f>
        <v/>
      </c>
    </row>
    <row r="54">
      <c r="A54" s="3" t="inlineStr">
        <is>
          <t>2025.05.22</t>
        </is>
      </c>
      <c r="B54" s="3" t="inlineStr">
        <is>
          <t>18:40:10</t>
        </is>
      </c>
      <c r="C54" s="3" t="inlineStr">
        <is>
          <t>36.6607</t>
        </is>
      </c>
      <c r="D54" s="3" t="inlineStr">
        <is>
          <t>25.6365</t>
        </is>
      </c>
      <c r="E54" s="3" t="inlineStr">
        <is>
          <t>7.5</t>
        </is>
      </c>
      <c r="F54" s="3" t="inlineStr">
        <is>
          <t>2.0</t>
        </is>
      </c>
      <c r="G54" s="3" t="inlineStr">
        <is>
          <t>-.-</t>
        </is>
      </c>
      <c r="H54" s="3" t="inlineStr">
        <is>
          <t>EGE DENIZI</t>
        </is>
      </c>
      <c r="I54" s="3">
        <f>HYPERLINK("https://www.openstreetmap.org/?mlat=36.6607&amp;mlon=25.6365&amp;zoom=9","Haritada Gör")</f>
        <v/>
      </c>
    </row>
    <row r="55">
      <c r="A55" s="3" t="inlineStr">
        <is>
          <t>2025.05.22</t>
        </is>
      </c>
      <c r="B55" s="3" t="inlineStr">
        <is>
          <t>18:39:18</t>
        </is>
      </c>
      <c r="C55" s="3" t="inlineStr">
        <is>
          <t>37.6698</t>
        </is>
      </c>
      <c r="D55" s="3" t="inlineStr">
        <is>
          <t>35.9545</t>
        </is>
      </c>
      <c r="E55" s="3" t="inlineStr">
        <is>
          <t>13.4</t>
        </is>
      </c>
      <c r="F55" s="3" t="inlineStr">
        <is>
          <t>1.6</t>
        </is>
      </c>
      <c r="G55" s="3" t="inlineStr">
        <is>
          <t>-.-</t>
        </is>
      </c>
      <c r="H55" s="3" t="inlineStr">
        <is>
          <t>KUYUBELI-KOZAN (ADANA)</t>
        </is>
      </c>
      <c r="I55" s="3">
        <f>HYPERLINK("https://www.openstreetmap.org/?mlat=37.6698&amp;mlon=35.9545&amp;zoom=9","Haritada Gör")</f>
        <v/>
      </c>
    </row>
    <row r="56">
      <c r="A56" s="3" t="inlineStr">
        <is>
          <t>2025.05.22</t>
        </is>
      </c>
      <c r="B56" s="3" t="inlineStr">
        <is>
          <t>18:27:26</t>
        </is>
      </c>
      <c r="C56" s="3" t="inlineStr">
        <is>
          <t>39.5053</t>
        </is>
      </c>
      <c r="D56" s="3" t="inlineStr">
        <is>
          <t>28.1700</t>
        </is>
      </c>
      <c r="E56" s="3" t="inlineStr">
        <is>
          <t>15.7</t>
        </is>
      </c>
      <c r="F56" s="3" t="inlineStr">
        <is>
          <t>1.7</t>
        </is>
      </c>
      <c r="G56" s="3" t="inlineStr">
        <is>
          <t>-.-</t>
        </is>
      </c>
      <c r="H56" s="3" t="inlineStr">
        <is>
          <t>ISKELE-BIGADIC (BALIKESIR)</t>
        </is>
      </c>
      <c r="I56" s="3">
        <f>HYPERLINK("https://www.openstreetmap.org/?mlat=39.5053&amp;mlon=28.1700&amp;zoom=9","Haritada Gör")</f>
        <v/>
      </c>
    </row>
    <row r="57">
      <c r="A57" s="3" t="inlineStr">
        <is>
          <t>2025.05.22</t>
        </is>
      </c>
      <c r="B57" s="3" t="inlineStr">
        <is>
          <t>18:24:33</t>
        </is>
      </c>
      <c r="C57" s="3" t="inlineStr">
        <is>
          <t>39.5020</t>
        </is>
      </c>
      <c r="D57" s="3" t="inlineStr">
        <is>
          <t>28.1538</t>
        </is>
      </c>
      <c r="E57" s="3" t="inlineStr">
        <is>
          <t>7.9</t>
        </is>
      </c>
      <c r="F57" s="3" t="inlineStr">
        <is>
          <t>1.5</t>
        </is>
      </c>
      <c r="G57" s="3" t="inlineStr">
        <is>
          <t>-.-</t>
        </is>
      </c>
      <c r="H57" s="3" t="inlineStr">
        <is>
          <t>ISKELE-BIGADIC (BALIKESIR)</t>
        </is>
      </c>
      <c r="I57" s="3">
        <f>HYPERLINK("https://www.openstreetmap.org/?mlat=39.5020&amp;mlon=28.1538&amp;zoom=9","Haritada Gör")</f>
        <v/>
      </c>
    </row>
    <row r="58">
      <c r="A58" s="3" t="inlineStr">
        <is>
          <t>2025.05.22</t>
        </is>
      </c>
      <c r="B58" s="3" t="inlineStr">
        <is>
          <t>17:47:25</t>
        </is>
      </c>
      <c r="C58" s="3" t="inlineStr">
        <is>
          <t>35.7917</t>
        </is>
      </c>
      <c r="D58" s="3" t="inlineStr">
        <is>
          <t>25.5195</t>
        </is>
      </c>
      <c r="E58" s="3" t="inlineStr">
        <is>
          <t>10.2</t>
        </is>
      </c>
      <c r="F58" s="3" t="inlineStr">
        <is>
          <t>2.5</t>
        </is>
      </c>
      <c r="G58" s="3" t="inlineStr">
        <is>
          <t>-.-</t>
        </is>
      </c>
      <c r="H58" s="3" t="inlineStr">
        <is>
          <t>EGE DENIZI</t>
        </is>
      </c>
      <c r="I58" s="3">
        <f>HYPERLINK("https://www.openstreetmap.org/?mlat=35.7917&amp;mlon=25.5195&amp;zoom=9","Haritada Gör")</f>
        <v/>
      </c>
    </row>
    <row r="59">
      <c r="A59" s="3" t="inlineStr">
        <is>
          <t>2025.05.22</t>
        </is>
      </c>
      <c r="B59" s="3" t="inlineStr">
        <is>
          <t>16:26:12</t>
        </is>
      </c>
      <c r="C59" s="3" t="inlineStr">
        <is>
          <t>40.8392</t>
        </is>
      </c>
      <c r="D59" s="3" t="inlineStr">
        <is>
          <t>28.7957</t>
        </is>
      </c>
      <c r="E59" s="3" t="inlineStr">
        <is>
          <t>17.1</t>
        </is>
      </c>
      <c r="F59" s="3" t="inlineStr">
        <is>
          <t>1.4</t>
        </is>
      </c>
      <c r="G59" s="3" t="inlineStr">
        <is>
          <t>-.-</t>
        </is>
      </c>
      <c r="H59" s="3" t="inlineStr">
        <is>
          <t>MARMARA DENIZI</t>
        </is>
      </c>
      <c r="I59" s="3">
        <f>HYPERLINK("https://www.openstreetmap.org/?mlat=40.8392&amp;mlon=28.7957&amp;zoom=9","Haritada Gör")</f>
        <v/>
      </c>
    </row>
    <row r="60">
      <c r="A60" s="3" t="inlineStr">
        <is>
          <t>2025.05.22</t>
        </is>
      </c>
      <c r="B60" s="3" t="inlineStr">
        <is>
          <t>16:21:51</t>
        </is>
      </c>
      <c r="C60" s="3" t="inlineStr">
        <is>
          <t>40.8395</t>
        </is>
      </c>
      <c r="D60" s="3" t="inlineStr">
        <is>
          <t>28.7842</t>
        </is>
      </c>
      <c r="E60" s="3" t="inlineStr">
        <is>
          <t>16.5</t>
        </is>
      </c>
      <c r="F60" s="3" t="inlineStr">
        <is>
          <t>1.4</t>
        </is>
      </c>
      <c r="G60" s="3" t="inlineStr">
        <is>
          <t>-.-</t>
        </is>
      </c>
      <c r="H60" s="3" t="inlineStr">
        <is>
          <t>AVCILAR ACIKLARI-ISTANBUL (MARMARA DENIZI)</t>
        </is>
      </c>
      <c r="I60" s="3">
        <f>HYPERLINK("https://www.openstreetmap.org/?mlat=40.8395&amp;mlon=28.7842&amp;zoom=9","Haritada Gör")</f>
        <v/>
      </c>
    </row>
    <row r="61">
      <c r="A61" s="3" t="inlineStr">
        <is>
          <t>2025.05.22</t>
        </is>
      </c>
      <c r="B61" s="3" t="inlineStr">
        <is>
          <t>16:01:48</t>
        </is>
      </c>
      <c r="C61" s="3" t="inlineStr">
        <is>
          <t>40.8397</t>
        </is>
      </c>
      <c r="D61" s="3" t="inlineStr">
        <is>
          <t>28.7803</t>
        </is>
      </c>
      <c r="E61" s="3" t="inlineStr">
        <is>
          <t>11.9</t>
        </is>
      </c>
      <c r="F61" s="3" t="inlineStr">
        <is>
          <t>1.5</t>
        </is>
      </c>
      <c r="G61" s="3" t="inlineStr">
        <is>
          <t>-.-</t>
        </is>
      </c>
      <c r="H61" s="3" t="inlineStr">
        <is>
          <t>AVCILAR ACIKLARI-ISTANBUL (MARMARA DENIZI)</t>
        </is>
      </c>
      <c r="I61" s="3">
        <f>HYPERLINK("https://www.openstreetmap.org/?mlat=40.8397&amp;mlon=28.7803&amp;zoom=9","Haritada Gör")</f>
        <v/>
      </c>
    </row>
    <row r="62">
      <c r="A62" s="3" t="inlineStr">
        <is>
          <t>2025.05.22</t>
        </is>
      </c>
      <c r="B62" s="3" t="inlineStr">
        <is>
          <t>15:55:33</t>
        </is>
      </c>
      <c r="C62" s="3" t="inlineStr">
        <is>
          <t>36.4312</t>
        </is>
      </c>
      <c r="D62" s="3" t="inlineStr">
        <is>
          <t>33.5645</t>
        </is>
      </c>
      <c r="E62" s="3" t="inlineStr">
        <is>
          <t>0.0</t>
        </is>
      </c>
      <c r="F62" s="3" t="inlineStr">
        <is>
          <t>1.5</t>
        </is>
      </c>
      <c r="G62" s="3" t="inlineStr">
        <is>
          <t>-.-</t>
        </is>
      </c>
      <c r="H62" s="3" t="inlineStr">
        <is>
          <t>NURIKOY-SILIFKE (MERSIN)</t>
        </is>
      </c>
      <c r="I62" s="3">
        <f>HYPERLINK("https://www.openstreetmap.org/?mlat=36.4312&amp;mlon=33.5645&amp;zoom=9","Haritada Gör")</f>
        <v/>
      </c>
    </row>
    <row r="63">
      <c r="A63" s="3" t="inlineStr">
        <is>
          <t>2025.05.22</t>
        </is>
      </c>
      <c r="B63" s="3" t="inlineStr">
        <is>
          <t>14:51:06</t>
        </is>
      </c>
      <c r="C63" s="3" t="inlineStr">
        <is>
          <t>39.0595</t>
        </is>
      </c>
      <c r="D63" s="3" t="inlineStr">
        <is>
          <t>30.1832</t>
        </is>
      </c>
      <c r="E63" s="3" t="inlineStr">
        <is>
          <t>8.6</t>
        </is>
      </c>
      <c r="F63" s="3" t="inlineStr">
        <is>
          <t>2.4</t>
        </is>
      </c>
      <c r="G63" s="3" t="inlineStr">
        <is>
          <t>-.-</t>
        </is>
      </c>
      <c r="H63" s="3" t="inlineStr">
        <is>
          <t>MERKEZ-ALTINTAS (KUTAHYA)</t>
        </is>
      </c>
      <c r="I63" s="3">
        <f>HYPERLINK("https://www.openstreetmap.org/?mlat=39.0595&amp;mlon=30.1832&amp;zoom=9","Haritada Gör")</f>
        <v/>
      </c>
    </row>
    <row r="64">
      <c r="A64" s="3" t="inlineStr">
        <is>
          <t>2025.05.22</t>
        </is>
      </c>
      <c r="B64" s="3" t="inlineStr">
        <is>
          <t>14:21:20</t>
        </is>
      </c>
      <c r="C64" s="3" t="inlineStr">
        <is>
          <t>38.0428</t>
        </is>
      </c>
      <c r="D64" s="3" t="inlineStr">
        <is>
          <t>36.4395</t>
        </is>
      </c>
      <c r="E64" s="3" t="inlineStr">
        <is>
          <t>8.5</t>
        </is>
      </c>
      <c r="F64" s="3" t="inlineStr">
        <is>
          <t>1.8</t>
        </is>
      </c>
      <c r="G64" s="3" t="inlineStr">
        <is>
          <t>-.-</t>
        </is>
      </c>
      <c r="H64" s="3" t="inlineStr">
        <is>
          <t>CAGLAYAN-GOKSUN (KAHRAMANMARAS)</t>
        </is>
      </c>
      <c r="I64" s="3">
        <f>HYPERLINK("https://www.openstreetmap.org/?mlat=38.0428&amp;mlon=36.4395&amp;zoom=9","Haritada Gör")</f>
        <v/>
      </c>
    </row>
    <row r="65">
      <c r="A65" s="3" t="inlineStr">
        <is>
          <t>2025.05.22</t>
        </is>
      </c>
      <c r="B65" s="3" t="inlineStr">
        <is>
          <t>13:55:14</t>
        </is>
      </c>
      <c r="C65" s="3" t="inlineStr">
        <is>
          <t>40.8133</t>
        </is>
      </c>
      <c r="D65" s="3" t="inlineStr">
        <is>
          <t>30.9627</t>
        </is>
      </c>
      <c r="E65" s="3" t="inlineStr">
        <is>
          <t>16.6</t>
        </is>
      </c>
      <c r="F65" s="3" t="inlineStr">
        <is>
          <t>1.7</t>
        </is>
      </c>
      <c r="G65" s="3" t="inlineStr">
        <is>
          <t>-.-</t>
        </is>
      </c>
      <c r="H65" s="3" t="inlineStr">
        <is>
          <t>YILDIZTEPE-GUMUSOVA (DUZCE)</t>
        </is>
      </c>
      <c r="I65" s="3">
        <f>HYPERLINK("https://www.openstreetmap.org/?mlat=40.8133&amp;mlon=30.9627&amp;zoom=9","Haritada Gör")</f>
        <v/>
      </c>
    </row>
    <row r="66">
      <c r="A66" s="3" t="inlineStr">
        <is>
          <t>2025.05.22</t>
        </is>
      </c>
      <c r="B66" s="3" t="inlineStr">
        <is>
          <t>13:04:56</t>
        </is>
      </c>
      <c r="C66" s="3" t="inlineStr">
        <is>
          <t>36.7045</t>
        </is>
      </c>
      <c r="D66" s="3" t="inlineStr">
        <is>
          <t>36.1603</t>
        </is>
      </c>
      <c r="E66" s="3" t="inlineStr">
        <is>
          <t>20.2</t>
        </is>
      </c>
      <c r="F66" s="3" t="inlineStr">
        <is>
          <t>1.9</t>
        </is>
      </c>
      <c r="G66" s="3" t="inlineStr">
        <is>
          <t>-.-</t>
        </is>
      </c>
      <c r="H66" s="3" t="inlineStr">
        <is>
          <t>AZGANLIK-ISKENDERUN (HATAY)</t>
        </is>
      </c>
      <c r="I66" s="3">
        <f>HYPERLINK("https://www.openstreetmap.org/?mlat=36.7045&amp;mlon=36.1603&amp;zoom=9","Haritada Gör")</f>
        <v/>
      </c>
    </row>
    <row r="67">
      <c r="A67" s="3" t="inlineStr">
        <is>
          <t>2025.05.22</t>
        </is>
      </c>
      <c r="B67" s="3" t="inlineStr">
        <is>
          <t>12:57:11</t>
        </is>
      </c>
      <c r="C67" s="3" t="inlineStr">
        <is>
          <t>39.2363</t>
        </is>
      </c>
      <c r="D67" s="3" t="inlineStr">
        <is>
          <t>28.9618</t>
        </is>
      </c>
      <c r="E67" s="3" t="inlineStr">
        <is>
          <t>14.4</t>
        </is>
      </c>
      <c r="F67" s="3" t="inlineStr">
        <is>
          <t>2.0</t>
        </is>
      </c>
      <c r="G67" s="3" t="inlineStr">
        <is>
          <t>-.-</t>
        </is>
      </c>
      <c r="H67" s="3" t="inlineStr">
        <is>
          <t>YEMISLI-SIMAV (KUTAHYA)</t>
        </is>
      </c>
      <c r="I67" s="3">
        <f>HYPERLINK("https://www.openstreetmap.org/?mlat=39.2363&amp;mlon=28.9618&amp;zoom=9","Haritada Gör")</f>
        <v/>
      </c>
    </row>
    <row r="68">
      <c r="A68" s="3" t="inlineStr">
        <is>
          <t>2025.05.22</t>
        </is>
      </c>
      <c r="B68" s="3" t="inlineStr">
        <is>
          <t>12:28:00</t>
        </is>
      </c>
      <c r="C68" s="3" t="inlineStr">
        <is>
          <t>38.1987</t>
        </is>
      </c>
      <c r="D68" s="3" t="inlineStr">
        <is>
          <t>38.5790</t>
        </is>
      </c>
      <c r="E68" s="3" t="inlineStr">
        <is>
          <t>14.1</t>
        </is>
      </c>
      <c r="F68" s="3" t="inlineStr">
        <is>
          <t>2.2</t>
        </is>
      </c>
      <c r="G68" s="3" t="inlineStr">
        <is>
          <t>-.-</t>
        </is>
      </c>
      <c r="H68" s="3" t="inlineStr">
        <is>
          <t>SOGUTLU-PUTURGE (MALATYA)</t>
        </is>
      </c>
      <c r="I68" s="3">
        <f>HYPERLINK("https://www.openstreetmap.org/?mlat=38.1987&amp;mlon=38.5790&amp;zoom=9","Haritada Gör")</f>
        <v/>
      </c>
    </row>
    <row r="69">
      <c r="A69" s="3" t="inlineStr">
        <is>
          <t>2025.05.22</t>
        </is>
      </c>
      <c r="B69" s="3" t="inlineStr">
        <is>
          <t>12:26:43</t>
        </is>
      </c>
      <c r="C69" s="3" t="inlineStr">
        <is>
          <t>39.2770</t>
        </is>
      </c>
      <c r="D69" s="3" t="inlineStr">
        <is>
          <t>28.9533</t>
        </is>
      </c>
      <c r="E69" s="3" t="inlineStr">
        <is>
          <t>9.8</t>
        </is>
      </c>
      <c r="F69" s="3" t="inlineStr">
        <is>
          <t>2.0</t>
        </is>
      </c>
      <c r="G69" s="3" t="inlineStr">
        <is>
          <t>-.-</t>
        </is>
      </c>
      <c r="H69" s="3" t="inlineStr">
        <is>
          <t>KARAKOCA-SIMAV (KUTAHYA)</t>
        </is>
      </c>
      <c r="I69" s="3">
        <f>HYPERLINK("https://www.openstreetmap.org/?mlat=39.2770&amp;mlon=28.9533&amp;zoom=9","Haritada Gör")</f>
        <v/>
      </c>
    </row>
    <row r="70">
      <c r="A70" s="3" t="inlineStr">
        <is>
          <t>2025.05.22</t>
        </is>
      </c>
      <c r="B70" s="3" t="inlineStr">
        <is>
          <t>12:18:33</t>
        </is>
      </c>
      <c r="C70" s="3" t="inlineStr">
        <is>
          <t>37.1472</t>
        </is>
      </c>
      <c r="D70" s="3" t="inlineStr">
        <is>
          <t>27.8937</t>
        </is>
      </c>
      <c r="E70" s="3" t="inlineStr">
        <is>
          <t>0.0</t>
        </is>
      </c>
      <c r="F70" s="3" t="inlineStr">
        <is>
          <t>1.6</t>
        </is>
      </c>
      <c r="G70" s="3" t="inlineStr">
        <is>
          <t>-.-</t>
        </is>
      </c>
      <c r="H70" s="3" t="inlineStr">
        <is>
          <t>BAGDAMLARI-MILAS (MUGLA)</t>
        </is>
      </c>
      <c r="I70" s="3">
        <f>HYPERLINK("https://www.openstreetmap.org/?mlat=37.1472&amp;mlon=27.8937&amp;zoom=9","Haritada Gör")</f>
        <v/>
      </c>
    </row>
    <row r="71">
      <c r="A71" s="3" t="inlineStr">
        <is>
          <t>2025.05.22</t>
        </is>
      </c>
      <c r="B71" s="3" t="inlineStr">
        <is>
          <t>12:02:07</t>
        </is>
      </c>
      <c r="C71" s="3" t="inlineStr">
        <is>
          <t>38.2023</t>
        </is>
      </c>
      <c r="D71" s="3" t="inlineStr">
        <is>
          <t>38.5757</t>
        </is>
      </c>
      <c r="E71" s="3" t="inlineStr">
        <is>
          <t>6.3</t>
        </is>
      </c>
      <c r="F71" s="3" t="inlineStr">
        <is>
          <t>2.0</t>
        </is>
      </c>
      <c r="G71" s="3" t="inlineStr">
        <is>
          <t>-.-</t>
        </is>
      </c>
      <c r="H71" s="3" t="inlineStr">
        <is>
          <t>SOGUTLU-PUTURGE (MALATYA)</t>
        </is>
      </c>
      <c r="I71" s="3">
        <f>HYPERLINK("https://www.openstreetmap.org/?mlat=38.2023&amp;mlon=38.5757&amp;zoom=9","Haritada Gör")</f>
        <v/>
      </c>
    </row>
    <row r="72">
      <c r="A72" s="3" t="inlineStr">
        <is>
          <t>2025.05.22</t>
        </is>
      </c>
      <c r="B72" s="3" t="inlineStr">
        <is>
          <t>11:33:18</t>
        </is>
      </c>
      <c r="C72" s="3" t="inlineStr">
        <is>
          <t>39.8895</t>
        </is>
      </c>
      <c r="D72" s="3" t="inlineStr">
        <is>
          <t>40.1373</t>
        </is>
      </c>
      <c r="E72" s="3" t="inlineStr">
        <is>
          <t>22.1</t>
        </is>
      </c>
      <c r="F72" s="3" t="inlineStr">
        <is>
          <t>2.2</t>
        </is>
      </c>
      <c r="G72" s="3" t="inlineStr">
        <is>
          <t>-.-</t>
        </is>
      </c>
      <c r="H72" s="3" t="inlineStr">
        <is>
          <t>ORTACAT-CAYIRLI (ERZINCAN)</t>
        </is>
      </c>
      <c r="I72" s="3">
        <f>HYPERLINK("https://www.openstreetmap.org/?mlat=39.8895&amp;mlon=40.1373&amp;zoom=9","Haritada Gör")</f>
        <v/>
      </c>
    </row>
    <row r="73">
      <c r="A73" s="3" t="inlineStr">
        <is>
          <t>2025.05.22</t>
        </is>
      </c>
      <c r="B73" s="3" t="inlineStr">
        <is>
          <t>11:31:01</t>
        </is>
      </c>
      <c r="C73" s="3" t="inlineStr">
        <is>
          <t>39.8857</t>
        </is>
      </c>
      <c r="D73" s="3" t="inlineStr">
        <is>
          <t>40.1362</t>
        </is>
      </c>
      <c r="E73" s="3" t="inlineStr">
        <is>
          <t>21.1</t>
        </is>
      </c>
      <c r="F73" s="3" t="inlineStr">
        <is>
          <t>2.2</t>
        </is>
      </c>
      <c r="G73" s="3" t="inlineStr">
        <is>
          <t>-.-</t>
        </is>
      </c>
      <c r="H73" s="3" t="inlineStr">
        <is>
          <t>YUREKLI-CAYIRLI (ERZINCAN)</t>
        </is>
      </c>
      <c r="I73" s="3">
        <f>HYPERLINK("https://www.openstreetmap.org/?mlat=39.8857&amp;mlon=40.1362&amp;zoom=9","Haritada Gör")</f>
        <v/>
      </c>
    </row>
    <row r="74">
      <c r="A74" s="3" t="inlineStr">
        <is>
          <t>2025.05.22</t>
        </is>
      </c>
      <c r="B74" s="3" t="inlineStr">
        <is>
          <t>10:51:33</t>
        </is>
      </c>
      <c r="C74" s="3" t="inlineStr">
        <is>
          <t>37.6802</t>
        </is>
      </c>
      <c r="D74" s="3" t="inlineStr">
        <is>
          <t>35.9903</t>
        </is>
      </c>
      <c r="E74" s="3" t="inlineStr">
        <is>
          <t>8.3</t>
        </is>
      </c>
      <c r="F74" s="3" t="inlineStr">
        <is>
          <t>2.0</t>
        </is>
      </c>
      <c r="G74" s="3" t="inlineStr">
        <is>
          <t>-.-</t>
        </is>
      </c>
      <c r="H74" s="3" t="inlineStr">
        <is>
          <t>KUYUBELI-KOZAN (ADANA)</t>
        </is>
      </c>
      <c r="I74" s="3">
        <f>HYPERLINK("https://www.openstreetmap.org/?mlat=37.6802&amp;mlon=35.9903&amp;zoom=9","Haritada Gör")</f>
        <v/>
      </c>
    </row>
    <row r="75">
      <c r="A75" s="4" t="inlineStr">
        <is>
          <t>2025.05.22</t>
        </is>
      </c>
      <c r="B75" s="4" t="inlineStr">
        <is>
          <t>10:49:41</t>
        </is>
      </c>
      <c r="C75" s="4" t="inlineStr">
        <is>
          <t>35.6963</t>
        </is>
      </c>
      <c r="D75" s="4" t="inlineStr">
        <is>
          <t>25.8300</t>
        </is>
      </c>
      <c r="E75" s="4" t="inlineStr">
        <is>
          <t>72.9</t>
        </is>
      </c>
      <c r="F75" s="4" t="inlineStr">
        <is>
          <t>3.4</t>
        </is>
      </c>
      <c r="G75" s="4" t="inlineStr">
        <is>
          <t>3.1</t>
        </is>
      </c>
      <c r="H75" s="4" t="inlineStr">
        <is>
          <t>EGE DENIZI</t>
        </is>
      </c>
      <c r="I75" s="4">
        <f>HYPERLINK("https://www.openstreetmap.org/?mlat=35.6963&amp;mlon=25.8300&amp;zoom=9","Haritada Gör")</f>
        <v/>
      </c>
    </row>
    <row r="76">
      <c r="A76" s="4" t="inlineStr">
        <is>
          <t>2025.05.22</t>
        </is>
      </c>
      <c r="B76" s="4" t="inlineStr">
        <is>
          <t>10:06:21</t>
        </is>
      </c>
      <c r="C76" s="4" t="inlineStr">
        <is>
          <t>35.6503</t>
        </is>
      </c>
      <c r="D76" s="4" t="inlineStr">
        <is>
          <t>25.8078</t>
        </is>
      </c>
      <c r="E76" s="4" t="inlineStr">
        <is>
          <t>60.6</t>
        </is>
      </c>
      <c r="F76" s="4" t="inlineStr">
        <is>
          <t>3.1</t>
        </is>
      </c>
      <c r="G76" s="4" t="inlineStr">
        <is>
          <t>-.-</t>
        </is>
      </c>
      <c r="H76" s="4" t="inlineStr">
        <is>
          <t>GIRIT ADASI (AKDENIZ)</t>
        </is>
      </c>
      <c r="I76" s="4">
        <f>HYPERLINK("https://www.openstreetmap.org/?mlat=35.6503&amp;mlon=25.8078&amp;zoom=9","Haritada Gör")</f>
        <v/>
      </c>
    </row>
    <row r="77">
      <c r="A77" s="3" t="inlineStr">
        <is>
          <t>2025.05.22</t>
        </is>
      </c>
      <c r="B77" s="3" t="inlineStr">
        <is>
          <t>09:54:45</t>
        </is>
      </c>
      <c r="C77" s="3" t="inlineStr">
        <is>
          <t>41.0432</t>
        </is>
      </c>
      <c r="D77" s="3" t="inlineStr">
        <is>
          <t>39.6987</t>
        </is>
      </c>
      <c r="E77" s="3" t="inlineStr">
        <is>
          <t>20.4</t>
        </is>
      </c>
      <c r="F77" s="3" t="inlineStr">
        <is>
          <t>2.0</t>
        </is>
      </c>
      <c r="G77" s="3" t="inlineStr">
        <is>
          <t>-.-</t>
        </is>
      </c>
      <c r="H77" s="3" t="inlineStr">
        <is>
          <t>TRABZON (TRABZON)</t>
        </is>
      </c>
      <c r="I77" s="3">
        <f>HYPERLINK("https://www.openstreetmap.org/?mlat=41.0432&amp;mlon=39.6987&amp;zoom=9","Haritada Gör")</f>
        <v/>
      </c>
    </row>
    <row r="78">
      <c r="A78" s="4" t="inlineStr">
        <is>
          <t>2025.05.22</t>
        </is>
      </c>
      <c r="B78" s="4" t="inlineStr">
        <is>
          <t>09:53:11</t>
        </is>
      </c>
      <c r="C78" s="4" t="inlineStr">
        <is>
          <t>35.6677</t>
        </is>
      </c>
      <c r="D78" s="4" t="inlineStr">
        <is>
          <t>25.7738</t>
        </is>
      </c>
      <c r="E78" s="4" t="inlineStr">
        <is>
          <t>67.0</t>
        </is>
      </c>
      <c r="F78" s="4" t="inlineStr">
        <is>
          <t>3.5</t>
        </is>
      </c>
      <c r="G78" s="4" t="inlineStr">
        <is>
          <t>3.3</t>
        </is>
      </c>
      <c r="H78" s="4" t="inlineStr">
        <is>
          <t>EGE DENIZI</t>
        </is>
      </c>
      <c r="I78" s="4">
        <f>HYPERLINK("https://www.openstreetmap.org/?mlat=35.6677&amp;mlon=25.7738&amp;zoom=9","Haritada Gör")</f>
        <v/>
      </c>
    </row>
    <row r="79">
      <c r="A79" s="4" t="inlineStr">
        <is>
          <t>2025.05.22</t>
        </is>
      </c>
      <c r="B79" s="4" t="inlineStr">
        <is>
          <t>09:31:52</t>
        </is>
      </c>
      <c r="C79" s="4" t="inlineStr">
        <is>
          <t>35.7005</t>
        </is>
      </c>
      <c r="D79" s="4" t="inlineStr">
        <is>
          <t>25.8675</t>
        </is>
      </c>
      <c r="E79" s="4" t="inlineStr">
        <is>
          <t>75.2</t>
        </is>
      </c>
      <c r="F79" s="4" t="inlineStr">
        <is>
          <t>3.4</t>
        </is>
      </c>
      <c r="G79" s="4" t="inlineStr">
        <is>
          <t>-.-</t>
        </is>
      </c>
      <c r="H79" s="4" t="inlineStr">
        <is>
          <t>EGE DENIZI</t>
        </is>
      </c>
      <c r="I79" s="4">
        <f>HYPERLINK("https://www.openstreetmap.org/?mlat=35.7005&amp;mlon=25.8675&amp;zoom=9","Haritada Gör")</f>
        <v/>
      </c>
    </row>
    <row r="80">
      <c r="A80" s="3" t="inlineStr">
        <is>
          <t>2025.05.22</t>
        </is>
      </c>
      <c r="B80" s="3" t="inlineStr">
        <is>
          <t>09:06:00</t>
        </is>
      </c>
      <c r="C80" s="3" t="inlineStr">
        <is>
          <t>35.7118</t>
        </is>
      </c>
      <c r="D80" s="3" t="inlineStr">
        <is>
          <t>25.8887</t>
        </is>
      </c>
      <c r="E80" s="3" t="inlineStr">
        <is>
          <t>74.9</t>
        </is>
      </c>
      <c r="F80" s="3" t="inlineStr">
        <is>
          <t>2.7</t>
        </is>
      </c>
      <c r="G80" s="3" t="inlineStr">
        <is>
          <t>-.-</t>
        </is>
      </c>
      <c r="H80" s="3" t="inlineStr">
        <is>
          <t>EGE DENIZI</t>
        </is>
      </c>
      <c r="I80" s="3">
        <f>HYPERLINK("https://www.openstreetmap.org/?mlat=35.7118&amp;mlon=25.8887&amp;zoom=9","Haritada Gör")</f>
        <v/>
      </c>
    </row>
    <row r="81">
      <c r="A81" s="3" t="inlineStr">
        <is>
          <t>2025.05.22</t>
        </is>
      </c>
      <c r="B81" s="3" t="inlineStr">
        <is>
          <t>08:49:31</t>
        </is>
      </c>
      <c r="C81" s="3" t="inlineStr">
        <is>
          <t>40.4183</t>
        </is>
      </c>
      <c r="D81" s="3" t="inlineStr">
        <is>
          <t>29.0003</t>
        </is>
      </c>
      <c r="E81" s="3" t="inlineStr">
        <is>
          <t>5.3</t>
        </is>
      </c>
      <c r="F81" s="3" t="inlineStr">
        <is>
          <t>1.3</t>
        </is>
      </c>
      <c r="G81" s="3" t="inlineStr">
        <is>
          <t>-.-</t>
        </is>
      </c>
      <c r="H81" s="3" t="inlineStr">
        <is>
          <t>GEMLIK KORFEZI (MARMARA DENIZI)</t>
        </is>
      </c>
      <c r="I81" s="3">
        <f>HYPERLINK("https://www.openstreetmap.org/?mlat=40.4183&amp;mlon=29.0003&amp;zoom=9","Haritada Gör")</f>
        <v/>
      </c>
    </row>
    <row r="82">
      <c r="A82" s="3" t="inlineStr">
        <is>
          <t>2025.05.22</t>
        </is>
      </c>
      <c r="B82" s="3" t="inlineStr">
        <is>
          <t>08:46:44</t>
        </is>
      </c>
      <c r="C82" s="3" t="inlineStr">
        <is>
          <t>39.2517</t>
        </is>
      </c>
      <c r="D82" s="3" t="inlineStr">
        <is>
          <t>29.0042</t>
        </is>
      </c>
      <c r="E82" s="3" t="inlineStr">
        <is>
          <t>17.7</t>
        </is>
      </c>
      <c r="F82" s="3" t="inlineStr">
        <is>
          <t>1.5</t>
        </is>
      </c>
      <c r="G82" s="3" t="inlineStr">
        <is>
          <t>-.-</t>
        </is>
      </c>
      <c r="H82" s="3" t="inlineStr">
        <is>
          <t>YEMISLI-SIMAV (KUTAHYA)</t>
        </is>
      </c>
      <c r="I82" s="3">
        <f>HYPERLINK("https://www.openstreetmap.org/?mlat=39.2517&amp;mlon=29.0042&amp;zoom=9","Haritada Gör")</f>
        <v/>
      </c>
    </row>
    <row r="83">
      <c r="A83" s="3" t="inlineStr">
        <is>
          <t>2025.05.22</t>
        </is>
      </c>
      <c r="B83" s="3" t="inlineStr">
        <is>
          <t>08:14:48</t>
        </is>
      </c>
      <c r="C83" s="3" t="inlineStr">
        <is>
          <t>35.7117</t>
        </is>
      </c>
      <c r="D83" s="3" t="inlineStr">
        <is>
          <t>25.8472</t>
        </is>
      </c>
      <c r="E83" s="3" t="inlineStr">
        <is>
          <t>67.6</t>
        </is>
      </c>
      <c r="F83" s="3" t="inlineStr">
        <is>
          <t>2.5</t>
        </is>
      </c>
      <c r="G83" s="3" t="inlineStr">
        <is>
          <t>-.-</t>
        </is>
      </c>
      <c r="H83" s="3" t="inlineStr">
        <is>
          <t>EGE DENIZI</t>
        </is>
      </c>
      <c r="I83" s="3">
        <f>HYPERLINK("https://www.openstreetmap.org/?mlat=35.7117&amp;mlon=25.8472&amp;zoom=9","Haritada Gör")</f>
        <v/>
      </c>
    </row>
    <row r="84">
      <c r="A84" s="3" t="inlineStr">
        <is>
          <t>2025.05.22</t>
        </is>
      </c>
      <c r="B84" s="3" t="inlineStr">
        <is>
          <t>07:35:57</t>
        </is>
      </c>
      <c r="C84" s="3" t="inlineStr">
        <is>
          <t>35.7198</t>
        </is>
      </c>
      <c r="D84" s="3" t="inlineStr">
        <is>
          <t>25.8865</t>
        </is>
      </c>
      <c r="E84" s="3" t="inlineStr">
        <is>
          <t>82.7</t>
        </is>
      </c>
      <c r="F84" s="3" t="inlineStr">
        <is>
          <t>2.9</t>
        </is>
      </c>
      <c r="G84" s="3" t="inlineStr">
        <is>
          <t>-.-</t>
        </is>
      </c>
      <c r="H84" s="3" t="inlineStr">
        <is>
          <t>EGE DENIZI</t>
        </is>
      </c>
      <c r="I84" s="3">
        <f>HYPERLINK("https://www.openstreetmap.org/?mlat=35.7198&amp;mlon=25.8865&amp;zoom=9","Haritada Gör")</f>
        <v/>
      </c>
    </row>
    <row r="85">
      <c r="A85" s="3" t="inlineStr">
        <is>
          <t>2025.05.22</t>
        </is>
      </c>
      <c r="B85" s="3" t="inlineStr">
        <is>
          <t>07:32:11</t>
        </is>
      </c>
      <c r="C85" s="3" t="inlineStr">
        <is>
          <t>35.6815</t>
        </is>
      </c>
      <c r="D85" s="3" t="inlineStr">
        <is>
          <t>25.8258</t>
        </is>
      </c>
      <c r="E85" s="3" t="inlineStr">
        <is>
          <t>64.5</t>
        </is>
      </c>
      <c r="F85" s="3" t="inlineStr">
        <is>
          <t>2.8</t>
        </is>
      </c>
      <c r="G85" s="3" t="inlineStr">
        <is>
          <t>-.-</t>
        </is>
      </c>
      <c r="H85" s="3" t="inlineStr">
        <is>
          <t>EGE DENIZI</t>
        </is>
      </c>
      <c r="I85" s="3">
        <f>HYPERLINK("https://www.openstreetmap.org/?mlat=35.6815&amp;mlon=25.8258&amp;zoom=9","Haritada Gör")</f>
        <v/>
      </c>
    </row>
    <row r="86">
      <c r="A86" s="3" t="inlineStr">
        <is>
          <t>2025.05.22</t>
        </is>
      </c>
      <c r="B86" s="3" t="inlineStr">
        <is>
          <t>07:30:29</t>
        </is>
      </c>
      <c r="C86" s="3" t="inlineStr">
        <is>
          <t>37.3755</t>
        </is>
      </c>
      <c r="D86" s="3" t="inlineStr">
        <is>
          <t>37.1435</t>
        </is>
      </c>
      <c r="E86" s="3" t="inlineStr">
        <is>
          <t>9.8</t>
        </is>
      </c>
      <c r="F86" s="3" t="inlineStr">
        <is>
          <t>1.5</t>
        </is>
      </c>
      <c r="G86" s="3" t="inlineStr">
        <is>
          <t>-.-</t>
        </is>
      </c>
      <c r="H86" s="3" t="inlineStr">
        <is>
          <t>KADINCIK-PAZARCIK (KAHRAMANMARAS)</t>
        </is>
      </c>
      <c r="I86" s="3">
        <f>HYPERLINK("https://www.openstreetmap.org/?mlat=37.3755&amp;mlon=37.1435&amp;zoom=9","Haritada Gör")</f>
        <v/>
      </c>
    </row>
    <row r="87">
      <c r="A87" s="4" t="inlineStr">
        <is>
          <t>2025.05.22</t>
        </is>
      </c>
      <c r="B87" s="4" t="inlineStr">
        <is>
          <t>07:27:48</t>
        </is>
      </c>
      <c r="C87" s="4" t="inlineStr">
        <is>
          <t>35.7328</t>
        </is>
      </c>
      <c r="D87" s="4" t="inlineStr">
        <is>
          <t>25.9122</t>
        </is>
      </c>
      <c r="E87" s="4" t="inlineStr">
        <is>
          <t>66.8</t>
        </is>
      </c>
      <c r="F87" s="4" t="inlineStr">
        <is>
          <t>3.0</t>
        </is>
      </c>
      <c r="G87" s="4" t="inlineStr">
        <is>
          <t>-.-</t>
        </is>
      </c>
      <c r="H87" s="4" t="inlineStr">
        <is>
          <t>EGE DENIZI</t>
        </is>
      </c>
      <c r="I87" s="4">
        <f>HYPERLINK("https://www.openstreetmap.org/?mlat=35.7328&amp;mlon=25.9122&amp;zoom=9","Haritada Gör")</f>
        <v/>
      </c>
    </row>
    <row r="88">
      <c r="A88" s="3" t="inlineStr">
        <is>
          <t>2025.05.22</t>
        </is>
      </c>
      <c r="B88" s="3" t="inlineStr">
        <is>
          <t>07:19:39</t>
        </is>
      </c>
      <c r="C88" s="3" t="inlineStr">
        <is>
          <t>39.0928</t>
        </is>
      </c>
      <c r="D88" s="3" t="inlineStr">
        <is>
          <t>33.3027</t>
        </is>
      </c>
      <c r="E88" s="3" t="inlineStr">
        <is>
          <t>5.4</t>
        </is>
      </c>
      <c r="F88" s="3" t="inlineStr">
        <is>
          <t>1.4</t>
        </is>
      </c>
      <c r="G88" s="3" t="inlineStr">
        <is>
          <t>-.-</t>
        </is>
      </c>
      <c r="H88" s="3" t="inlineStr">
        <is>
          <t>AKIN-SEREFLIKOCHISAR (ANKARA)</t>
        </is>
      </c>
      <c r="I88" s="3">
        <f>HYPERLINK("https://www.openstreetmap.org/?mlat=39.0928&amp;mlon=33.3027&amp;zoom=9","Haritada Gör")</f>
        <v/>
      </c>
    </row>
    <row r="89">
      <c r="A89" s="4" t="inlineStr">
        <is>
          <t>2025.05.22</t>
        </is>
      </c>
      <c r="B89" s="4" t="inlineStr">
        <is>
          <t>07:19:27</t>
        </is>
      </c>
      <c r="C89" s="4" t="inlineStr">
        <is>
          <t>35.6917</t>
        </is>
      </c>
      <c r="D89" s="4" t="inlineStr">
        <is>
          <t>25.8593</t>
        </is>
      </c>
      <c r="E89" s="4" t="inlineStr">
        <is>
          <t>73.8</t>
        </is>
      </c>
      <c r="F89" s="4" t="inlineStr">
        <is>
          <t>3.4</t>
        </is>
      </c>
      <c r="G89" s="4" t="inlineStr">
        <is>
          <t>3.3</t>
        </is>
      </c>
      <c r="H89" s="4" t="inlineStr">
        <is>
          <t>EGE DENIZI</t>
        </is>
      </c>
      <c r="I89" s="4">
        <f>HYPERLINK("https://www.openstreetmap.org/?mlat=35.6917&amp;mlon=25.8593&amp;zoom=9","Haritada Gör")</f>
        <v/>
      </c>
    </row>
    <row r="90">
      <c r="A90" s="3" t="inlineStr">
        <is>
          <t>2025.05.22</t>
        </is>
      </c>
      <c r="B90" s="3" t="inlineStr">
        <is>
          <t>06:59:51</t>
        </is>
      </c>
      <c r="C90" s="3" t="inlineStr">
        <is>
          <t>39.2450</t>
        </is>
      </c>
      <c r="D90" s="3" t="inlineStr">
        <is>
          <t>28.9495</t>
        </is>
      </c>
      <c r="E90" s="3" t="inlineStr">
        <is>
          <t>11.7</t>
        </is>
      </c>
      <c r="F90" s="3" t="inlineStr">
        <is>
          <t>1.8</t>
        </is>
      </c>
      <c r="G90" s="3" t="inlineStr">
        <is>
          <t>-.-</t>
        </is>
      </c>
      <c r="H90" s="3" t="inlineStr">
        <is>
          <t>YENILER-SIMAV (KUTAHYA)</t>
        </is>
      </c>
      <c r="I90" s="3">
        <f>HYPERLINK("https://www.openstreetmap.org/?mlat=39.2450&amp;mlon=28.9495&amp;zoom=9","Haritada Gör")</f>
        <v/>
      </c>
    </row>
    <row r="91">
      <c r="A91" s="3" t="inlineStr">
        <is>
          <t>2025.05.22</t>
        </is>
      </c>
      <c r="B91" s="3" t="inlineStr">
        <is>
          <t>06:38:36</t>
        </is>
      </c>
      <c r="C91" s="3" t="inlineStr">
        <is>
          <t>35.7097</t>
        </is>
      </c>
      <c r="D91" s="3" t="inlineStr">
        <is>
          <t>25.8862</t>
        </is>
      </c>
      <c r="E91" s="3" t="inlineStr">
        <is>
          <t>69.3</t>
        </is>
      </c>
      <c r="F91" s="3" t="inlineStr">
        <is>
          <t>2.4</t>
        </is>
      </c>
      <c r="G91" s="3" t="inlineStr">
        <is>
          <t>-.-</t>
        </is>
      </c>
      <c r="H91" s="3" t="inlineStr">
        <is>
          <t>EGE DENIZI</t>
        </is>
      </c>
      <c r="I91" s="3">
        <f>HYPERLINK("https://www.openstreetmap.org/?mlat=35.7097&amp;mlon=25.8862&amp;zoom=9","Haritada Gör")</f>
        <v/>
      </c>
    </row>
    <row r="92">
      <c r="A92" s="4" t="inlineStr">
        <is>
          <t>2025.05.22</t>
        </is>
      </c>
      <c r="B92" s="4" t="inlineStr">
        <is>
          <t>06:38:01</t>
        </is>
      </c>
      <c r="C92" s="4" t="inlineStr">
        <is>
          <t>40.8292</t>
        </is>
      </c>
      <c r="D92" s="4" t="inlineStr">
        <is>
          <t>35.2090</t>
        </is>
      </c>
      <c r="E92" s="4" t="inlineStr">
        <is>
          <t>4.7</t>
        </is>
      </c>
      <c r="F92" s="4" t="inlineStr">
        <is>
          <t>3.1</t>
        </is>
      </c>
      <c r="G92" s="4" t="inlineStr">
        <is>
          <t>3.0</t>
        </is>
      </c>
      <c r="H92" s="4" t="inlineStr">
        <is>
          <t>CETMI-GUMUSHACIKOY (AMASYA)</t>
        </is>
      </c>
      <c r="I92" s="4">
        <f>HYPERLINK("https://www.openstreetmap.org/?mlat=40.8292&amp;mlon=35.2090&amp;zoom=9","Haritada Gör")</f>
        <v/>
      </c>
    </row>
    <row r="93">
      <c r="A93" s="3" t="inlineStr">
        <is>
          <t>2025.05.22</t>
        </is>
      </c>
      <c r="B93" s="3" t="inlineStr">
        <is>
          <t>06:34:24</t>
        </is>
      </c>
      <c r="C93" s="3" t="inlineStr">
        <is>
          <t>35.6925</t>
        </is>
      </c>
      <c r="D93" s="3" t="inlineStr">
        <is>
          <t>25.7942</t>
        </is>
      </c>
      <c r="E93" s="3" t="inlineStr">
        <is>
          <t>63.9</t>
        </is>
      </c>
      <c r="F93" s="3" t="inlineStr">
        <is>
          <t>2.9</t>
        </is>
      </c>
      <c r="G93" s="3" t="inlineStr">
        <is>
          <t>-.-</t>
        </is>
      </c>
      <c r="H93" s="3" t="inlineStr">
        <is>
          <t>EGE DENIZI</t>
        </is>
      </c>
      <c r="I93" s="3">
        <f>HYPERLINK("https://www.openstreetmap.org/?mlat=35.6925&amp;mlon=25.7942&amp;zoom=9","Haritada Gör")</f>
        <v/>
      </c>
    </row>
    <row r="94">
      <c r="A94" s="5" t="inlineStr">
        <is>
          <t>2025.05.22</t>
        </is>
      </c>
      <c r="B94" s="5" t="inlineStr">
        <is>
          <t>06:19:35</t>
        </is>
      </c>
      <c r="C94" s="5" t="inlineStr">
        <is>
          <t>35.7255</t>
        </is>
      </c>
      <c r="D94" s="5" t="inlineStr">
        <is>
          <t>25.8838</t>
        </is>
      </c>
      <c r="E94" s="5" t="inlineStr">
        <is>
          <t>73.3</t>
        </is>
      </c>
      <c r="F94" s="5" t="inlineStr">
        <is>
          <t>6.1</t>
        </is>
      </c>
      <c r="G94" s="5" t="inlineStr">
        <is>
          <t>6.0</t>
        </is>
      </c>
      <c r="H94" s="5" t="inlineStr">
        <is>
          <t>EGE DENIZI REVIZE01 (2025.05.22</t>
        </is>
      </c>
      <c r="I94" s="5">
        <f>HYPERLINK("https://www.openstreetmap.org/?mlat=35.7255&amp;mlon=25.8838&amp;zoom=9","Haritada Gör")</f>
        <v/>
      </c>
    </row>
    <row r="95">
      <c r="A95" s="3" t="inlineStr">
        <is>
          <t>2025.05.22</t>
        </is>
      </c>
      <c r="B95" s="3" t="inlineStr">
        <is>
          <t>05:57:28</t>
        </is>
      </c>
      <c r="C95" s="3" t="inlineStr">
        <is>
          <t>39.2493</t>
        </is>
      </c>
      <c r="D95" s="3" t="inlineStr">
        <is>
          <t>28.9612</t>
        </is>
      </c>
      <c r="E95" s="3" t="inlineStr">
        <is>
          <t>7.1</t>
        </is>
      </c>
      <c r="F95" s="3" t="inlineStr">
        <is>
          <t>2.1</t>
        </is>
      </c>
      <c r="G95" s="3" t="inlineStr">
        <is>
          <t>-.-</t>
        </is>
      </c>
      <c r="H95" s="3" t="inlineStr">
        <is>
          <t>YENILER-SIMAV (KUTAHYA)</t>
        </is>
      </c>
      <c r="I95" s="3">
        <f>HYPERLINK("https://www.openstreetmap.org/?mlat=39.2493&amp;mlon=28.9612&amp;zoom=9","Haritada Gör")</f>
        <v/>
      </c>
    </row>
    <row r="96">
      <c r="A96" s="3" t="inlineStr">
        <is>
          <t>2025.05.22</t>
        </is>
      </c>
      <c r="B96" s="3" t="inlineStr">
        <is>
          <t>05:57:11</t>
        </is>
      </c>
      <c r="C96" s="3" t="inlineStr">
        <is>
          <t>38.1885</t>
        </is>
      </c>
      <c r="D96" s="3" t="inlineStr">
        <is>
          <t>38.8375</t>
        </is>
      </c>
      <c r="E96" s="3" t="inlineStr">
        <is>
          <t>13.2</t>
        </is>
      </c>
      <c r="F96" s="3" t="inlineStr">
        <is>
          <t>1.6</t>
        </is>
      </c>
      <c r="G96" s="3" t="inlineStr">
        <is>
          <t>-.-</t>
        </is>
      </c>
      <c r="H96" s="3" t="inlineStr">
        <is>
          <t>TASMIS-PUTURGE (MALATYA)</t>
        </is>
      </c>
      <c r="I96" s="3">
        <f>HYPERLINK("https://www.openstreetmap.org/?mlat=38.1885&amp;mlon=38.8375&amp;zoom=9","Haritada Gör")</f>
        <v/>
      </c>
    </row>
    <row r="97">
      <c r="A97" s="3" t="inlineStr">
        <is>
          <t>2025.05.22</t>
        </is>
      </c>
      <c r="B97" s="3" t="inlineStr">
        <is>
          <t>05:09:24</t>
        </is>
      </c>
      <c r="C97" s="3" t="inlineStr">
        <is>
          <t>39.2418</t>
        </is>
      </c>
      <c r="D97" s="3" t="inlineStr">
        <is>
          <t>28.9728</t>
        </is>
      </c>
      <c r="E97" s="3" t="inlineStr">
        <is>
          <t>12.4</t>
        </is>
      </c>
      <c r="F97" s="3" t="inlineStr">
        <is>
          <t>1.6</t>
        </is>
      </c>
      <c r="G97" s="3" t="inlineStr">
        <is>
          <t>-.-</t>
        </is>
      </c>
      <c r="H97" s="3" t="inlineStr">
        <is>
          <t>YEMISLI-SIMAV (KUTAHYA)</t>
        </is>
      </c>
      <c r="I97" s="3">
        <f>HYPERLINK("https://www.openstreetmap.org/?mlat=39.2418&amp;mlon=28.9728&amp;zoom=9","Haritada Gör")</f>
        <v/>
      </c>
    </row>
    <row r="98">
      <c r="A98" s="3" t="inlineStr">
        <is>
          <t>2025.05.22</t>
        </is>
      </c>
      <c r="B98" s="3" t="inlineStr">
        <is>
          <t>05:02:31</t>
        </is>
      </c>
      <c r="C98" s="3" t="inlineStr">
        <is>
          <t>37.2125</t>
        </is>
      </c>
      <c r="D98" s="3" t="inlineStr">
        <is>
          <t>36.9248</t>
        </is>
      </c>
      <c r="E98" s="3" t="inlineStr">
        <is>
          <t>5.1</t>
        </is>
      </c>
      <c r="F98" s="3" t="inlineStr">
        <is>
          <t>1.7</t>
        </is>
      </c>
      <c r="G98" s="3" t="inlineStr">
        <is>
          <t>-.-</t>
        </is>
      </c>
      <c r="H98" s="3" t="inlineStr">
        <is>
          <t>NAIMLER-NURDAGI (GAZIANTEP)</t>
        </is>
      </c>
      <c r="I98" s="3">
        <f>HYPERLINK("https://www.openstreetmap.org/?mlat=37.2125&amp;mlon=36.9248&amp;zoom=9","Haritada Gör")</f>
        <v/>
      </c>
    </row>
    <row r="99">
      <c r="A99" s="3" t="inlineStr">
        <is>
          <t>2025.05.22</t>
        </is>
      </c>
      <c r="B99" s="3" t="inlineStr">
        <is>
          <t>04:54:02</t>
        </is>
      </c>
      <c r="C99" s="3" t="inlineStr">
        <is>
          <t>39.2195</t>
        </is>
      </c>
      <c r="D99" s="3" t="inlineStr">
        <is>
          <t>28.9175</t>
        </is>
      </c>
      <c r="E99" s="3" t="inlineStr">
        <is>
          <t>12.7</t>
        </is>
      </c>
      <c r="F99" s="3" t="inlineStr">
        <is>
          <t>1.3</t>
        </is>
      </c>
      <c r="G99" s="3" t="inlineStr">
        <is>
          <t>-.-</t>
        </is>
      </c>
      <c r="H99" s="3" t="inlineStr">
        <is>
          <t>KOYUNOBA-SIMAV (KUTAHYA)</t>
        </is>
      </c>
      <c r="I99" s="3">
        <f>HYPERLINK("https://www.openstreetmap.org/?mlat=39.2195&amp;mlon=28.9175&amp;zoom=9","Haritada Gör")</f>
        <v/>
      </c>
    </row>
    <row r="100">
      <c r="A100" s="3" t="inlineStr">
        <is>
          <t>2025.05.22</t>
        </is>
      </c>
      <c r="B100" s="3" t="inlineStr">
        <is>
          <t>04:38:44</t>
        </is>
      </c>
      <c r="C100" s="3" t="inlineStr">
        <is>
          <t>40.8532</t>
        </is>
      </c>
      <c r="D100" s="3" t="inlineStr">
        <is>
          <t>28.3255</t>
        </is>
      </c>
      <c r="E100" s="3" t="inlineStr">
        <is>
          <t>14.3</t>
        </is>
      </c>
      <c r="F100" s="3" t="inlineStr">
        <is>
          <t>1.7</t>
        </is>
      </c>
      <c r="G100" s="3" t="inlineStr">
        <is>
          <t>-.-</t>
        </is>
      </c>
      <c r="H100" s="3" t="inlineStr">
        <is>
          <t>MARMARA DENIZI</t>
        </is>
      </c>
      <c r="I100" s="3">
        <f>HYPERLINK("https://www.openstreetmap.org/?mlat=40.8532&amp;mlon=28.3255&amp;zoom=9","Haritada Gör")</f>
        <v/>
      </c>
    </row>
    <row r="101">
      <c r="A101" s="3" t="inlineStr">
        <is>
          <t>2025.05.22</t>
        </is>
      </c>
      <c r="B101" s="3" t="inlineStr">
        <is>
          <t>04:09:35</t>
        </is>
      </c>
      <c r="C101" s="3" t="inlineStr">
        <is>
          <t>39.1610</t>
        </is>
      </c>
      <c r="D101" s="3" t="inlineStr">
        <is>
          <t>28.3367</t>
        </is>
      </c>
      <c r="E101" s="3" t="inlineStr">
        <is>
          <t>13.3</t>
        </is>
      </c>
      <c r="F101" s="3" t="inlineStr">
        <is>
          <t>2.4</t>
        </is>
      </c>
      <c r="G101" s="3" t="inlineStr">
        <is>
          <t>-.-</t>
        </is>
      </c>
      <c r="H101" s="3" t="inlineStr">
        <is>
          <t>KUCUKDAGDERE-SINDIRGI (BALIKESIR)</t>
        </is>
      </c>
      <c r="I101" s="3">
        <f>HYPERLINK("https://www.openstreetmap.org/?mlat=39.1610&amp;mlon=28.3367&amp;zoom=9","Haritada Gör")</f>
        <v/>
      </c>
    </row>
    <row r="102">
      <c r="A102" s="3" t="inlineStr">
        <is>
          <t>2025.05.22</t>
        </is>
      </c>
      <c r="B102" s="3" t="inlineStr">
        <is>
          <t>03:52:19</t>
        </is>
      </c>
      <c r="C102" s="3" t="inlineStr">
        <is>
          <t>38.9450</t>
        </is>
      </c>
      <c r="D102" s="3" t="inlineStr">
        <is>
          <t>37.3975</t>
        </is>
      </c>
      <c r="E102" s="3" t="inlineStr">
        <is>
          <t>3.2</t>
        </is>
      </c>
      <c r="F102" s="3" t="inlineStr">
        <is>
          <t>1.6</t>
        </is>
      </c>
      <c r="G102" s="3" t="inlineStr">
        <is>
          <t>-.-</t>
        </is>
      </c>
      <c r="H102" s="3" t="inlineStr">
        <is>
          <t>DURMEPINAR-GURUN (SIVAS)</t>
        </is>
      </c>
      <c r="I102" s="3">
        <f>HYPERLINK("https://www.openstreetmap.org/?mlat=38.9450&amp;mlon=37.3975&amp;zoom=9","Haritada Gör")</f>
        <v/>
      </c>
    </row>
    <row r="103">
      <c r="A103" s="3" t="inlineStr">
        <is>
          <t>2025.05.22</t>
        </is>
      </c>
      <c r="B103" s="3" t="inlineStr">
        <is>
          <t>03:43:48</t>
        </is>
      </c>
      <c r="C103" s="3" t="inlineStr">
        <is>
          <t>38.9750</t>
        </is>
      </c>
      <c r="D103" s="3" t="inlineStr">
        <is>
          <t>26.0602</t>
        </is>
      </c>
      <c r="E103" s="3" t="inlineStr">
        <is>
          <t>8.8</t>
        </is>
      </c>
      <c r="F103" s="3" t="inlineStr">
        <is>
          <t>1.6</t>
        </is>
      </c>
      <c r="G103" s="3" t="inlineStr">
        <is>
          <t>-.-</t>
        </is>
      </c>
      <c r="H103" s="3" t="inlineStr">
        <is>
          <t>MIDILLI ADASI GUNEYI (EGE DENIZI)</t>
        </is>
      </c>
      <c r="I103" s="3">
        <f>HYPERLINK("https://www.openstreetmap.org/?mlat=38.9750&amp;mlon=26.0602&amp;zoom=9","Haritada Gör")</f>
        <v/>
      </c>
    </row>
    <row r="104">
      <c r="A104" s="3" t="inlineStr">
        <is>
          <t>2025.05.22</t>
        </is>
      </c>
      <c r="B104" s="3" t="inlineStr">
        <is>
          <t>03:35:21</t>
        </is>
      </c>
      <c r="C104" s="3" t="inlineStr">
        <is>
          <t>38.3680</t>
        </is>
      </c>
      <c r="D104" s="3" t="inlineStr">
        <is>
          <t>37.9073</t>
        </is>
      </c>
      <c r="E104" s="3" t="inlineStr">
        <is>
          <t>7.9</t>
        </is>
      </c>
      <c r="F104" s="3" t="inlineStr">
        <is>
          <t>2.2</t>
        </is>
      </c>
      <c r="G104" s="3" t="inlineStr">
        <is>
          <t>-.-</t>
        </is>
      </c>
      <c r="H104" s="3" t="inlineStr">
        <is>
          <t>YAYLIMLI-AKCADAG (MALATYA)</t>
        </is>
      </c>
      <c r="I104" s="3">
        <f>HYPERLINK("https://www.openstreetmap.org/?mlat=38.3680&amp;mlon=37.9073&amp;zoom=9","Haritada Gör")</f>
        <v/>
      </c>
    </row>
    <row r="105">
      <c r="A105" s="3" t="inlineStr">
        <is>
          <t>2025.05.22</t>
        </is>
      </c>
      <c r="B105" s="3" t="inlineStr">
        <is>
          <t>03:29:30</t>
        </is>
      </c>
      <c r="C105" s="3" t="inlineStr">
        <is>
          <t>38.9388</t>
        </is>
      </c>
      <c r="D105" s="3" t="inlineStr">
        <is>
          <t>37.3917</t>
        </is>
      </c>
      <c r="E105" s="3" t="inlineStr">
        <is>
          <t>7.4</t>
        </is>
      </c>
      <c r="F105" s="3" t="inlineStr">
        <is>
          <t>1.5</t>
        </is>
      </c>
      <c r="G105" s="3" t="inlineStr">
        <is>
          <t>-.-</t>
        </is>
      </c>
      <c r="H105" s="3" t="inlineStr">
        <is>
          <t>DURMEPINAR-GURUN (SIVAS)</t>
        </is>
      </c>
      <c r="I105" s="3">
        <f>HYPERLINK("https://www.openstreetmap.org/?mlat=38.9388&amp;mlon=37.3917&amp;zoom=9","Haritada Gör")</f>
        <v/>
      </c>
    </row>
    <row r="106">
      <c r="A106" s="3" t="inlineStr">
        <is>
          <t>2025.05.22</t>
        </is>
      </c>
      <c r="B106" s="3" t="inlineStr">
        <is>
          <t>03:21:35</t>
        </is>
      </c>
      <c r="C106" s="3" t="inlineStr">
        <is>
          <t>36.9580</t>
        </is>
      </c>
      <c r="D106" s="3" t="inlineStr">
        <is>
          <t>27.9860</t>
        </is>
      </c>
      <c r="E106" s="3" t="inlineStr">
        <is>
          <t>26.2</t>
        </is>
      </c>
      <c r="F106" s="3" t="inlineStr">
        <is>
          <t>1.2</t>
        </is>
      </c>
      <c r="G106" s="3" t="inlineStr">
        <is>
          <t>-.-</t>
        </is>
      </c>
      <c r="H106" s="3" t="inlineStr">
        <is>
          <t>GOKOVA KORFEZI (EGE DENIZI)</t>
        </is>
      </c>
      <c r="I106" s="3">
        <f>HYPERLINK("https://www.openstreetmap.org/?mlat=36.9580&amp;mlon=27.9860&amp;zoom=9","Haritada Gör")</f>
        <v/>
      </c>
    </row>
    <row r="107">
      <c r="A107" s="3" t="inlineStr">
        <is>
          <t>2025.05.22</t>
        </is>
      </c>
      <c r="B107" s="3" t="inlineStr">
        <is>
          <t>02:46:56</t>
        </is>
      </c>
      <c r="C107" s="3" t="inlineStr">
        <is>
          <t>39.4637</t>
        </is>
      </c>
      <c r="D107" s="3" t="inlineStr">
        <is>
          <t>25.8943</t>
        </is>
      </c>
      <c r="E107" s="3" t="inlineStr">
        <is>
          <t>8.8</t>
        </is>
      </c>
      <c r="F107" s="3" t="inlineStr">
        <is>
          <t>1.8</t>
        </is>
      </c>
      <c r="G107" s="3" t="inlineStr">
        <is>
          <t>-.-</t>
        </is>
      </c>
      <c r="H107" s="3" t="inlineStr">
        <is>
          <t>GULPINAR ACIKLARI-CANAKKALE (EGE DENIZI)</t>
        </is>
      </c>
      <c r="I107" s="3">
        <f>HYPERLINK("https://www.openstreetmap.org/?mlat=39.4637&amp;mlon=25.8943&amp;zoom=9","Haritada Gör")</f>
        <v/>
      </c>
    </row>
    <row r="108">
      <c r="A108" s="3" t="inlineStr">
        <is>
          <t>2025.05.22</t>
        </is>
      </c>
      <c r="B108" s="3" t="inlineStr">
        <is>
          <t>02:19:52</t>
        </is>
      </c>
      <c r="C108" s="3" t="inlineStr">
        <is>
          <t>37.8437</t>
        </is>
      </c>
      <c r="D108" s="3" t="inlineStr">
        <is>
          <t>27.2885</t>
        </is>
      </c>
      <c r="E108" s="3" t="inlineStr">
        <is>
          <t>9.8</t>
        </is>
      </c>
      <c r="F108" s="3" t="inlineStr">
        <is>
          <t>1.4</t>
        </is>
      </c>
      <c r="G108" s="3" t="inlineStr">
        <is>
          <t>-.-</t>
        </is>
      </c>
      <c r="H108" s="3" t="inlineStr">
        <is>
          <t>KUSADASI (AYDIN)</t>
        </is>
      </c>
      <c r="I108" s="3">
        <f>HYPERLINK("https://www.openstreetmap.org/?mlat=37.8437&amp;mlon=27.2885&amp;zoom=9","Haritada Gör")</f>
        <v/>
      </c>
    </row>
    <row r="109">
      <c r="A109" s="3" t="inlineStr">
        <is>
          <t>2025.05.22</t>
        </is>
      </c>
      <c r="B109" s="3" t="inlineStr">
        <is>
          <t>02:12:27</t>
        </is>
      </c>
      <c r="C109" s="3" t="inlineStr">
        <is>
          <t>39.4233</t>
        </is>
      </c>
      <c r="D109" s="3" t="inlineStr">
        <is>
          <t>26.3533</t>
        </is>
      </c>
      <c r="E109" s="3" t="inlineStr">
        <is>
          <t>7.5</t>
        </is>
      </c>
      <c r="F109" s="3" t="inlineStr">
        <is>
          <t>1.8</t>
        </is>
      </c>
      <c r="G109" s="3" t="inlineStr">
        <is>
          <t>-.-</t>
        </is>
      </c>
      <c r="H109" s="3" t="inlineStr">
        <is>
          <t>EDREMIT KORFEZI (EGE DENIZI)</t>
        </is>
      </c>
      <c r="I109" s="3">
        <f>HYPERLINK("https://www.openstreetmap.org/?mlat=39.4233&amp;mlon=26.3533&amp;zoom=9","Haritada Gör")</f>
        <v/>
      </c>
    </row>
    <row r="110">
      <c r="A110" s="3" t="inlineStr">
        <is>
          <t>2025.05.22</t>
        </is>
      </c>
      <c r="B110" s="3" t="inlineStr">
        <is>
          <t>02:10:35</t>
        </is>
      </c>
      <c r="C110" s="3" t="inlineStr">
        <is>
          <t>39.2503</t>
        </is>
      </c>
      <c r="D110" s="3" t="inlineStr">
        <is>
          <t>28.9892</t>
        </is>
      </c>
      <c r="E110" s="3" t="inlineStr">
        <is>
          <t>13.3</t>
        </is>
      </c>
      <c r="F110" s="3" t="inlineStr">
        <is>
          <t>1.6</t>
        </is>
      </c>
      <c r="G110" s="3" t="inlineStr">
        <is>
          <t>-.-</t>
        </is>
      </c>
      <c r="H110" s="3" t="inlineStr">
        <is>
          <t>YEMISLI-SIMAV (KUTAHYA)</t>
        </is>
      </c>
      <c r="I110" s="3">
        <f>HYPERLINK("https://www.openstreetmap.org/?mlat=39.2503&amp;mlon=28.9892&amp;zoom=9","Haritada Gör")</f>
        <v/>
      </c>
    </row>
    <row r="111">
      <c r="A111" s="3" t="inlineStr">
        <is>
          <t>2025.05.22</t>
        </is>
      </c>
      <c r="B111" s="3" t="inlineStr">
        <is>
          <t>02:01:26</t>
        </is>
      </c>
      <c r="C111" s="3" t="inlineStr">
        <is>
          <t>38.1065</t>
        </is>
      </c>
      <c r="D111" s="3" t="inlineStr">
        <is>
          <t>37.0170</t>
        </is>
      </c>
      <c r="E111" s="3" t="inlineStr">
        <is>
          <t>13.2</t>
        </is>
      </c>
      <c r="F111" s="3" t="inlineStr">
        <is>
          <t>1.4</t>
        </is>
      </c>
      <c r="G111" s="3" t="inlineStr">
        <is>
          <t>-.-</t>
        </is>
      </c>
      <c r="H111" s="3" t="inlineStr">
        <is>
          <t>CALIS-ELBISTAN (KAHRAMANMARAS)</t>
        </is>
      </c>
      <c r="I111" s="3">
        <f>HYPERLINK("https://www.openstreetmap.org/?mlat=38.1065&amp;mlon=37.0170&amp;zoom=9","Haritada Gör")</f>
        <v/>
      </c>
    </row>
    <row r="112">
      <c r="A112" s="3" t="inlineStr">
        <is>
          <t>2025.05.22</t>
        </is>
      </c>
      <c r="B112" s="3" t="inlineStr">
        <is>
          <t>01:10:39</t>
        </is>
      </c>
      <c r="C112" s="3" t="inlineStr">
        <is>
          <t>37.8818</t>
        </is>
      </c>
      <c r="D112" s="3" t="inlineStr">
        <is>
          <t>27.6185</t>
        </is>
      </c>
      <c r="E112" s="3" t="inlineStr">
        <is>
          <t>7.2</t>
        </is>
      </c>
      <c r="F112" s="3" t="inlineStr">
        <is>
          <t>2.2</t>
        </is>
      </c>
      <c r="G112" s="3" t="inlineStr">
        <is>
          <t>-.-</t>
        </is>
      </c>
      <c r="H112" s="3" t="inlineStr">
        <is>
          <t>ALANGULLU-GERMENCIK (AYDIN)</t>
        </is>
      </c>
      <c r="I112" s="3">
        <f>HYPERLINK("https://www.openstreetmap.org/?mlat=37.8818&amp;mlon=27.6185&amp;zoom=9","Haritada Gör")</f>
        <v/>
      </c>
    </row>
    <row r="113">
      <c r="A113" s="3" t="inlineStr">
        <is>
          <t>2025.05.22</t>
        </is>
      </c>
      <c r="B113" s="3" t="inlineStr">
        <is>
          <t>00:01:58</t>
        </is>
      </c>
      <c r="C113" s="3" t="inlineStr">
        <is>
          <t>38.5435</t>
        </is>
      </c>
      <c r="D113" s="3" t="inlineStr">
        <is>
          <t>26.7470</t>
        </is>
      </c>
      <c r="E113" s="3" t="inlineStr">
        <is>
          <t>7.4</t>
        </is>
      </c>
      <c r="F113" s="3" t="inlineStr">
        <is>
          <t>1.7</t>
        </is>
      </c>
      <c r="G113" s="3" t="inlineStr">
        <is>
          <t>-.-</t>
        </is>
      </c>
      <c r="H113" s="3" t="inlineStr">
        <is>
          <t>IZMIR KORFEZI (EGE DENIZI)</t>
        </is>
      </c>
      <c r="I113" s="3">
        <f>HYPERLINK("https://www.openstreetmap.org/?mlat=38.5435&amp;mlon=26.7470&amp;zoom=9","Haritada Gör")</f>
        <v/>
      </c>
    </row>
    <row r="114">
      <c r="A114" s="3" t="inlineStr">
        <is>
          <t>2025.05.22</t>
        </is>
      </c>
      <c r="B114" s="3" t="inlineStr">
        <is>
          <t>00:00:03</t>
        </is>
      </c>
      <c r="C114" s="3" t="inlineStr">
        <is>
          <t>38.3723</t>
        </is>
      </c>
      <c r="D114" s="3" t="inlineStr">
        <is>
          <t>37.9608</t>
        </is>
      </c>
      <c r="E114" s="3" t="inlineStr">
        <is>
          <t>9.0</t>
        </is>
      </c>
      <c r="F114" s="3" t="inlineStr">
        <is>
          <t>1.6</t>
        </is>
      </c>
      <c r="G114" s="3" t="inlineStr">
        <is>
          <t>-.-</t>
        </is>
      </c>
      <c r="H114" s="3" t="inlineStr">
        <is>
          <t>DOGANLAR-AKCADAG (MALATYA)</t>
        </is>
      </c>
      <c r="I114" s="3">
        <f>HYPERLINK("https://www.openstreetmap.org/?mlat=38.3723&amp;mlon=37.9608&amp;zoom=9","Haritada Gör")</f>
        <v/>
      </c>
    </row>
    <row r="115">
      <c r="A115" s="4" t="inlineStr">
        <is>
          <t>2025.05.21</t>
        </is>
      </c>
      <c r="B115" s="4" t="inlineStr">
        <is>
          <t>23:33:45</t>
        </is>
      </c>
      <c r="C115" s="4" t="inlineStr">
        <is>
          <t>39.1063</t>
        </is>
      </c>
      <c r="D115" s="4" t="inlineStr">
        <is>
          <t>39.8332</t>
        </is>
      </c>
      <c r="E115" s="4" t="inlineStr">
        <is>
          <t>5.0</t>
        </is>
      </c>
      <c r="F115" s="4" t="inlineStr">
        <is>
          <t>3.2</t>
        </is>
      </c>
      <c r="G115" s="4" t="inlineStr">
        <is>
          <t>3.2</t>
        </is>
      </c>
      <c r="H115" s="4" t="inlineStr">
        <is>
          <t>BOSTANLI-NAZIMIYE (TUNCELI)</t>
        </is>
      </c>
      <c r="I115" s="4">
        <f>HYPERLINK("https://www.openstreetmap.org/?mlat=39.1063&amp;mlon=39.8332&amp;zoom=9","Haritada Gör")</f>
        <v/>
      </c>
    </row>
    <row r="116">
      <c r="A116" s="3" t="inlineStr">
        <is>
          <t>2025.05.21</t>
        </is>
      </c>
      <c r="B116" s="3" t="inlineStr">
        <is>
          <t>23:32:18</t>
        </is>
      </c>
      <c r="C116" s="3" t="inlineStr">
        <is>
          <t>39.5413</t>
        </is>
      </c>
      <c r="D116" s="3" t="inlineStr">
        <is>
          <t>29.2745</t>
        </is>
      </c>
      <c r="E116" s="3" t="inlineStr">
        <is>
          <t>13.9</t>
        </is>
      </c>
      <c r="F116" s="3" t="inlineStr">
        <is>
          <t>1.6</t>
        </is>
      </c>
      <c r="G116" s="3" t="inlineStr">
        <is>
          <t>-.-</t>
        </is>
      </c>
      <c r="H116" s="3" t="inlineStr">
        <is>
          <t>DAGDEMIRLI-TAVSANLI (KUTAHYA)</t>
        </is>
      </c>
      <c r="I116" s="3">
        <f>HYPERLINK("https://www.openstreetmap.org/?mlat=39.5413&amp;mlon=29.2745&amp;zoom=9","Haritada Gör")</f>
        <v/>
      </c>
    </row>
    <row r="117">
      <c r="A117" s="3" t="inlineStr">
        <is>
          <t>2025.05.21</t>
        </is>
      </c>
      <c r="B117" s="3" t="inlineStr">
        <is>
          <t>23:26:23</t>
        </is>
      </c>
      <c r="C117" s="3" t="inlineStr">
        <is>
          <t>40.8223</t>
        </is>
      </c>
      <c r="D117" s="3" t="inlineStr">
        <is>
          <t>28.1237</t>
        </is>
      </c>
      <c r="E117" s="3" t="inlineStr">
        <is>
          <t>11.7</t>
        </is>
      </c>
      <c r="F117" s="3" t="inlineStr">
        <is>
          <t>1.7</t>
        </is>
      </c>
      <c r="G117" s="3" t="inlineStr">
        <is>
          <t>-.-</t>
        </is>
      </c>
      <c r="H117" s="3" t="inlineStr">
        <is>
          <t>MARMARA DENIZI</t>
        </is>
      </c>
      <c r="I117" s="3">
        <f>HYPERLINK("https://www.openstreetmap.org/?mlat=40.8223&amp;mlon=28.1237&amp;zoom=9","Haritada Gör")</f>
        <v/>
      </c>
    </row>
    <row r="118">
      <c r="A118" s="3" t="inlineStr">
        <is>
          <t>2025.05.21</t>
        </is>
      </c>
      <c r="B118" s="3" t="inlineStr">
        <is>
          <t>23:23:06</t>
        </is>
      </c>
      <c r="C118" s="3" t="inlineStr">
        <is>
          <t>39.3948</t>
        </is>
      </c>
      <c r="D118" s="3" t="inlineStr">
        <is>
          <t>26.1043</t>
        </is>
      </c>
      <c r="E118" s="3" t="inlineStr">
        <is>
          <t>6.9</t>
        </is>
      </c>
      <c r="F118" s="3" t="inlineStr">
        <is>
          <t>1.4</t>
        </is>
      </c>
      <c r="G118" s="3" t="inlineStr">
        <is>
          <t>-.-</t>
        </is>
      </c>
      <c r="H118" s="3" t="inlineStr">
        <is>
          <t>BADEMLI ACIKLARI-CANAKKALE (EGE DENIZI)</t>
        </is>
      </c>
      <c r="I118" s="3">
        <f>HYPERLINK("https://www.openstreetmap.org/?mlat=39.3948&amp;mlon=26.1043&amp;zoom=9","Haritada Gör")</f>
        <v/>
      </c>
    </row>
    <row r="119">
      <c r="A119" s="3" t="inlineStr">
        <is>
          <t>2025.05.21</t>
        </is>
      </c>
      <c r="B119" s="3" t="inlineStr">
        <is>
          <t>23:00:43</t>
        </is>
      </c>
      <c r="C119" s="3" t="inlineStr">
        <is>
          <t>37.8695</t>
        </is>
      </c>
      <c r="D119" s="3" t="inlineStr">
        <is>
          <t>27.5873</t>
        </is>
      </c>
      <c r="E119" s="3" t="inlineStr">
        <is>
          <t>7.2</t>
        </is>
      </c>
      <c r="F119" s="3" t="inlineStr">
        <is>
          <t>2.4</t>
        </is>
      </c>
      <c r="G119" s="3" t="inlineStr">
        <is>
          <t>-.-</t>
        </is>
      </c>
      <c r="H119" s="3" t="inlineStr">
        <is>
          <t>GERMENCIK (AYDIN)</t>
        </is>
      </c>
      <c r="I119" s="3">
        <f>HYPERLINK("https://www.openstreetmap.org/?mlat=37.8695&amp;mlon=27.5873&amp;zoom=9","Haritada Gör")</f>
        <v/>
      </c>
    </row>
    <row r="120">
      <c r="A120" s="3" t="inlineStr">
        <is>
          <t>2025.05.21</t>
        </is>
      </c>
      <c r="B120" s="3" t="inlineStr">
        <is>
          <t>22:54:12</t>
        </is>
      </c>
      <c r="C120" s="3" t="inlineStr">
        <is>
          <t>36.6815</t>
        </is>
      </c>
      <c r="D120" s="3" t="inlineStr">
        <is>
          <t>26.3320</t>
        </is>
      </c>
      <c r="E120" s="3" t="inlineStr">
        <is>
          <t>6.9</t>
        </is>
      </c>
      <c r="F120" s="3" t="inlineStr">
        <is>
          <t>2.0</t>
        </is>
      </c>
      <c r="G120" s="3" t="inlineStr">
        <is>
          <t>-.-</t>
        </is>
      </c>
      <c r="H120" s="3" t="inlineStr">
        <is>
          <t>EGE DENIZI</t>
        </is>
      </c>
      <c r="I120" s="3">
        <f>HYPERLINK("https://www.openstreetmap.org/?mlat=36.6815&amp;mlon=26.3320&amp;zoom=9","Haritada Gör")</f>
        <v/>
      </c>
    </row>
    <row r="121">
      <c r="A121" s="3" t="inlineStr">
        <is>
          <t>2025.05.21</t>
        </is>
      </c>
      <c r="B121" s="3" t="inlineStr">
        <is>
          <t>22:13:06</t>
        </is>
      </c>
      <c r="C121" s="3" t="inlineStr">
        <is>
          <t>38.6747</t>
        </is>
      </c>
      <c r="D121" s="3" t="inlineStr">
        <is>
          <t>43.1855</t>
        </is>
      </c>
      <c r="E121" s="3" t="inlineStr">
        <is>
          <t>2.2</t>
        </is>
      </c>
      <c r="F121" s="3" t="inlineStr">
        <is>
          <t>2.9</t>
        </is>
      </c>
      <c r="G121" s="3" t="inlineStr">
        <is>
          <t>-.-</t>
        </is>
      </c>
      <c r="H121" s="3" t="inlineStr">
        <is>
          <t>MOLLAKASIM-(VAN)</t>
        </is>
      </c>
      <c r="I121" s="3">
        <f>HYPERLINK("https://www.openstreetmap.org/?mlat=38.6747&amp;mlon=43.1855&amp;zoom=9","Haritada Gör")</f>
        <v/>
      </c>
    </row>
    <row r="122">
      <c r="A122" s="3" t="inlineStr">
        <is>
          <t>2025.05.21</t>
        </is>
      </c>
      <c r="B122" s="3" t="inlineStr">
        <is>
          <t>22:12:22</t>
        </is>
      </c>
      <c r="C122" s="3" t="inlineStr">
        <is>
          <t>38.6828</t>
        </is>
      </c>
      <c r="D122" s="3" t="inlineStr">
        <is>
          <t>43.1915</t>
        </is>
      </c>
      <c r="E122" s="3" t="inlineStr">
        <is>
          <t>5.0</t>
        </is>
      </c>
      <c r="F122" s="3" t="inlineStr">
        <is>
          <t>2.7</t>
        </is>
      </c>
      <c r="G122" s="3" t="inlineStr">
        <is>
          <t>-.-</t>
        </is>
      </c>
      <c r="H122" s="3" t="inlineStr">
        <is>
          <t>MOLLAKASIM-(VAN)</t>
        </is>
      </c>
      <c r="I122" s="3">
        <f>HYPERLINK("https://www.openstreetmap.org/?mlat=38.6828&amp;mlon=43.1915&amp;zoom=9","Haritada Gör")</f>
        <v/>
      </c>
    </row>
    <row r="123">
      <c r="A123" s="3" t="inlineStr">
        <is>
          <t>2025.05.21</t>
        </is>
      </c>
      <c r="B123" s="3" t="inlineStr">
        <is>
          <t>21:22:32</t>
        </is>
      </c>
      <c r="C123" s="3" t="inlineStr">
        <is>
          <t>38.4612</t>
        </is>
      </c>
      <c r="D123" s="3" t="inlineStr">
        <is>
          <t>37.9157</t>
        </is>
      </c>
      <c r="E123" s="3" t="inlineStr">
        <is>
          <t>13.9</t>
        </is>
      </c>
      <c r="F123" s="3" t="inlineStr">
        <is>
          <t>1.6</t>
        </is>
      </c>
      <c r="G123" s="3" t="inlineStr">
        <is>
          <t>-.-</t>
        </is>
      </c>
      <c r="H123" s="3" t="inlineStr">
        <is>
          <t>BAGKOY-AKCADAG (MALATYA)</t>
        </is>
      </c>
      <c r="I123" s="3">
        <f>HYPERLINK("https://www.openstreetmap.org/?mlat=38.4612&amp;mlon=37.9157&amp;zoom=9","Haritada Gör")</f>
        <v/>
      </c>
    </row>
    <row r="124">
      <c r="A124" s="3" t="inlineStr">
        <is>
          <t>2025.05.21</t>
        </is>
      </c>
      <c r="B124" s="3" t="inlineStr">
        <is>
          <t>21:06:51</t>
        </is>
      </c>
      <c r="C124" s="3" t="inlineStr">
        <is>
          <t>39.0967</t>
        </is>
      </c>
      <c r="D124" s="3" t="inlineStr">
        <is>
          <t>33.2917</t>
        </is>
      </c>
      <c r="E124" s="3" t="inlineStr">
        <is>
          <t>8.7</t>
        </is>
      </c>
      <c r="F124" s="3" t="inlineStr">
        <is>
          <t>1.3</t>
        </is>
      </c>
      <c r="G124" s="3" t="inlineStr">
        <is>
          <t>-.-</t>
        </is>
      </c>
      <c r="H124" s="3" t="inlineStr">
        <is>
          <t>AKIN-SEREFLIKOCHISAR (ANKARA)</t>
        </is>
      </c>
      <c r="I124" s="3">
        <f>HYPERLINK("https://www.openstreetmap.org/?mlat=39.0967&amp;mlon=33.2917&amp;zoom=9","Haritada Gör")</f>
        <v/>
      </c>
    </row>
    <row r="125">
      <c r="A125" s="3" t="inlineStr">
        <is>
          <t>2025.05.21</t>
        </is>
      </c>
      <c r="B125" s="3" t="inlineStr">
        <is>
          <t>20:27:59</t>
        </is>
      </c>
      <c r="C125" s="3" t="inlineStr">
        <is>
          <t>38.0925</t>
        </is>
      </c>
      <c r="D125" s="3" t="inlineStr">
        <is>
          <t>26.0610</t>
        </is>
      </c>
      <c r="E125" s="3" t="inlineStr">
        <is>
          <t>5.1</t>
        </is>
      </c>
      <c r="F125" s="3" t="inlineStr">
        <is>
          <t>1.6</t>
        </is>
      </c>
      <c r="G125" s="3" t="inlineStr">
        <is>
          <t>-.-</t>
        </is>
      </c>
      <c r="H125" s="3" t="inlineStr">
        <is>
          <t>EGE DENIZI</t>
        </is>
      </c>
      <c r="I125" s="3">
        <f>HYPERLINK("https://www.openstreetmap.org/?mlat=38.0925&amp;mlon=26.0610&amp;zoom=9","Haritada Gör")</f>
        <v/>
      </c>
    </row>
    <row r="126">
      <c r="A126" s="3" t="inlineStr">
        <is>
          <t>2025.05.21</t>
        </is>
      </c>
      <c r="B126" s="3" t="inlineStr">
        <is>
          <t>20:23:08</t>
        </is>
      </c>
      <c r="C126" s="3" t="inlineStr">
        <is>
          <t>40.3750</t>
        </is>
      </c>
      <c r="D126" s="3" t="inlineStr">
        <is>
          <t>27.9197</t>
        </is>
      </c>
      <c r="E126" s="3" t="inlineStr">
        <is>
          <t>15.4</t>
        </is>
      </c>
      <c r="F126" s="3" t="inlineStr">
        <is>
          <t>1.4</t>
        </is>
      </c>
      <c r="G126" s="3" t="inlineStr">
        <is>
          <t>-.-</t>
        </is>
      </c>
      <c r="H126" s="3" t="inlineStr">
        <is>
          <t>ASAGIYAPICI-ERDEK (BALIKESIR)</t>
        </is>
      </c>
      <c r="I126" s="3">
        <f>HYPERLINK("https://www.openstreetmap.org/?mlat=40.3750&amp;mlon=27.9197&amp;zoom=9","Haritada Gör")</f>
        <v/>
      </c>
    </row>
    <row r="127">
      <c r="A127" s="3" t="inlineStr">
        <is>
          <t>2025.05.21</t>
        </is>
      </c>
      <c r="B127" s="3" t="inlineStr">
        <is>
          <t>20:19:27</t>
        </is>
      </c>
      <c r="C127" s="3" t="inlineStr">
        <is>
          <t>40.8658</t>
        </is>
      </c>
      <c r="D127" s="3" t="inlineStr">
        <is>
          <t>28.4288</t>
        </is>
      </c>
      <c r="E127" s="3" t="inlineStr">
        <is>
          <t>5.4</t>
        </is>
      </c>
      <c r="F127" s="3" t="inlineStr">
        <is>
          <t>1.3</t>
        </is>
      </c>
      <c r="G127" s="3" t="inlineStr">
        <is>
          <t>-.-</t>
        </is>
      </c>
      <c r="H127" s="3" t="inlineStr">
        <is>
          <t>MARMARA DENIZI</t>
        </is>
      </c>
      <c r="I127" s="3">
        <f>HYPERLINK("https://www.openstreetmap.org/?mlat=40.8658&amp;mlon=28.4288&amp;zoom=9","Haritada Gör")</f>
        <v/>
      </c>
    </row>
    <row r="128">
      <c r="A128" s="3" t="inlineStr">
        <is>
          <t>2025.05.21</t>
        </is>
      </c>
      <c r="B128" s="3" t="inlineStr">
        <is>
          <t>20:11:13</t>
        </is>
      </c>
      <c r="C128" s="3" t="inlineStr">
        <is>
          <t>39.0617</t>
        </is>
      </c>
      <c r="D128" s="3" t="inlineStr">
        <is>
          <t>33.2502</t>
        </is>
      </c>
      <c r="E128" s="3" t="inlineStr">
        <is>
          <t>4.0</t>
        </is>
      </c>
      <c r="F128" s="3" t="inlineStr">
        <is>
          <t>1.4</t>
        </is>
      </c>
      <c r="G128" s="3" t="inlineStr">
        <is>
          <t>-.-</t>
        </is>
      </c>
      <c r="H128" s="3" t="inlineStr">
        <is>
          <t>KIRKKUYU-KULU (KONYA)</t>
        </is>
      </c>
      <c r="I128" s="3">
        <f>HYPERLINK("https://www.openstreetmap.org/?mlat=39.0617&amp;mlon=33.2502&amp;zoom=9","Haritada Gör")</f>
        <v/>
      </c>
    </row>
    <row r="129">
      <c r="A129" s="3" t="inlineStr">
        <is>
          <t>2025.05.21</t>
        </is>
      </c>
      <c r="B129" s="3" t="inlineStr">
        <is>
          <t>19:48:28</t>
        </is>
      </c>
      <c r="C129" s="3" t="inlineStr">
        <is>
          <t>38.7220</t>
        </is>
      </c>
      <c r="D129" s="3" t="inlineStr">
        <is>
          <t>30.6292</t>
        </is>
      </c>
      <c r="E129" s="3" t="inlineStr">
        <is>
          <t>10.7</t>
        </is>
      </c>
      <c r="F129" s="3" t="inlineStr">
        <is>
          <t>2.5</t>
        </is>
      </c>
      <c r="G129" s="3" t="inlineStr">
        <is>
          <t>-.-</t>
        </is>
      </c>
      <c r="H129" s="3" t="inlineStr">
        <is>
          <t>KARAARSLAN-(AFYONKARAHISAR)</t>
        </is>
      </c>
      <c r="I129" s="3">
        <f>HYPERLINK("https://www.openstreetmap.org/?mlat=38.7220&amp;mlon=30.6292&amp;zoom=9","Haritada Gör")</f>
        <v/>
      </c>
    </row>
    <row r="130">
      <c r="A130" s="3" t="inlineStr">
        <is>
          <t>2025.05.21</t>
        </is>
      </c>
      <c r="B130" s="3" t="inlineStr">
        <is>
          <t>19:38:31</t>
        </is>
      </c>
      <c r="C130" s="3" t="inlineStr">
        <is>
          <t>40.7293</t>
        </is>
      </c>
      <c r="D130" s="3" t="inlineStr">
        <is>
          <t>34.0805</t>
        </is>
      </c>
      <c r="E130" s="3" t="inlineStr">
        <is>
          <t>8.6</t>
        </is>
      </c>
      <c r="F130" s="3" t="inlineStr">
        <is>
          <t>1.7</t>
        </is>
      </c>
      <c r="G130" s="3" t="inlineStr">
        <is>
          <t>-.-</t>
        </is>
      </c>
      <c r="H130" s="3" t="inlineStr">
        <is>
          <t>KALINPELIT-BAYAT (CORUM)</t>
        </is>
      </c>
      <c r="I130" s="3">
        <f>HYPERLINK("https://www.openstreetmap.org/?mlat=40.7293&amp;mlon=34.0805&amp;zoom=9","Haritada Gör")</f>
        <v/>
      </c>
    </row>
    <row r="131">
      <c r="A131" s="3" t="inlineStr">
        <is>
          <t>2025.05.21</t>
        </is>
      </c>
      <c r="B131" s="3" t="inlineStr">
        <is>
          <t>19:32:38</t>
        </is>
      </c>
      <c r="C131" s="3" t="inlineStr">
        <is>
          <t>36.0290</t>
        </is>
      </c>
      <c r="D131" s="3" t="inlineStr">
        <is>
          <t>35.8753</t>
        </is>
      </c>
      <c r="E131" s="3" t="inlineStr">
        <is>
          <t>9.6</t>
        </is>
      </c>
      <c r="F131" s="3" t="inlineStr">
        <is>
          <t>2.5</t>
        </is>
      </c>
      <c r="G131" s="3" t="inlineStr">
        <is>
          <t>-.-</t>
        </is>
      </c>
      <c r="H131" s="3" t="inlineStr">
        <is>
          <t>MEYDAN-SAMANDAG (HATAY)</t>
        </is>
      </c>
      <c r="I131" s="3">
        <f>HYPERLINK("https://www.openstreetmap.org/?mlat=36.0290&amp;mlon=35.8753&amp;zoom=9","Haritada Gör")</f>
        <v/>
      </c>
    </row>
    <row r="132">
      <c r="A132" s="3" t="inlineStr">
        <is>
          <t>2025.05.21</t>
        </is>
      </c>
      <c r="B132" s="3" t="inlineStr">
        <is>
          <t>18:53:19</t>
        </is>
      </c>
      <c r="C132" s="3" t="inlineStr">
        <is>
          <t>39.2570</t>
        </is>
      </c>
      <c r="D132" s="3" t="inlineStr">
        <is>
          <t>29.0193</t>
        </is>
      </c>
      <c r="E132" s="3" t="inlineStr">
        <is>
          <t>1.7</t>
        </is>
      </c>
      <c r="F132" s="3" t="inlineStr">
        <is>
          <t>1.5</t>
        </is>
      </c>
      <c r="G132" s="3" t="inlineStr">
        <is>
          <t>-.-</t>
        </is>
      </c>
      <c r="H132" s="3" t="inlineStr">
        <is>
          <t>YESILDERE-SIMAV (KUTAHYA)</t>
        </is>
      </c>
      <c r="I132" s="3">
        <f>HYPERLINK("https://www.openstreetmap.org/?mlat=39.2570&amp;mlon=29.0193&amp;zoom=9","Haritada Gör")</f>
        <v/>
      </c>
    </row>
    <row r="133">
      <c r="A133" s="3" t="inlineStr">
        <is>
          <t>2025.05.21</t>
        </is>
      </c>
      <c r="B133" s="3" t="inlineStr">
        <is>
          <t>18:30:58</t>
        </is>
      </c>
      <c r="C133" s="3" t="inlineStr">
        <is>
          <t>38.7983</t>
        </is>
      </c>
      <c r="D133" s="3" t="inlineStr">
        <is>
          <t>37.3982</t>
        </is>
      </c>
      <c r="E133" s="3" t="inlineStr">
        <is>
          <t>8.3</t>
        </is>
      </c>
      <c r="F133" s="3" t="inlineStr">
        <is>
          <t>1.9</t>
        </is>
      </c>
      <c r="G133" s="3" t="inlineStr">
        <is>
          <t>-.-</t>
        </is>
      </c>
      <c r="H133" s="3" t="inlineStr">
        <is>
          <t>YUVA-GURUN (SIVAS)</t>
        </is>
      </c>
      <c r="I133" s="3">
        <f>HYPERLINK("https://www.openstreetmap.org/?mlat=38.7983&amp;mlon=37.3982&amp;zoom=9","Haritada Gör")</f>
        <v/>
      </c>
    </row>
    <row r="134">
      <c r="A134" s="3" t="inlineStr">
        <is>
          <t>2025.05.21</t>
        </is>
      </c>
      <c r="B134" s="3" t="inlineStr">
        <is>
          <t>18:09:21</t>
        </is>
      </c>
      <c r="C134" s="3" t="inlineStr">
        <is>
          <t>39.6223</t>
        </is>
      </c>
      <c r="D134" s="3" t="inlineStr">
        <is>
          <t>32.9347</t>
        </is>
      </c>
      <c r="E134" s="3" t="inlineStr">
        <is>
          <t>14.1</t>
        </is>
      </c>
      <c r="F134" s="3" t="inlineStr">
        <is>
          <t>1.4</t>
        </is>
      </c>
      <c r="G134" s="3" t="inlineStr">
        <is>
          <t>-.-</t>
        </is>
      </c>
      <c r="H134" s="3" t="inlineStr">
        <is>
          <t>BEYNAM-BALA (ANKARA)</t>
        </is>
      </c>
      <c r="I134" s="3">
        <f>HYPERLINK("https://www.openstreetmap.org/?mlat=39.6223&amp;mlon=32.9347&amp;zoom=9","Haritada Gör")</f>
        <v/>
      </c>
    </row>
    <row r="135">
      <c r="A135" s="3" t="inlineStr">
        <is>
          <t>2025.05.21</t>
        </is>
      </c>
      <c r="B135" s="3" t="inlineStr">
        <is>
          <t>17:42:05</t>
        </is>
      </c>
      <c r="C135" s="3" t="inlineStr">
        <is>
          <t>38.8690</t>
        </is>
      </c>
      <c r="D135" s="3" t="inlineStr">
        <is>
          <t>25.8338</t>
        </is>
      </c>
      <c r="E135" s="3" t="inlineStr">
        <is>
          <t>9.5</t>
        </is>
      </c>
      <c r="F135" s="3" t="inlineStr">
        <is>
          <t>1.7</t>
        </is>
      </c>
      <c r="G135" s="3" t="inlineStr">
        <is>
          <t>-.-</t>
        </is>
      </c>
      <c r="H135" s="3" t="inlineStr">
        <is>
          <t>EGE DENIZI</t>
        </is>
      </c>
      <c r="I135" s="3">
        <f>HYPERLINK("https://www.openstreetmap.org/?mlat=38.8690&amp;mlon=25.8338&amp;zoom=9","Haritada Gör")</f>
        <v/>
      </c>
    </row>
    <row r="136">
      <c r="A136" s="3" t="inlineStr">
        <is>
          <t>2025.05.21</t>
        </is>
      </c>
      <c r="B136" s="3" t="inlineStr">
        <is>
          <t>17:32:03</t>
        </is>
      </c>
      <c r="C136" s="3" t="inlineStr">
        <is>
          <t>39.2463</t>
        </is>
      </c>
      <c r="D136" s="3" t="inlineStr">
        <is>
          <t>28.9627</t>
        </is>
      </c>
      <c r="E136" s="3" t="inlineStr">
        <is>
          <t>9.6</t>
        </is>
      </c>
      <c r="F136" s="3" t="inlineStr">
        <is>
          <t>2.1</t>
        </is>
      </c>
      <c r="G136" s="3" t="inlineStr">
        <is>
          <t>-.-</t>
        </is>
      </c>
      <c r="H136" s="3" t="inlineStr">
        <is>
          <t>YEMISLI-SIMAV (KUTAHYA)</t>
        </is>
      </c>
      <c r="I136" s="3">
        <f>HYPERLINK("https://www.openstreetmap.org/?mlat=39.2463&amp;mlon=28.9627&amp;zoom=9","Haritada Gör")</f>
        <v/>
      </c>
    </row>
    <row r="137">
      <c r="A137" s="3" t="inlineStr">
        <is>
          <t>2025.05.21</t>
        </is>
      </c>
      <c r="B137" s="3" t="inlineStr">
        <is>
          <t>16:31:47</t>
        </is>
      </c>
      <c r="C137" s="3" t="inlineStr">
        <is>
          <t>39.1010</t>
        </is>
      </c>
      <c r="D137" s="3" t="inlineStr">
        <is>
          <t>33.2902</t>
        </is>
      </c>
      <c r="E137" s="3" t="inlineStr">
        <is>
          <t>5.5</t>
        </is>
      </c>
      <c r="F137" s="3" t="inlineStr">
        <is>
          <t>1.8</t>
        </is>
      </c>
      <c r="G137" s="3" t="inlineStr">
        <is>
          <t>-.-</t>
        </is>
      </c>
      <c r="H137" s="3" t="inlineStr">
        <is>
          <t>AKIN-SEREFLIKOCHISAR (ANKARA)</t>
        </is>
      </c>
      <c r="I137" s="3">
        <f>HYPERLINK("https://www.openstreetmap.org/?mlat=39.1010&amp;mlon=33.2902&amp;zoom=9","Haritada Gör")</f>
        <v/>
      </c>
    </row>
    <row r="138">
      <c r="A138" s="3" t="inlineStr">
        <is>
          <t>2025.05.21</t>
        </is>
      </c>
      <c r="B138" s="3" t="inlineStr">
        <is>
          <t>16:28:10</t>
        </is>
      </c>
      <c r="C138" s="3" t="inlineStr">
        <is>
          <t>40.8233</t>
        </is>
      </c>
      <c r="D138" s="3" t="inlineStr">
        <is>
          <t>35.2228</t>
        </is>
      </c>
      <c r="E138" s="3" t="inlineStr">
        <is>
          <t>10.1</t>
        </is>
      </c>
      <c r="F138" s="3" t="inlineStr">
        <is>
          <t>2.0</t>
        </is>
      </c>
      <c r="G138" s="3" t="inlineStr">
        <is>
          <t>-.-</t>
        </is>
      </c>
      <c r="H138" s="3" t="inlineStr">
        <is>
          <t>CETMI-GUMUSHACIKOY (AMASYA)</t>
        </is>
      </c>
      <c r="I138" s="3">
        <f>HYPERLINK("https://www.openstreetmap.org/?mlat=40.8233&amp;mlon=35.2228&amp;zoom=9","Haritada Gör")</f>
        <v/>
      </c>
    </row>
    <row r="139">
      <c r="A139" s="3" t="inlineStr">
        <is>
          <t>2025.05.21</t>
        </is>
      </c>
      <c r="B139" s="3" t="inlineStr">
        <is>
          <t>16:24:16</t>
        </is>
      </c>
      <c r="C139" s="3" t="inlineStr">
        <is>
          <t>36.2528</t>
        </is>
      </c>
      <c r="D139" s="3" t="inlineStr">
        <is>
          <t>31.1717</t>
        </is>
      </c>
      <c r="E139" s="3" t="inlineStr">
        <is>
          <t>18.5</t>
        </is>
      </c>
      <c r="F139" s="3" t="inlineStr">
        <is>
          <t>2.7</t>
        </is>
      </c>
      <c r="G139" s="3" t="inlineStr">
        <is>
          <t>-.-</t>
        </is>
      </c>
      <c r="H139" s="3" t="inlineStr">
        <is>
          <t>ANTALYA KORFEZI (AKDENIZ)</t>
        </is>
      </c>
      <c r="I139" s="3">
        <f>HYPERLINK("https://www.openstreetmap.org/?mlat=36.2528&amp;mlon=31.1717&amp;zoom=9","Haritada Gör")</f>
        <v/>
      </c>
    </row>
    <row r="140">
      <c r="A140" s="3" t="inlineStr">
        <is>
          <t>2025.05.21</t>
        </is>
      </c>
      <c r="B140" s="3" t="inlineStr">
        <is>
          <t>16:12:57</t>
        </is>
      </c>
      <c r="C140" s="3" t="inlineStr">
        <is>
          <t>39.1005</t>
        </is>
      </c>
      <c r="D140" s="3" t="inlineStr">
        <is>
          <t>33.2942</t>
        </is>
      </c>
      <c r="E140" s="3" t="inlineStr">
        <is>
          <t>5.3</t>
        </is>
      </c>
      <c r="F140" s="3" t="inlineStr">
        <is>
          <t>2.1</t>
        </is>
      </c>
      <c r="G140" s="3" t="inlineStr">
        <is>
          <t>-.-</t>
        </is>
      </c>
      <c r="H140" s="3" t="inlineStr">
        <is>
          <t>AKIN-SEREFLIKOCHISAR (ANKARA)</t>
        </is>
      </c>
      <c r="I140" s="3">
        <f>HYPERLINK("https://www.openstreetmap.org/?mlat=39.1005&amp;mlon=33.2942&amp;zoom=9","Haritada Gör")</f>
        <v/>
      </c>
    </row>
    <row r="141">
      <c r="A141" s="4" t="inlineStr">
        <is>
          <t>2025.05.21</t>
        </is>
      </c>
      <c r="B141" s="4" t="inlineStr">
        <is>
          <t>15:36:53</t>
        </is>
      </c>
      <c r="C141" s="4" t="inlineStr">
        <is>
          <t>39.2630</t>
        </is>
      </c>
      <c r="D141" s="4" t="inlineStr">
        <is>
          <t>28.9513</t>
        </is>
      </c>
      <c r="E141" s="4" t="inlineStr">
        <is>
          <t>9.1</t>
        </is>
      </c>
      <c r="F141" s="4" t="inlineStr">
        <is>
          <t>3.2</t>
        </is>
      </c>
      <c r="G141" s="4" t="inlineStr">
        <is>
          <t>3.3</t>
        </is>
      </c>
      <c r="H141" s="4" t="inlineStr">
        <is>
          <t>KARAKOCA-SIMAV (KUTAHYA)</t>
        </is>
      </c>
      <c r="I141" s="4">
        <f>HYPERLINK("https://www.openstreetmap.org/?mlat=39.2630&amp;mlon=28.9513&amp;zoom=9","Haritada Gör")</f>
        <v/>
      </c>
    </row>
    <row r="142">
      <c r="A142" s="3" t="inlineStr">
        <is>
          <t>2025.05.21</t>
        </is>
      </c>
      <c r="B142" s="3" t="inlineStr">
        <is>
          <t>15:30:02</t>
        </is>
      </c>
      <c r="C142" s="3" t="inlineStr">
        <is>
          <t>38.3617</t>
        </is>
      </c>
      <c r="D142" s="3" t="inlineStr">
        <is>
          <t>27.2105</t>
        </is>
      </c>
      <c r="E142" s="3" t="inlineStr">
        <is>
          <t>7.4</t>
        </is>
      </c>
      <c r="F142" s="3" t="inlineStr">
        <is>
          <t>1.8</t>
        </is>
      </c>
      <c r="G142" s="3" t="inlineStr">
        <is>
          <t>-.-</t>
        </is>
      </c>
      <c r="H142" s="3" t="inlineStr">
        <is>
          <t>ZAFER-BUCA (IZMIR)</t>
        </is>
      </c>
      <c r="I142" s="3">
        <f>HYPERLINK("https://www.openstreetmap.org/?mlat=38.3617&amp;mlon=27.2105&amp;zoom=9","Haritada Gör")</f>
        <v/>
      </c>
    </row>
    <row r="143">
      <c r="A143" s="3" t="inlineStr">
        <is>
          <t>2025.05.21</t>
        </is>
      </c>
      <c r="B143" s="3" t="inlineStr">
        <is>
          <t>15:10:01</t>
        </is>
      </c>
      <c r="C143" s="3" t="inlineStr">
        <is>
          <t>39.4075</t>
        </is>
      </c>
      <c r="D143" s="3" t="inlineStr">
        <is>
          <t>37.2462</t>
        </is>
      </c>
      <c r="E143" s="3" t="inlineStr">
        <is>
          <t>11.3</t>
        </is>
      </c>
      <c r="F143" s="3" t="inlineStr">
        <is>
          <t>1.8</t>
        </is>
      </c>
      <c r="G143" s="3" t="inlineStr">
        <is>
          <t>-.-</t>
        </is>
      </c>
      <c r="H143" s="3" t="inlineStr">
        <is>
          <t>ESKIKARAHISAR-ULAS (SIVAS)</t>
        </is>
      </c>
      <c r="I143" s="3">
        <f>HYPERLINK("https://www.openstreetmap.org/?mlat=39.4075&amp;mlon=37.2462&amp;zoom=9","Haritada Gör")</f>
        <v/>
      </c>
    </row>
    <row r="144">
      <c r="A144" s="3" t="inlineStr">
        <is>
          <t>2025.05.21</t>
        </is>
      </c>
      <c r="B144" s="3" t="inlineStr">
        <is>
          <t>15:04:06</t>
        </is>
      </c>
      <c r="C144" s="3" t="inlineStr">
        <is>
          <t>39.0327</t>
        </is>
      </c>
      <c r="D144" s="3" t="inlineStr">
        <is>
          <t>27.0385</t>
        </is>
      </c>
      <c r="E144" s="3" t="inlineStr">
        <is>
          <t>13.9</t>
        </is>
      </c>
      <c r="F144" s="3" t="inlineStr">
        <is>
          <t>2.9</t>
        </is>
      </c>
      <c r="G144" s="3" t="inlineStr">
        <is>
          <t>-.-</t>
        </is>
      </c>
      <c r="H144" s="3" t="inlineStr">
        <is>
          <t>ASAGIKIRIKLAR-BERGAMA (IZMIR)</t>
        </is>
      </c>
      <c r="I144" s="3">
        <f>HYPERLINK("https://www.openstreetmap.org/?mlat=39.0327&amp;mlon=27.0385&amp;zoom=9","Haritada Gör")</f>
        <v/>
      </c>
    </row>
    <row r="145">
      <c r="A145" s="3" t="inlineStr">
        <is>
          <t>2025.05.21</t>
        </is>
      </c>
      <c r="B145" s="3" t="inlineStr">
        <is>
          <t>14:29:52</t>
        </is>
      </c>
      <c r="C145" s="3" t="inlineStr">
        <is>
          <t>39.1695</t>
        </is>
      </c>
      <c r="D145" s="3" t="inlineStr">
        <is>
          <t>28.3502</t>
        </is>
      </c>
      <c r="E145" s="3" t="inlineStr">
        <is>
          <t>9.1</t>
        </is>
      </c>
      <c r="F145" s="3" t="inlineStr">
        <is>
          <t>2.1</t>
        </is>
      </c>
      <c r="G145" s="3" t="inlineStr">
        <is>
          <t>-.-</t>
        </is>
      </c>
      <c r="H145" s="3" t="inlineStr">
        <is>
          <t>KUCUKDAGDERE-SINDIRGI (BALIKESIR)</t>
        </is>
      </c>
      <c r="I145" s="3">
        <f>HYPERLINK("https://www.openstreetmap.org/?mlat=39.1695&amp;mlon=28.3502&amp;zoom=9","Haritada Gör")</f>
        <v/>
      </c>
    </row>
    <row r="146">
      <c r="A146" s="3" t="inlineStr">
        <is>
          <t>2025.05.21</t>
        </is>
      </c>
      <c r="B146" s="3" t="inlineStr">
        <is>
          <t>13:56:04</t>
        </is>
      </c>
      <c r="C146" s="3" t="inlineStr">
        <is>
          <t>39.1560</t>
        </is>
      </c>
      <c r="D146" s="3" t="inlineStr">
        <is>
          <t>25.8620</t>
        </is>
      </c>
      <c r="E146" s="3" t="inlineStr">
        <is>
          <t>7.8</t>
        </is>
      </c>
      <c r="F146" s="3" t="inlineStr">
        <is>
          <t>2.8</t>
        </is>
      </c>
      <c r="G146" s="3" t="inlineStr">
        <is>
          <t>-.-</t>
        </is>
      </c>
      <c r="H146" s="3" t="inlineStr">
        <is>
          <t>MIDILLI ADASI (EGE DENIZI)</t>
        </is>
      </c>
      <c r="I146" s="3">
        <f>HYPERLINK("https://www.openstreetmap.org/?mlat=39.1560&amp;mlon=25.8620&amp;zoom=9","Haritada Gör")</f>
        <v/>
      </c>
    </row>
    <row r="147">
      <c r="A147" s="3" t="inlineStr">
        <is>
          <t>2025.05.21</t>
        </is>
      </c>
      <c r="B147" s="3" t="inlineStr">
        <is>
          <t>13:40:37</t>
        </is>
      </c>
      <c r="C147" s="3" t="inlineStr">
        <is>
          <t>39.3163</t>
        </is>
      </c>
      <c r="D147" s="3" t="inlineStr">
        <is>
          <t>29.3192</t>
        </is>
      </c>
      <c r="E147" s="3" t="inlineStr">
        <is>
          <t>0.0</t>
        </is>
      </c>
      <c r="F147" s="3" t="inlineStr">
        <is>
          <t>1.4</t>
        </is>
      </c>
      <c r="G147" s="3" t="inlineStr">
        <is>
          <t>-.-</t>
        </is>
      </c>
      <c r="H147" s="3" t="inlineStr">
        <is>
          <t>BAHATLAR-EMET (KUTAHYA)</t>
        </is>
      </c>
      <c r="I147" s="3">
        <f>HYPERLINK("https://www.openstreetmap.org/?mlat=39.3163&amp;mlon=29.3192&amp;zoom=9","Haritada Gör")</f>
        <v/>
      </c>
    </row>
    <row r="148">
      <c r="A148" s="4" t="inlineStr">
        <is>
          <t>2025.05.21</t>
        </is>
      </c>
      <c r="B148" s="4" t="inlineStr">
        <is>
          <t>13:38:51</t>
        </is>
      </c>
      <c r="C148" s="4" t="inlineStr">
        <is>
          <t>37.1083</t>
        </is>
      </c>
      <c r="D148" s="4" t="inlineStr">
        <is>
          <t>28.5742</t>
        </is>
      </c>
      <c r="E148" s="4" t="inlineStr">
        <is>
          <t>11.3</t>
        </is>
      </c>
      <c r="F148" s="4" t="inlineStr">
        <is>
          <t>3.1</t>
        </is>
      </c>
      <c r="G148" s="4" t="inlineStr">
        <is>
          <t>3.1</t>
        </is>
      </c>
      <c r="H148" s="4" t="inlineStr">
        <is>
          <t>ARICILAR-ULA (MUGLA)</t>
        </is>
      </c>
      <c r="I148" s="4">
        <f>HYPERLINK("https://www.openstreetmap.org/?mlat=37.1083&amp;mlon=28.5742&amp;zoom=9","Haritada Gör")</f>
        <v/>
      </c>
    </row>
    <row r="149">
      <c r="A149" s="3" t="inlineStr">
        <is>
          <t>2025.05.21</t>
        </is>
      </c>
      <c r="B149" s="3" t="inlineStr">
        <is>
          <t>12:59:24</t>
        </is>
      </c>
      <c r="C149" s="3" t="inlineStr">
        <is>
          <t>39.6623</t>
        </is>
      </c>
      <c r="D149" s="3" t="inlineStr">
        <is>
          <t>29.4622</t>
        </is>
      </c>
      <c r="E149" s="3" t="inlineStr">
        <is>
          <t>0.0</t>
        </is>
      </c>
      <c r="F149" s="3" t="inlineStr">
        <is>
          <t>1.4</t>
        </is>
      </c>
      <c r="G149" s="3" t="inlineStr">
        <is>
          <t>-.-</t>
        </is>
      </c>
      <c r="H149" s="3" t="inlineStr">
        <is>
          <t>TUNCBILEK-TAVSANLI (KUTAHYA)</t>
        </is>
      </c>
      <c r="I149" s="3">
        <f>HYPERLINK("https://www.openstreetmap.org/?mlat=39.6623&amp;mlon=29.4622&amp;zoom=9","Haritada Gör")</f>
        <v/>
      </c>
    </row>
    <row r="150">
      <c r="A150" s="3" t="inlineStr">
        <is>
          <t>2025.05.21</t>
        </is>
      </c>
      <c r="B150" s="3" t="inlineStr">
        <is>
          <t>12:28:41</t>
        </is>
      </c>
      <c r="C150" s="3" t="inlineStr">
        <is>
          <t>38.6303</t>
        </is>
      </c>
      <c r="D150" s="3" t="inlineStr">
        <is>
          <t>39.6398</t>
        </is>
      </c>
      <c r="E150" s="3" t="inlineStr">
        <is>
          <t>5.6</t>
        </is>
      </c>
      <c r="F150" s="3" t="inlineStr">
        <is>
          <t>1.7</t>
        </is>
      </c>
      <c r="G150" s="3" t="inlineStr">
        <is>
          <t>-.-</t>
        </is>
      </c>
      <c r="H150" s="3" t="inlineStr">
        <is>
          <t>KONAKALMAZ-(ELAZIG)</t>
        </is>
      </c>
      <c r="I150" s="3">
        <f>HYPERLINK("https://www.openstreetmap.org/?mlat=38.6303&amp;mlon=39.6398&amp;zoom=9","Haritada Gör")</f>
        <v/>
      </c>
    </row>
    <row r="151">
      <c r="A151" s="3" t="inlineStr">
        <is>
          <t>2025.05.21</t>
        </is>
      </c>
      <c r="B151" s="3" t="inlineStr">
        <is>
          <t>12:23:11</t>
        </is>
      </c>
      <c r="C151" s="3" t="inlineStr">
        <is>
          <t>39.4893</t>
        </is>
      </c>
      <c r="D151" s="3" t="inlineStr">
        <is>
          <t>28.1562</t>
        </is>
      </c>
      <c r="E151" s="3" t="inlineStr">
        <is>
          <t>0.0</t>
        </is>
      </c>
      <c r="F151" s="3" t="inlineStr">
        <is>
          <t>1.9</t>
        </is>
      </c>
      <c r="G151" s="3" t="inlineStr">
        <is>
          <t>-.-</t>
        </is>
      </c>
      <c r="H151" s="3" t="inlineStr">
        <is>
          <t>ISKELE-BIGADIC (BALIKESIR)</t>
        </is>
      </c>
      <c r="I151" s="3">
        <f>HYPERLINK("https://www.openstreetmap.org/?mlat=39.4893&amp;mlon=28.1562&amp;zoom=9","Haritada Gör")</f>
        <v/>
      </c>
    </row>
    <row r="152">
      <c r="A152" s="3" t="inlineStr">
        <is>
          <t>2025.05.21</t>
        </is>
      </c>
      <c r="B152" s="3" t="inlineStr">
        <is>
          <t>12:22:09</t>
        </is>
      </c>
      <c r="C152" s="3" t="inlineStr">
        <is>
          <t>39.8192</t>
        </is>
      </c>
      <c r="D152" s="3" t="inlineStr">
        <is>
          <t>26.2493</t>
        </is>
      </c>
      <c r="E152" s="3" t="inlineStr">
        <is>
          <t>0.0</t>
        </is>
      </c>
      <c r="F152" s="3" t="inlineStr">
        <is>
          <t>1.5</t>
        </is>
      </c>
      <c r="G152" s="3" t="inlineStr">
        <is>
          <t>-.-</t>
        </is>
      </c>
      <c r="H152" s="3" t="inlineStr">
        <is>
          <t>MECIDIYE-EZINE (CANAKKALE)</t>
        </is>
      </c>
      <c r="I152" s="3">
        <f>HYPERLINK("https://www.openstreetmap.org/?mlat=39.8192&amp;mlon=26.2493&amp;zoom=9","Haritada Gör")</f>
        <v/>
      </c>
    </row>
    <row r="153">
      <c r="A153" s="3" t="inlineStr">
        <is>
          <t>2025.05.21</t>
        </is>
      </c>
      <c r="B153" s="3" t="inlineStr">
        <is>
          <t>11:22:18</t>
        </is>
      </c>
      <c r="C153" s="3" t="inlineStr">
        <is>
          <t>36.9757</t>
        </is>
      </c>
      <c r="D153" s="3" t="inlineStr">
        <is>
          <t>27.9562</t>
        </is>
      </c>
      <c r="E153" s="3" t="inlineStr">
        <is>
          <t>19.6</t>
        </is>
      </c>
      <c r="F153" s="3" t="inlineStr">
        <is>
          <t>1.4</t>
        </is>
      </c>
      <c r="G153" s="3" t="inlineStr">
        <is>
          <t>-.-</t>
        </is>
      </c>
      <c r="H153" s="3" t="inlineStr">
        <is>
          <t>GOKOVA KORFEZI (EGE DENIZI)</t>
        </is>
      </c>
      <c r="I153" s="3">
        <f>HYPERLINK("https://www.openstreetmap.org/?mlat=36.9757&amp;mlon=27.9562&amp;zoom=9","Haritada Gör")</f>
        <v/>
      </c>
    </row>
    <row r="154">
      <c r="A154" s="3" t="inlineStr">
        <is>
          <t>2025.05.21</t>
        </is>
      </c>
      <c r="B154" s="3" t="inlineStr">
        <is>
          <t>10:58:34</t>
        </is>
      </c>
      <c r="C154" s="3" t="inlineStr">
        <is>
          <t>39.8712</t>
        </is>
      </c>
      <c r="D154" s="3" t="inlineStr">
        <is>
          <t>28.8023</t>
        </is>
      </c>
      <c r="E154" s="3" t="inlineStr">
        <is>
          <t>0.0</t>
        </is>
      </c>
      <c r="F154" s="3" t="inlineStr">
        <is>
          <t>1.8</t>
        </is>
      </c>
      <c r="G154" s="3" t="inlineStr">
        <is>
          <t>-.-</t>
        </is>
      </c>
      <c r="H154" s="3" t="inlineStr">
        <is>
          <t>YENIDANISMENT-ORHANELI (BURSA)</t>
        </is>
      </c>
      <c r="I154" s="3">
        <f>HYPERLINK("https://www.openstreetmap.org/?mlat=39.8712&amp;mlon=28.8023&amp;zoom=9","Haritada Gör")</f>
        <v/>
      </c>
    </row>
    <row r="155">
      <c r="A155" s="3" t="inlineStr">
        <is>
          <t>2025.05.21</t>
        </is>
      </c>
      <c r="B155" s="3" t="inlineStr">
        <is>
          <t>10:56:46</t>
        </is>
      </c>
      <c r="C155" s="3" t="inlineStr">
        <is>
          <t>37.0027</t>
        </is>
      </c>
      <c r="D155" s="3" t="inlineStr">
        <is>
          <t>27.9600</t>
        </is>
      </c>
      <c r="E155" s="3" t="inlineStr">
        <is>
          <t>5.4</t>
        </is>
      </c>
      <c r="F155" s="3" t="inlineStr">
        <is>
          <t>2.0</t>
        </is>
      </c>
      <c r="G155" s="3" t="inlineStr">
        <is>
          <t>-.-</t>
        </is>
      </c>
      <c r="H155" s="3" t="inlineStr">
        <is>
          <t>GOKOVA KORFEZI (EGE DENIZI)</t>
        </is>
      </c>
      <c r="I155" s="3">
        <f>HYPERLINK("https://www.openstreetmap.org/?mlat=37.0027&amp;mlon=27.9600&amp;zoom=9","Haritada Gör")</f>
        <v/>
      </c>
    </row>
    <row r="156">
      <c r="A156" s="3" t="inlineStr">
        <is>
          <t>2025.05.21</t>
        </is>
      </c>
      <c r="B156" s="3" t="inlineStr">
        <is>
          <t>09:59:48</t>
        </is>
      </c>
      <c r="C156" s="3" t="inlineStr">
        <is>
          <t>39.9333</t>
        </is>
      </c>
      <c r="D156" s="3" t="inlineStr">
        <is>
          <t>28.7925</t>
        </is>
      </c>
      <c r="E156" s="3" t="inlineStr">
        <is>
          <t>0.0</t>
        </is>
      </c>
      <c r="F156" s="3" t="inlineStr">
        <is>
          <t>2.1</t>
        </is>
      </c>
      <c r="G156" s="3" t="inlineStr">
        <is>
          <t>-.-</t>
        </is>
      </c>
      <c r="H156" s="3" t="inlineStr">
        <is>
          <t>CIVILI-ORHANELI (BURSA)</t>
        </is>
      </c>
      <c r="I156" s="3">
        <f>HYPERLINK("https://www.openstreetmap.org/?mlat=39.9333&amp;mlon=28.7925&amp;zoom=9","Haritada Gör")</f>
        <v/>
      </c>
    </row>
    <row r="157">
      <c r="A157" s="3" t="inlineStr">
        <is>
          <t>2025.05.21</t>
        </is>
      </c>
      <c r="B157" s="3" t="inlineStr">
        <is>
          <t>08:36:32</t>
        </is>
      </c>
      <c r="C157" s="3" t="inlineStr">
        <is>
          <t>38.2228</t>
        </is>
      </c>
      <c r="D157" s="3" t="inlineStr">
        <is>
          <t>37.6793</t>
        </is>
      </c>
      <c r="E157" s="3" t="inlineStr">
        <is>
          <t>10.2</t>
        </is>
      </c>
      <c r="F157" s="3" t="inlineStr">
        <is>
          <t>2.0</t>
        </is>
      </c>
      <c r="G157" s="3" t="inlineStr">
        <is>
          <t>-.-</t>
        </is>
      </c>
      <c r="H157" s="3" t="inlineStr">
        <is>
          <t>ATMALIKASANLI-ELBISTAN (KAHRAMANMARAS)</t>
        </is>
      </c>
      <c r="I157" s="3">
        <f>HYPERLINK("https://www.openstreetmap.org/?mlat=38.2228&amp;mlon=37.6793&amp;zoom=9","Haritada Gör")</f>
        <v/>
      </c>
    </row>
    <row r="158">
      <c r="A158" s="4" t="inlineStr">
        <is>
          <t>2025.05.21</t>
        </is>
      </c>
      <c r="B158" s="4" t="inlineStr">
        <is>
          <t>08:03:16</t>
        </is>
      </c>
      <c r="C158" s="4" t="inlineStr">
        <is>
          <t>38.2682</t>
        </is>
      </c>
      <c r="D158" s="4" t="inlineStr">
        <is>
          <t>37.7903</t>
        </is>
      </c>
      <c r="E158" s="4" t="inlineStr">
        <is>
          <t>5.0</t>
        </is>
      </c>
      <c r="F158" s="4" t="inlineStr">
        <is>
          <t>3.4</t>
        </is>
      </c>
      <c r="G158" s="4" t="inlineStr">
        <is>
          <t>3.3</t>
        </is>
      </c>
      <c r="H158" s="4" t="inlineStr">
        <is>
          <t>CEVIRME-AKCADAG (MALATYA)</t>
        </is>
      </c>
      <c r="I158" s="4">
        <f>HYPERLINK("https://www.openstreetmap.org/?mlat=38.2682&amp;mlon=37.7903&amp;zoom=9","Haritada Gör")</f>
        <v/>
      </c>
    </row>
    <row r="159">
      <c r="A159" s="3" t="inlineStr">
        <is>
          <t>2025.05.21</t>
        </is>
      </c>
      <c r="B159" s="3" t="inlineStr">
        <is>
          <t>07:09:30</t>
        </is>
      </c>
      <c r="C159" s="3" t="inlineStr">
        <is>
          <t>38.2963</t>
        </is>
      </c>
      <c r="D159" s="3" t="inlineStr">
        <is>
          <t>37.7482</t>
        </is>
      </c>
      <c r="E159" s="3" t="inlineStr">
        <is>
          <t>3.9</t>
        </is>
      </c>
      <c r="F159" s="3" t="inlineStr">
        <is>
          <t>2.3</t>
        </is>
      </c>
      <c r="G159" s="3" t="inlineStr">
        <is>
          <t>-.-</t>
        </is>
      </c>
      <c r="H159" s="3" t="inlineStr">
        <is>
          <t>CEVIRME-AKCADAG (MALATYA)</t>
        </is>
      </c>
      <c r="I159" s="3">
        <f>HYPERLINK("https://www.openstreetmap.org/?mlat=38.2963&amp;mlon=37.7482&amp;zoom=9","Haritada Gör")</f>
        <v/>
      </c>
    </row>
    <row r="160">
      <c r="A160" s="3" t="inlineStr">
        <is>
          <t>2025.05.21</t>
        </is>
      </c>
      <c r="B160" s="3" t="inlineStr">
        <is>
          <t>07:05:14</t>
        </is>
      </c>
      <c r="C160" s="3" t="inlineStr">
        <is>
          <t>36.0507</t>
        </is>
      </c>
      <c r="D160" s="3" t="inlineStr">
        <is>
          <t>28.9598</t>
        </is>
      </c>
      <c r="E160" s="3" t="inlineStr">
        <is>
          <t>12.5</t>
        </is>
      </c>
      <c r="F160" s="3" t="inlineStr">
        <is>
          <t>2.1</t>
        </is>
      </c>
      <c r="G160" s="3" t="inlineStr">
        <is>
          <t>-.-</t>
        </is>
      </c>
      <c r="H160" s="3" t="inlineStr">
        <is>
          <t>AKDENIZ</t>
        </is>
      </c>
      <c r="I160" s="3">
        <f>HYPERLINK("https://www.openstreetmap.org/?mlat=36.0507&amp;mlon=28.9598&amp;zoom=9","Haritada Gör")</f>
        <v/>
      </c>
    </row>
    <row r="161">
      <c r="A161" s="3" t="inlineStr">
        <is>
          <t>2025.05.21</t>
        </is>
      </c>
      <c r="B161" s="3" t="inlineStr">
        <is>
          <t>06:23:50</t>
        </is>
      </c>
      <c r="C161" s="3" t="inlineStr">
        <is>
          <t>38.3647</t>
        </is>
      </c>
      <c r="D161" s="3" t="inlineStr">
        <is>
          <t>38.7400</t>
        </is>
      </c>
      <c r="E161" s="3" t="inlineStr">
        <is>
          <t>5.2</t>
        </is>
      </c>
      <c r="F161" s="3" t="inlineStr">
        <is>
          <t>2.7</t>
        </is>
      </c>
      <c r="G161" s="3" t="inlineStr">
        <is>
          <t>-.-</t>
        </is>
      </c>
      <c r="H161" s="3" t="inlineStr">
        <is>
          <t>IKIZPINAR-KALE (MALATYA)</t>
        </is>
      </c>
      <c r="I161" s="3">
        <f>HYPERLINK("https://www.openstreetmap.org/?mlat=38.3647&amp;mlon=38.7400&amp;zoom=9","Haritada Gör")</f>
        <v/>
      </c>
    </row>
    <row r="162">
      <c r="A162" s="3" t="inlineStr">
        <is>
          <t>2025.05.21</t>
        </is>
      </c>
      <c r="B162" s="3" t="inlineStr">
        <is>
          <t>05:55:33</t>
        </is>
      </c>
      <c r="C162" s="3" t="inlineStr">
        <is>
          <t>38.6110</t>
        </is>
      </c>
      <c r="D162" s="3" t="inlineStr">
        <is>
          <t>37.9635</t>
        </is>
      </c>
      <c r="E162" s="3" t="inlineStr">
        <is>
          <t>4.2</t>
        </is>
      </c>
      <c r="F162" s="3" t="inlineStr">
        <is>
          <t>1.6</t>
        </is>
      </c>
      <c r="G162" s="3" t="inlineStr">
        <is>
          <t>-.-</t>
        </is>
      </c>
      <c r="H162" s="3" t="inlineStr">
        <is>
          <t>TAHTALI-YAZIHAN (MALATYA)</t>
        </is>
      </c>
      <c r="I162" s="3">
        <f>HYPERLINK("https://www.openstreetmap.org/?mlat=38.6110&amp;mlon=37.9635&amp;zoom=9","Haritada Gör")</f>
        <v/>
      </c>
    </row>
    <row r="163">
      <c r="A163" s="3" t="inlineStr">
        <is>
          <t>2025.05.21</t>
        </is>
      </c>
      <c r="B163" s="3" t="inlineStr">
        <is>
          <t>05:50:16</t>
        </is>
      </c>
      <c r="C163" s="3" t="inlineStr">
        <is>
          <t>39.0920</t>
        </is>
      </c>
      <c r="D163" s="3" t="inlineStr">
        <is>
          <t>33.2862</t>
        </is>
      </c>
      <c r="E163" s="3" t="inlineStr">
        <is>
          <t>5.2</t>
        </is>
      </c>
      <c r="F163" s="3" t="inlineStr">
        <is>
          <t>0.9</t>
        </is>
      </c>
      <c r="G163" s="3" t="inlineStr">
        <is>
          <t>-.-</t>
        </is>
      </c>
      <c r="H163" s="3" t="inlineStr">
        <is>
          <t>AKIN-SEREFLIKOCHISAR (ANKARA)</t>
        </is>
      </c>
      <c r="I163" s="3">
        <f>HYPERLINK("https://www.openstreetmap.org/?mlat=39.0920&amp;mlon=33.2862&amp;zoom=9","Haritada Gör")</f>
        <v/>
      </c>
    </row>
    <row r="164">
      <c r="A164" s="3" t="inlineStr">
        <is>
          <t>2025.05.21</t>
        </is>
      </c>
      <c r="B164" s="3" t="inlineStr">
        <is>
          <t>05:41:58</t>
        </is>
      </c>
      <c r="C164" s="3" t="inlineStr">
        <is>
          <t>36.7132</t>
        </is>
      </c>
      <c r="D164" s="3" t="inlineStr">
        <is>
          <t>31.9037</t>
        </is>
      </c>
      <c r="E164" s="3" t="inlineStr">
        <is>
          <t>8.4</t>
        </is>
      </c>
      <c r="F164" s="3" t="inlineStr">
        <is>
          <t>2.0</t>
        </is>
      </c>
      <c r="G164" s="3" t="inlineStr">
        <is>
          <t>-.-</t>
        </is>
      </c>
      <c r="H164" s="3" t="inlineStr">
        <is>
          <t>GUZELBAG-ALANYA (ANTALYA)</t>
        </is>
      </c>
      <c r="I164" s="3">
        <f>HYPERLINK("https://www.openstreetmap.org/?mlat=36.7132&amp;mlon=31.9037&amp;zoom=9","Haritada Gör")</f>
        <v/>
      </c>
    </row>
    <row r="165">
      <c r="A165" s="3" t="inlineStr">
        <is>
          <t>2025.05.21</t>
        </is>
      </c>
      <c r="B165" s="3" t="inlineStr">
        <is>
          <t>05:36:24</t>
        </is>
      </c>
      <c r="C165" s="3" t="inlineStr">
        <is>
          <t>38.3958</t>
        </is>
      </c>
      <c r="D165" s="3" t="inlineStr">
        <is>
          <t>37.2530</t>
        </is>
      </c>
      <c r="E165" s="3" t="inlineStr">
        <is>
          <t>4.0</t>
        </is>
      </c>
      <c r="F165" s="3" t="inlineStr">
        <is>
          <t>1.4</t>
        </is>
      </c>
      <c r="G165" s="3" t="inlineStr">
        <is>
          <t>-.-</t>
        </is>
      </c>
      <c r="H165" s="3" t="inlineStr">
        <is>
          <t>GOKCEK-ELBISTAN (KAHRAMANMARAS)</t>
        </is>
      </c>
      <c r="I165" s="3">
        <f>HYPERLINK("https://www.openstreetmap.org/?mlat=38.3958&amp;mlon=37.2530&amp;zoom=9","Haritada Gör")</f>
        <v/>
      </c>
    </row>
    <row r="166">
      <c r="A166" s="3" t="inlineStr">
        <is>
          <t>2025.05.21</t>
        </is>
      </c>
      <c r="B166" s="3" t="inlineStr">
        <is>
          <t>05:08:11</t>
        </is>
      </c>
      <c r="C166" s="3" t="inlineStr">
        <is>
          <t>39.0697</t>
        </is>
      </c>
      <c r="D166" s="3" t="inlineStr">
        <is>
          <t>33.2545</t>
        </is>
      </c>
      <c r="E166" s="3" t="inlineStr">
        <is>
          <t>4.9</t>
        </is>
      </c>
      <c r="F166" s="3" t="inlineStr">
        <is>
          <t>1.9</t>
        </is>
      </c>
      <c r="G166" s="3" t="inlineStr">
        <is>
          <t>-.-</t>
        </is>
      </c>
      <c r="H166" s="3" t="inlineStr">
        <is>
          <t>KIRKKUYU-KULU (KONYA)</t>
        </is>
      </c>
      <c r="I166" s="3">
        <f>HYPERLINK("https://www.openstreetmap.org/?mlat=39.0697&amp;mlon=33.2545&amp;zoom=9","Haritada Gör")</f>
        <v/>
      </c>
    </row>
    <row r="167">
      <c r="A167" s="3" t="inlineStr">
        <is>
          <t>2025.05.21</t>
        </is>
      </c>
      <c r="B167" s="3" t="inlineStr">
        <is>
          <t>04:50:39</t>
        </is>
      </c>
      <c r="C167" s="3" t="inlineStr">
        <is>
          <t>39.0582</t>
        </is>
      </c>
      <c r="D167" s="3" t="inlineStr">
        <is>
          <t>35.9315</t>
        </is>
      </c>
      <c r="E167" s="3" t="inlineStr">
        <is>
          <t>4.6</t>
        </is>
      </c>
      <c r="F167" s="3" t="inlineStr">
        <is>
          <t>1.9</t>
        </is>
      </c>
      <c r="G167" s="3" t="inlineStr">
        <is>
          <t>-.-</t>
        </is>
      </c>
      <c r="H167" s="3" t="inlineStr">
        <is>
          <t>SARIOGLAN (KAYSERI)</t>
        </is>
      </c>
      <c r="I167" s="3">
        <f>HYPERLINK("https://www.openstreetmap.org/?mlat=39.0582&amp;mlon=35.9315&amp;zoom=9","Haritada Gör")</f>
        <v/>
      </c>
    </row>
    <row r="168">
      <c r="A168" s="3" t="inlineStr">
        <is>
          <t>2025.05.21</t>
        </is>
      </c>
      <c r="B168" s="3" t="inlineStr">
        <is>
          <t>04:40:44</t>
        </is>
      </c>
      <c r="C168" s="3" t="inlineStr">
        <is>
          <t>37.8565</t>
        </is>
      </c>
      <c r="D168" s="3" t="inlineStr">
        <is>
          <t>26.9112</t>
        </is>
      </c>
      <c r="E168" s="3" t="inlineStr">
        <is>
          <t>3.6</t>
        </is>
      </c>
      <c r="F168" s="3" t="inlineStr">
        <is>
          <t>1.6</t>
        </is>
      </c>
      <c r="G168" s="3" t="inlineStr">
        <is>
          <t>-.-</t>
        </is>
      </c>
      <c r="H168" s="3" t="inlineStr">
        <is>
          <t>KUSADASI KORFEZI (EGE DENIZI)</t>
        </is>
      </c>
      <c r="I168" s="3">
        <f>HYPERLINK("https://www.openstreetmap.org/?mlat=37.8565&amp;mlon=26.9112&amp;zoom=9","Haritada Gör")</f>
        <v/>
      </c>
    </row>
    <row r="169">
      <c r="A169" s="3" t="inlineStr">
        <is>
          <t>2025.05.21</t>
        </is>
      </c>
      <c r="B169" s="3" t="inlineStr">
        <is>
          <t>04:25:55</t>
        </is>
      </c>
      <c r="C169" s="3" t="inlineStr">
        <is>
          <t>40.6188</t>
        </is>
      </c>
      <c r="D169" s="3" t="inlineStr">
        <is>
          <t>23.7955</t>
        </is>
      </c>
      <c r="E169" s="3" t="inlineStr">
        <is>
          <t>5.6</t>
        </is>
      </c>
      <c r="F169" s="3" t="inlineStr">
        <is>
          <t>1.4</t>
        </is>
      </c>
      <c r="G169" s="3" t="inlineStr">
        <is>
          <t>-.-</t>
        </is>
      </c>
      <c r="H169" s="3" t="inlineStr">
        <is>
          <t>YUNANISTAN</t>
        </is>
      </c>
      <c r="I169" s="3">
        <f>HYPERLINK("https://www.openstreetmap.org/?mlat=40.6188&amp;mlon=23.7955&amp;zoom=9","Haritada Gör")</f>
        <v/>
      </c>
    </row>
    <row r="170">
      <c r="A170" s="3" t="inlineStr">
        <is>
          <t>2025.05.21</t>
        </is>
      </c>
      <c r="B170" s="3" t="inlineStr">
        <is>
          <t>03:59:03</t>
        </is>
      </c>
      <c r="C170" s="3" t="inlineStr">
        <is>
          <t>38.0452</t>
        </is>
      </c>
      <c r="D170" s="3" t="inlineStr">
        <is>
          <t>38.2570</t>
        </is>
      </c>
      <c r="E170" s="3" t="inlineStr">
        <is>
          <t>22.8</t>
        </is>
      </c>
      <c r="F170" s="3" t="inlineStr">
        <is>
          <t>1.0</t>
        </is>
      </c>
      <c r="G170" s="3" t="inlineStr">
        <is>
          <t>-.-</t>
        </is>
      </c>
      <c r="H170" s="3" t="inlineStr">
        <is>
          <t>CELIKHAN (ADIYAMAN)</t>
        </is>
      </c>
      <c r="I170" s="3">
        <f>HYPERLINK("https://www.openstreetmap.org/?mlat=38.0452&amp;mlon=38.2570&amp;zoom=9","Haritada Gör")</f>
        <v/>
      </c>
    </row>
    <row r="171">
      <c r="A171" s="4" t="inlineStr">
        <is>
          <t>2025.05.21</t>
        </is>
      </c>
      <c r="B171" s="4" t="inlineStr">
        <is>
          <t>03:49:29</t>
        </is>
      </c>
      <c r="C171" s="4" t="inlineStr">
        <is>
          <t>37.8955</t>
        </is>
      </c>
      <c r="D171" s="4" t="inlineStr">
        <is>
          <t>37.8670</t>
        </is>
      </c>
      <c r="E171" s="4" t="inlineStr">
        <is>
          <t>9.5</t>
        </is>
      </c>
      <c r="F171" s="4" t="inlineStr">
        <is>
          <t>3.2</t>
        </is>
      </c>
      <c r="G171" s="4" t="inlineStr">
        <is>
          <t>3.1</t>
        </is>
      </c>
      <c r="H171" s="4" t="inlineStr">
        <is>
          <t>CANKARA-GOLBASI (ADIYAMAN)</t>
        </is>
      </c>
      <c r="I171" s="4">
        <f>HYPERLINK("https://www.openstreetmap.org/?mlat=37.8955&amp;mlon=37.8670&amp;zoom=9","Haritada Gör")</f>
        <v/>
      </c>
    </row>
    <row r="172">
      <c r="A172" s="3" t="inlineStr">
        <is>
          <t>2025.05.21</t>
        </is>
      </c>
      <c r="B172" s="3" t="inlineStr">
        <is>
          <t>03:30:21</t>
        </is>
      </c>
      <c r="C172" s="3" t="inlineStr">
        <is>
          <t>40.3460</t>
        </is>
      </c>
      <c r="D172" s="3" t="inlineStr">
        <is>
          <t>37.8360</t>
        </is>
      </c>
      <c r="E172" s="3" t="inlineStr">
        <is>
          <t>5.9</t>
        </is>
      </c>
      <c r="F172" s="3" t="inlineStr">
        <is>
          <t>1.7</t>
        </is>
      </c>
      <c r="G172" s="3" t="inlineStr">
        <is>
          <t>-.-</t>
        </is>
      </c>
      <c r="H172" s="3" t="inlineStr">
        <is>
          <t>ARPAALAN-MESUDIYE (ORDU)</t>
        </is>
      </c>
      <c r="I172" s="3">
        <f>HYPERLINK("https://www.openstreetmap.org/?mlat=40.3460&amp;mlon=37.8360&amp;zoom=9","Haritada Gör")</f>
        <v/>
      </c>
    </row>
    <row r="173">
      <c r="A173" s="3" t="inlineStr">
        <is>
          <t>2025.05.21</t>
        </is>
      </c>
      <c r="B173" s="3" t="inlineStr">
        <is>
          <t>03:11:15</t>
        </is>
      </c>
      <c r="C173" s="3" t="inlineStr">
        <is>
          <t>37.9973</t>
        </is>
      </c>
      <c r="D173" s="3" t="inlineStr">
        <is>
          <t>36.6312</t>
        </is>
      </c>
      <c r="E173" s="3" t="inlineStr">
        <is>
          <t>6.4</t>
        </is>
      </c>
      <c r="F173" s="3" t="inlineStr">
        <is>
          <t>1.3</t>
        </is>
      </c>
      <c r="G173" s="3" t="inlineStr">
        <is>
          <t>-.-</t>
        </is>
      </c>
      <c r="H173" s="3" t="inlineStr">
        <is>
          <t>ELMALI-GOKSUN (KAHRAMANMARAS)</t>
        </is>
      </c>
      <c r="I173" s="3">
        <f>HYPERLINK("https://www.openstreetmap.org/?mlat=37.9973&amp;mlon=36.6312&amp;zoom=9","Haritada Gör")</f>
        <v/>
      </c>
    </row>
    <row r="174">
      <c r="A174" s="3" t="inlineStr">
        <is>
          <t>2025.05.21</t>
        </is>
      </c>
      <c r="B174" s="3" t="inlineStr">
        <is>
          <t>02:39:14</t>
        </is>
      </c>
      <c r="C174" s="3" t="inlineStr">
        <is>
          <t>39.0863</t>
        </is>
      </c>
      <c r="D174" s="3" t="inlineStr">
        <is>
          <t>33.2893</t>
        </is>
      </c>
      <c r="E174" s="3" t="inlineStr">
        <is>
          <t>19.9</t>
        </is>
      </c>
      <c r="F174" s="3" t="inlineStr">
        <is>
          <t>1.2</t>
        </is>
      </c>
      <c r="G174" s="3" t="inlineStr">
        <is>
          <t>-.-</t>
        </is>
      </c>
      <c r="H174" s="3" t="inlineStr">
        <is>
          <t>AKIN-SEREFLIKOCHISAR (ANKARA)</t>
        </is>
      </c>
      <c r="I174" s="3">
        <f>HYPERLINK("https://www.openstreetmap.org/?mlat=39.0863&amp;mlon=33.2893&amp;zoom=9","Haritada Gör")</f>
        <v/>
      </c>
    </row>
    <row r="175">
      <c r="A175" s="3" t="inlineStr">
        <is>
          <t>2025.05.21</t>
        </is>
      </c>
      <c r="B175" s="3" t="inlineStr">
        <is>
          <t>02:38:04</t>
        </is>
      </c>
      <c r="C175" s="3" t="inlineStr">
        <is>
          <t>39.4137</t>
        </is>
      </c>
      <c r="D175" s="3" t="inlineStr">
        <is>
          <t>26.2392</t>
        </is>
      </c>
      <c r="E175" s="3" t="inlineStr">
        <is>
          <t>6.0</t>
        </is>
      </c>
      <c r="F175" s="3" t="inlineStr">
        <is>
          <t>2.0</t>
        </is>
      </c>
      <c r="G175" s="3" t="inlineStr">
        <is>
          <t>-.-</t>
        </is>
      </c>
      <c r="H175" s="3" t="inlineStr">
        <is>
          <t>MIDILLI ADASI (EGE DENIZI)</t>
        </is>
      </c>
      <c r="I175" s="3">
        <f>HYPERLINK("https://www.openstreetmap.org/?mlat=39.4137&amp;mlon=26.2392&amp;zoom=9","Haritada Gör")</f>
        <v/>
      </c>
    </row>
    <row r="176">
      <c r="A176" s="3" t="inlineStr">
        <is>
          <t>2025.05.21</t>
        </is>
      </c>
      <c r="B176" s="3" t="inlineStr">
        <is>
          <t>02:08:58</t>
        </is>
      </c>
      <c r="C176" s="3" t="inlineStr">
        <is>
          <t>39.2402</t>
        </is>
      </c>
      <c r="D176" s="3" t="inlineStr">
        <is>
          <t>29.0160</t>
        </is>
      </c>
      <c r="E176" s="3" t="inlineStr">
        <is>
          <t>13.4</t>
        </is>
      </c>
      <c r="F176" s="3" t="inlineStr">
        <is>
          <t>1.3</t>
        </is>
      </c>
      <c r="G176" s="3" t="inlineStr">
        <is>
          <t>-.-</t>
        </is>
      </c>
      <c r="H176" s="3" t="inlineStr">
        <is>
          <t>YEMISLI-SIMAV (KUTAHYA)</t>
        </is>
      </c>
      <c r="I176" s="3">
        <f>HYPERLINK("https://www.openstreetmap.org/?mlat=39.2402&amp;mlon=29.0160&amp;zoom=9","Haritada Gör")</f>
        <v/>
      </c>
    </row>
    <row r="177">
      <c r="A177" s="3" t="inlineStr">
        <is>
          <t>2025.05.21</t>
        </is>
      </c>
      <c r="B177" s="3" t="inlineStr">
        <is>
          <t>01:51:27</t>
        </is>
      </c>
      <c r="C177" s="3" t="inlineStr">
        <is>
          <t>36.2685</t>
        </is>
      </c>
      <c r="D177" s="3" t="inlineStr">
        <is>
          <t>35.9935</t>
        </is>
      </c>
      <c r="E177" s="3" t="inlineStr">
        <is>
          <t>4.7</t>
        </is>
      </c>
      <c r="F177" s="3" t="inlineStr">
        <is>
          <t>1.7</t>
        </is>
      </c>
      <c r="G177" s="3" t="inlineStr">
        <is>
          <t>-.-</t>
        </is>
      </c>
      <c r="H177" s="3" t="inlineStr">
        <is>
          <t>CEYLANDERE-SAMANDAG (HATAY)</t>
        </is>
      </c>
      <c r="I177" s="3">
        <f>HYPERLINK("https://www.openstreetmap.org/?mlat=36.2685&amp;mlon=35.9935&amp;zoom=9","Haritada Gör")</f>
        <v/>
      </c>
    </row>
    <row r="178">
      <c r="A178" s="3" t="inlineStr">
        <is>
          <t>2025.05.21</t>
        </is>
      </c>
      <c r="B178" s="3" t="inlineStr">
        <is>
          <t>01:49:36</t>
        </is>
      </c>
      <c r="C178" s="3" t="inlineStr">
        <is>
          <t>36.0728</t>
        </is>
      </c>
      <c r="D178" s="3" t="inlineStr">
        <is>
          <t>28.0862</t>
        </is>
      </c>
      <c r="E178" s="3" t="inlineStr">
        <is>
          <t>5.0</t>
        </is>
      </c>
      <c r="F178" s="3" t="inlineStr">
        <is>
          <t>2.3</t>
        </is>
      </c>
      <c r="G178" s="3" t="inlineStr">
        <is>
          <t>-.-</t>
        </is>
      </c>
      <c r="H178" s="3" t="inlineStr">
        <is>
          <t>AKDENIZ</t>
        </is>
      </c>
      <c r="I178" s="3">
        <f>HYPERLINK("https://www.openstreetmap.org/?mlat=36.0728&amp;mlon=28.0862&amp;zoom=9","Haritada Gör")</f>
        <v/>
      </c>
    </row>
    <row r="179">
      <c r="A179" s="3" t="inlineStr">
        <is>
          <t>2025.05.21</t>
        </is>
      </c>
      <c r="B179" s="3" t="inlineStr">
        <is>
          <t>01:34:13</t>
        </is>
      </c>
      <c r="C179" s="3" t="inlineStr">
        <is>
          <t>38.0337</t>
        </is>
      </c>
      <c r="D179" s="3" t="inlineStr">
        <is>
          <t>37.2280</t>
        </is>
      </c>
      <c r="E179" s="3" t="inlineStr">
        <is>
          <t>14.8</t>
        </is>
      </c>
      <c r="F179" s="3" t="inlineStr">
        <is>
          <t>1.3</t>
        </is>
      </c>
      <c r="G179" s="3" t="inlineStr">
        <is>
          <t>-.-</t>
        </is>
      </c>
      <c r="H179" s="3" t="inlineStr">
        <is>
          <t>GOZPINAR-EKINOZU (KAHRAMANMARAS)</t>
        </is>
      </c>
      <c r="I179" s="3">
        <f>HYPERLINK("https://www.openstreetmap.org/?mlat=38.0337&amp;mlon=37.2280&amp;zoom=9","Haritada Gör")</f>
        <v/>
      </c>
    </row>
    <row r="180">
      <c r="A180" s="3" t="inlineStr">
        <is>
          <t>2025.05.21</t>
        </is>
      </c>
      <c r="B180" s="3" t="inlineStr">
        <is>
          <t>01:11:30</t>
        </is>
      </c>
      <c r="C180" s="3" t="inlineStr">
        <is>
          <t>37.8378</t>
        </is>
      </c>
      <c r="D180" s="3" t="inlineStr">
        <is>
          <t>27.1742</t>
        </is>
      </c>
      <c r="E180" s="3" t="inlineStr">
        <is>
          <t>6.9</t>
        </is>
      </c>
      <c r="F180" s="3" t="inlineStr">
        <is>
          <t>1.7</t>
        </is>
      </c>
      <c r="G180" s="3" t="inlineStr">
        <is>
          <t>-.-</t>
        </is>
      </c>
      <c r="H180" s="3" t="inlineStr">
        <is>
          <t>KUSADASI KORFEZI (EGE DENIZI)</t>
        </is>
      </c>
      <c r="I180" s="3">
        <f>HYPERLINK("https://www.openstreetmap.org/?mlat=37.8378&amp;mlon=27.1742&amp;zoom=9","Haritada Gör")</f>
        <v/>
      </c>
    </row>
    <row r="181">
      <c r="A181" s="3" t="inlineStr">
        <is>
          <t>2025.05.21</t>
        </is>
      </c>
      <c r="B181" s="3" t="inlineStr">
        <is>
          <t>00:56:39</t>
        </is>
      </c>
      <c r="C181" s="3" t="inlineStr">
        <is>
          <t>40.8152</t>
        </is>
      </c>
      <c r="D181" s="3" t="inlineStr">
        <is>
          <t>28.3930</t>
        </is>
      </c>
      <c r="E181" s="3" t="inlineStr">
        <is>
          <t>12.7</t>
        </is>
      </c>
      <c r="F181" s="3" t="inlineStr">
        <is>
          <t>2.3</t>
        </is>
      </c>
      <c r="G181" s="3" t="inlineStr">
        <is>
          <t>-.-</t>
        </is>
      </c>
      <c r="H181" s="3" t="inlineStr">
        <is>
          <t>MARMARA DENIZI</t>
        </is>
      </c>
      <c r="I181" s="3">
        <f>HYPERLINK("https://www.openstreetmap.org/?mlat=40.8152&amp;mlon=28.3930&amp;zoom=9","Haritada Gör")</f>
        <v/>
      </c>
    </row>
    <row r="182">
      <c r="A182" s="3" t="inlineStr">
        <is>
          <t>2025.05.21</t>
        </is>
      </c>
      <c r="B182" s="3" t="inlineStr">
        <is>
          <t>00:52:48</t>
        </is>
      </c>
      <c r="C182" s="3" t="inlineStr">
        <is>
          <t>38.0990</t>
        </is>
      </c>
      <c r="D182" s="3" t="inlineStr">
        <is>
          <t>38.1923</t>
        </is>
      </c>
      <c r="E182" s="3" t="inlineStr">
        <is>
          <t>5.1</t>
        </is>
      </c>
      <c r="F182" s="3" t="inlineStr">
        <is>
          <t>1.5</t>
        </is>
      </c>
      <c r="G182" s="3" t="inlineStr">
        <is>
          <t>-.-</t>
        </is>
      </c>
      <c r="H182" s="3" t="inlineStr">
        <is>
          <t>CAMPINAR-CELIKHAN (ADIYAMAN)</t>
        </is>
      </c>
      <c r="I182" s="3">
        <f>HYPERLINK("https://www.openstreetmap.org/?mlat=38.0990&amp;mlon=38.1923&amp;zoom=9","Haritada Gör")</f>
        <v/>
      </c>
    </row>
    <row r="183">
      <c r="A183" s="3" t="inlineStr">
        <is>
          <t>2025.05.21</t>
        </is>
      </c>
      <c r="B183" s="3" t="inlineStr">
        <is>
          <t>00:43:02</t>
        </is>
      </c>
      <c r="C183" s="3" t="inlineStr">
        <is>
          <t>40.1403</t>
        </is>
      </c>
      <c r="D183" s="3" t="inlineStr">
        <is>
          <t>26.4855</t>
        </is>
      </c>
      <c r="E183" s="3" t="inlineStr">
        <is>
          <t>13.2</t>
        </is>
      </c>
      <c r="F183" s="3" t="inlineStr">
        <is>
          <t>1.7</t>
        </is>
      </c>
      <c r="G183" s="3" t="inlineStr">
        <is>
          <t>-.-</t>
        </is>
      </c>
      <c r="H183" s="3" t="inlineStr">
        <is>
          <t>KURSUNLU-(CANAKKALE)</t>
        </is>
      </c>
      <c r="I183" s="3">
        <f>HYPERLINK("https://www.openstreetmap.org/?mlat=40.1403&amp;mlon=26.4855&amp;zoom=9","Haritada Gör")</f>
        <v/>
      </c>
    </row>
    <row r="184">
      <c r="A184" s="3" t="inlineStr">
        <is>
          <t>2025.05.21</t>
        </is>
      </c>
      <c r="B184" s="3" t="inlineStr">
        <is>
          <t>00:29:53</t>
        </is>
      </c>
      <c r="C184" s="3" t="inlineStr">
        <is>
          <t>40.8040</t>
        </is>
      </c>
      <c r="D184" s="3" t="inlineStr">
        <is>
          <t>28.3485</t>
        </is>
      </c>
      <c r="E184" s="3" t="inlineStr">
        <is>
          <t>18.4</t>
        </is>
      </c>
      <c r="F184" s="3" t="inlineStr">
        <is>
          <t>1.5</t>
        </is>
      </c>
      <c r="G184" s="3" t="inlineStr">
        <is>
          <t>-.-</t>
        </is>
      </c>
      <c r="H184" s="3" t="inlineStr">
        <is>
          <t>MARMARA DENIZI</t>
        </is>
      </c>
      <c r="I184" s="3">
        <f>HYPERLINK("https://www.openstreetmap.org/?mlat=40.8040&amp;mlon=28.3485&amp;zoom=9","Haritada Gör")</f>
        <v/>
      </c>
    </row>
    <row r="185">
      <c r="A185" s="3" t="inlineStr">
        <is>
          <t>2025.05.21</t>
        </is>
      </c>
      <c r="B185" s="3" t="inlineStr">
        <is>
          <t>00:00:44</t>
        </is>
      </c>
      <c r="C185" s="3" t="inlineStr">
        <is>
          <t>38.4390</t>
        </is>
      </c>
      <c r="D185" s="3" t="inlineStr">
        <is>
          <t>38.9722</t>
        </is>
      </c>
      <c r="E185" s="3" t="inlineStr">
        <is>
          <t>9.2</t>
        </is>
      </c>
      <c r="F185" s="3" t="inlineStr">
        <is>
          <t>1.4</t>
        </is>
      </c>
      <c r="G185" s="3" t="inlineStr">
        <is>
          <t>-.-</t>
        </is>
      </c>
      <c r="H185" s="3" t="inlineStr">
        <is>
          <t>YARUSAGI-SIVRICE (ELAZIG)</t>
        </is>
      </c>
      <c r="I185" s="3">
        <f>HYPERLINK("https://www.openstreetmap.org/?mlat=38.4390&amp;mlon=38.9722&amp;zoom=9","Haritada Gör")</f>
        <v/>
      </c>
    </row>
    <row r="186">
      <c r="A186" s="4" t="inlineStr">
        <is>
          <t>2025.05.20</t>
        </is>
      </c>
      <c r="B186" s="4" t="inlineStr">
        <is>
          <t>23:36:52</t>
        </is>
      </c>
      <c r="C186" s="4" t="inlineStr">
        <is>
          <t>40.8158</t>
        </is>
      </c>
      <c r="D186" s="4" t="inlineStr">
        <is>
          <t>28.3810</t>
        </is>
      </c>
      <c r="E186" s="4" t="inlineStr">
        <is>
          <t>14.9</t>
        </is>
      </c>
      <c r="F186" s="4" t="inlineStr">
        <is>
          <t>4.2</t>
        </is>
      </c>
      <c r="G186" s="4" t="inlineStr">
        <is>
          <t>-.-</t>
        </is>
      </c>
      <c r="H186" s="4" t="inlineStr">
        <is>
          <t>MARMARA DENIZI</t>
        </is>
      </c>
      <c r="I186" s="4">
        <f>HYPERLINK("https://www.openstreetmap.org/?mlat=40.8158&amp;mlon=28.3810&amp;zoom=9","Haritada Gör")</f>
        <v/>
      </c>
    </row>
    <row r="187">
      <c r="A187" s="3" t="inlineStr">
        <is>
          <t>2025.05.20</t>
        </is>
      </c>
      <c r="B187" s="3" t="inlineStr">
        <is>
          <t>23:14:25</t>
        </is>
      </c>
      <c r="C187" s="3" t="inlineStr">
        <is>
          <t>39.2418</t>
        </is>
      </c>
      <c r="D187" s="3" t="inlineStr">
        <is>
          <t>29.0058</t>
        </is>
      </c>
      <c r="E187" s="3" t="inlineStr">
        <is>
          <t>6.8</t>
        </is>
      </c>
      <c r="F187" s="3" t="inlineStr">
        <is>
          <t>2.1</t>
        </is>
      </c>
      <c r="G187" s="3" t="inlineStr">
        <is>
          <t>-.-</t>
        </is>
      </c>
      <c r="H187" s="3" t="inlineStr">
        <is>
          <t>YEMISLI-SIMAV (KUTAHYA)</t>
        </is>
      </c>
      <c r="I187" s="3">
        <f>HYPERLINK("https://www.openstreetmap.org/?mlat=39.2418&amp;mlon=29.0058&amp;zoom=9","Haritada Gör")</f>
        <v/>
      </c>
    </row>
    <row r="188">
      <c r="A188" s="3" t="inlineStr">
        <is>
          <t>2025.05.20</t>
        </is>
      </c>
      <c r="B188" s="3" t="inlineStr">
        <is>
          <t>22:54:56</t>
        </is>
      </c>
      <c r="C188" s="3" t="inlineStr">
        <is>
          <t>35.8690</t>
        </is>
      </c>
      <c r="D188" s="3" t="inlineStr">
        <is>
          <t>27.2813</t>
        </is>
      </c>
      <c r="E188" s="3" t="inlineStr">
        <is>
          <t>10.4</t>
        </is>
      </c>
      <c r="F188" s="3" t="inlineStr">
        <is>
          <t>2.2</t>
        </is>
      </c>
      <c r="G188" s="3" t="inlineStr">
        <is>
          <t>-.-</t>
        </is>
      </c>
      <c r="H188" s="3" t="inlineStr">
        <is>
          <t>EGE DENIZI</t>
        </is>
      </c>
      <c r="I188" s="3">
        <f>HYPERLINK("https://www.openstreetmap.org/?mlat=35.8690&amp;mlon=27.2813&amp;zoom=9","Haritada Gör")</f>
        <v/>
      </c>
    </row>
    <row r="189">
      <c r="A189" s="3" t="inlineStr">
        <is>
          <t>2025.05.20</t>
        </is>
      </c>
      <c r="B189" s="3" t="inlineStr">
        <is>
          <t>22:25:49</t>
        </is>
      </c>
      <c r="C189" s="3" t="inlineStr">
        <is>
          <t>38.2223</t>
        </is>
      </c>
      <c r="D189" s="3" t="inlineStr">
        <is>
          <t>38.6032</t>
        </is>
      </c>
      <c r="E189" s="3" t="inlineStr">
        <is>
          <t>7.0</t>
        </is>
      </c>
      <c r="F189" s="3" t="inlineStr">
        <is>
          <t>1.9</t>
        </is>
      </c>
      <c r="G189" s="3" t="inlineStr">
        <is>
          <t>-.-</t>
        </is>
      </c>
      <c r="H189" s="3" t="inlineStr">
        <is>
          <t>SOGUTLU-PUTURGE (MALATYA)</t>
        </is>
      </c>
      <c r="I189" s="3">
        <f>HYPERLINK("https://www.openstreetmap.org/?mlat=38.2223&amp;mlon=38.6032&amp;zoom=9","Haritada Gör")</f>
        <v/>
      </c>
    </row>
    <row r="190">
      <c r="A190" s="3" t="inlineStr">
        <is>
          <t>2025.05.20</t>
        </is>
      </c>
      <c r="B190" s="3" t="inlineStr">
        <is>
          <t>21:42:32</t>
        </is>
      </c>
      <c r="C190" s="3" t="inlineStr">
        <is>
          <t>39.0425</t>
        </is>
      </c>
      <c r="D190" s="3" t="inlineStr">
        <is>
          <t>28.6552</t>
        </is>
      </c>
      <c r="E190" s="3" t="inlineStr">
        <is>
          <t>6.0</t>
        </is>
      </c>
      <c r="F190" s="3" t="inlineStr">
        <is>
          <t>1.3</t>
        </is>
      </c>
      <c r="G190" s="3" t="inlineStr">
        <is>
          <t>-.-</t>
        </is>
      </c>
      <c r="H190" s="3" t="inlineStr">
        <is>
          <t>DEMIRCI (MANISA)</t>
        </is>
      </c>
      <c r="I190" s="3">
        <f>HYPERLINK("https://www.openstreetmap.org/?mlat=39.0425&amp;mlon=28.6552&amp;zoom=9","Haritada Gör")</f>
        <v/>
      </c>
    </row>
    <row r="191">
      <c r="A191" s="3" t="inlineStr">
        <is>
          <t>2025.05.20</t>
        </is>
      </c>
      <c r="B191" s="3" t="inlineStr">
        <is>
          <t>21:40:44</t>
        </is>
      </c>
      <c r="C191" s="3" t="inlineStr">
        <is>
          <t>40.9095</t>
        </is>
      </c>
      <c r="D191" s="3" t="inlineStr">
        <is>
          <t>28.2958</t>
        </is>
      </c>
      <c r="E191" s="3" t="inlineStr">
        <is>
          <t>20.0</t>
        </is>
      </c>
      <c r="F191" s="3" t="inlineStr">
        <is>
          <t>1.3</t>
        </is>
      </c>
      <c r="G191" s="3" t="inlineStr">
        <is>
          <t>-.-</t>
        </is>
      </c>
      <c r="H191" s="3" t="inlineStr">
        <is>
          <t>MARMARA DENIZI</t>
        </is>
      </c>
      <c r="I191" s="3">
        <f>HYPERLINK("https://www.openstreetmap.org/?mlat=40.9095&amp;mlon=28.2958&amp;zoom=9","Haritada Gör")</f>
        <v/>
      </c>
    </row>
    <row r="192">
      <c r="A192" s="3" t="inlineStr">
        <is>
          <t>2025.05.20</t>
        </is>
      </c>
      <c r="B192" s="3" t="inlineStr">
        <is>
          <t>21:02:40</t>
        </is>
      </c>
      <c r="C192" s="3" t="inlineStr">
        <is>
          <t>39.4050</t>
        </is>
      </c>
      <c r="D192" s="3" t="inlineStr">
        <is>
          <t>26.2518</t>
        </is>
      </c>
      <c r="E192" s="3" t="inlineStr">
        <is>
          <t>9.5</t>
        </is>
      </c>
      <c r="F192" s="3" t="inlineStr">
        <is>
          <t>1.9</t>
        </is>
      </c>
      <c r="G192" s="3" t="inlineStr">
        <is>
          <t>-.-</t>
        </is>
      </c>
      <c r="H192" s="3" t="inlineStr">
        <is>
          <t>MIDILLI ADASI (EGE DENIZI)</t>
        </is>
      </c>
      <c r="I192" s="3">
        <f>HYPERLINK("https://www.openstreetmap.org/?mlat=39.4050&amp;mlon=26.2518&amp;zoom=9","Haritada Gör")</f>
        <v/>
      </c>
    </row>
    <row r="193">
      <c r="A193" s="3" t="inlineStr">
        <is>
          <t>2025.05.20</t>
        </is>
      </c>
      <c r="B193" s="3" t="inlineStr">
        <is>
          <t>20:40:02</t>
        </is>
      </c>
      <c r="C193" s="3" t="inlineStr">
        <is>
          <t>39.0165</t>
        </is>
      </c>
      <c r="D193" s="3" t="inlineStr">
        <is>
          <t>28.6925</t>
        </is>
      </c>
      <c r="E193" s="3" t="inlineStr">
        <is>
          <t>11.4</t>
        </is>
      </c>
      <c r="F193" s="3" t="inlineStr">
        <is>
          <t>1.4</t>
        </is>
      </c>
      <c r="G193" s="3" t="inlineStr">
        <is>
          <t>-.-</t>
        </is>
      </c>
      <c r="H193" s="3" t="inlineStr">
        <is>
          <t>ESKIHISAR-DEMIRCI (MANISA)</t>
        </is>
      </c>
      <c r="I193" s="3">
        <f>HYPERLINK("https://www.openstreetmap.org/?mlat=39.0165&amp;mlon=28.6925&amp;zoom=9","Haritada Gör")</f>
        <v/>
      </c>
    </row>
    <row r="194">
      <c r="A194" s="3" t="inlineStr">
        <is>
          <t>2025.05.20</t>
        </is>
      </c>
      <c r="B194" s="3" t="inlineStr">
        <is>
          <t>20:34:20</t>
        </is>
      </c>
      <c r="C194" s="3" t="inlineStr">
        <is>
          <t>37.5203</t>
        </is>
      </c>
      <c r="D194" s="3" t="inlineStr">
        <is>
          <t>37.3425</t>
        </is>
      </c>
      <c r="E194" s="3" t="inlineStr">
        <is>
          <t>5.4</t>
        </is>
      </c>
      <c r="F194" s="3" t="inlineStr">
        <is>
          <t>1.8</t>
        </is>
      </c>
      <c r="G194" s="3" t="inlineStr">
        <is>
          <t>-.-</t>
        </is>
      </c>
      <c r="H194" s="3" t="inlineStr">
        <is>
          <t>ULUBAHCE-PAZARCIK (KAHRAMANMARAS)</t>
        </is>
      </c>
      <c r="I194" s="3">
        <f>HYPERLINK("https://www.openstreetmap.org/?mlat=37.5203&amp;mlon=37.3425&amp;zoom=9","Haritada Gör")</f>
        <v/>
      </c>
    </row>
    <row r="195">
      <c r="A195" s="3" t="inlineStr">
        <is>
          <t>2025.05.20</t>
        </is>
      </c>
      <c r="B195" s="3" t="inlineStr">
        <is>
          <t>20:19:24</t>
        </is>
      </c>
      <c r="C195" s="3" t="inlineStr">
        <is>
          <t>38.6573</t>
        </is>
      </c>
      <c r="D195" s="3" t="inlineStr">
        <is>
          <t>38.7588</t>
        </is>
      </c>
      <c r="E195" s="3" t="inlineStr">
        <is>
          <t>2.1</t>
        </is>
      </c>
      <c r="F195" s="3" t="inlineStr">
        <is>
          <t>1.7</t>
        </is>
      </c>
      <c r="G195" s="3" t="inlineStr">
        <is>
          <t>-.-</t>
        </is>
      </c>
      <c r="H195" s="3" t="inlineStr">
        <is>
          <t>SAHINDERE-BASKIL (ELAZIG)</t>
        </is>
      </c>
      <c r="I195" s="3">
        <f>HYPERLINK("https://www.openstreetmap.org/?mlat=38.6573&amp;mlon=38.7588&amp;zoom=9","Haritada Gör")</f>
        <v/>
      </c>
    </row>
    <row r="196">
      <c r="A196" s="3" t="inlineStr">
        <is>
          <t>2025.05.20</t>
        </is>
      </c>
      <c r="B196" s="3" t="inlineStr">
        <is>
          <t>20:14:39</t>
        </is>
      </c>
      <c r="C196" s="3" t="inlineStr">
        <is>
          <t>39.0152</t>
        </is>
      </c>
      <c r="D196" s="3" t="inlineStr">
        <is>
          <t>29.6032</t>
        </is>
      </c>
      <c r="E196" s="3" t="inlineStr">
        <is>
          <t>4.9</t>
        </is>
      </c>
      <c r="F196" s="3" t="inlineStr">
        <is>
          <t>2.1</t>
        </is>
      </c>
      <c r="G196" s="3" t="inlineStr">
        <is>
          <t>-.-</t>
        </is>
      </c>
      <c r="H196" s="3" t="inlineStr">
        <is>
          <t>GOYNUK-GEDIZ (KUTAHYA)</t>
        </is>
      </c>
      <c r="I196" s="3">
        <f>HYPERLINK("https://www.openstreetmap.org/?mlat=39.0152&amp;mlon=29.6032&amp;zoom=9","Haritada Gör")</f>
        <v/>
      </c>
    </row>
    <row r="197">
      <c r="A197" s="3" t="inlineStr">
        <is>
          <t>2025.05.20</t>
        </is>
      </c>
      <c r="B197" s="3" t="inlineStr">
        <is>
          <t>19:39:23</t>
        </is>
      </c>
      <c r="C197" s="3" t="inlineStr">
        <is>
          <t>38.4390</t>
        </is>
      </c>
      <c r="D197" s="3" t="inlineStr">
        <is>
          <t>37.3833</t>
        </is>
      </c>
      <c r="E197" s="3" t="inlineStr">
        <is>
          <t>4.6</t>
        </is>
      </c>
      <c r="F197" s="3" t="inlineStr">
        <is>
          <t>1.9</t>
        </is>
      </c>
      <c r="G197" s="3" t="inlineStr">
        <is>
          <t>-.-</t>
        </is>
      </c>
      <c r="H197" s="3" t="inlineStr">
        <is>
          <t>GAZIKOY-DARENDE (MALATYA)</t>
        </is>
      </c>
      <c r="I197" s="3">
        <f>HYPERLINK("https://www.openstreetmap.org/?mlat=38.4390&amp;mlon=37.3833&amp;zoom=9","Haritada Gör")</f>
        <v/>
      </c>
    </row>
    <row r="198">
      <c r="A198" s="4" t="inlineStr">
        <is>
          <t>2025.05.20</t>
        </is>
      </c>
      <c r="B198" s="4" t="inlineStr">
        <is>
          <t>18:01:45</t>
        </is>
      </c>
      <c r="C198" s="4" t="inlineStr">
        <is>
          <t>38.1113</t>
        </is>
      </c>
      <c r="D198" s="4" t="inlineStr">
        <is>
          <t>26.0287</t>
        </is>
      </c>
      <c r="E198" s="4" t="inlineStr">
        <is>
          <t>5.0</t>
        </is>
      </c>
      <c r="F198" s="4" t="inlineStr">
        <is>
          <t>3.0</t>
        </is>
      </c>
      <c r="G198" s="4" t="inlineStr">
        <is>
          <t>2.8</t>
        </is>
      </c>
      <c r="H198" s="4" t="inlineStr">
        <is>
          <t>EGE DENIZI</t>
        </is>
      </c>
      <c r="I198" s="4">
        <f>HYPERLINK("https://www.openstreetmap.org/?mlat=38.1113&amp;mlon=26.0287&amp;zoom=9","Haritada Gör")</f>
        <v/>
      </c>
    </row>
    <row r="199">
      <c r="A199" s="3" t="inlineStr">
        <is>
          <t>2025.05.20</t>
        </is>
      </c>
      <c r="B199" s="3" t="inlineStr">
        <is>
          <t>17:43:20</t>
        </is>
      </c>
      <c r="C199" s="3" t="inlineStr">
        <is>
          <t>38.1668</t>
        </is>
      </c>
      <c r="D199" s="3" t="inlineStr">
        <is>
          <t>32.0493</t>
        </is>
      </c>
      <c r="E199" s="3" t="inlineStr">
        <is>
          <t>7.0</t>
        </is>
      </c>
      <c r="F199" s="3" t="inlineStr">
        <is>
          <t>2.0</t>
        </is>
      </c>
      <c r="G199" s="3" t="inlineStr">
        <is>
          <t>-.-</t>
        </is>
      </c>
      <c r="H199" s="3" t="inlineStr">
        <is>
          <t>BEYKONAK-ILGIN (KONYA)</t>
        </is>
      </c>
      <c r="I199" s="3">
        <f>HYPERLINK("https://www.openstreetmap.org/?mlat=38.1668&amp;mlon=32.0493&amp;zoom=9","Haritada Gör")</f>
        <v/>
      </c>
    </row>
    <row r="200">
      <c r="A200" s="3" t="inlineStr">
        <is>
          <t>2025.05.20</t>
        </is>
      </c>
      <c r="B200" s="3" t="inlineStr">
        <is>
          <t>16:51:34</t>
        </is>
      </c>
      <c r="C200" s="3" t="inlineStr">
        <is>
          <t>36.6180</t>
        </is>
      </c>
      <c r="D200" s="3" t="inlineStr">
        <is>
          <t>25.6103</t>
        </is>
      </c>
      <c r="E200" s="3" t="inlineStr">
        <is>
          <t>19.4</t>
        </is>
      </c>
      <c r="F200" s="3" t="inlineStr">
        <is>
          <t>2.9</t>
        </is>
      </c>
      <c r="G200" s="3" t="inlineStr">
        <is>
          <t>-.-</t>
        </is>
      </c>
      <c r="H200" s="3" t="inlineStr">
        <is>
          <t>EGE DENIZI</t>
        </is>
      </c>
      <c r="I200" s="3">
        <f>HYPERLINK("https://www.openstreetmap.org/?mlat=36.6180&amp;mlon=25.6103&amp;zoom=9","Haritada Gör")</f>
        <v/>
      </c>
    </row>
    <row r="201">
      <c r="A201" s="3" t="inlineStr">
        <is>
          <t>2025.05.20</t>
        </is>
      </c>
      <c r="B201" s="3" t="inlineStr">
        <is>
          <t>16:31:43</t>
        </is>
      </c>
      <c r="C201" s="3" t="inlineStr">
        <is>
          <t>37.3798</t>
        </is>
      </c>
      <c r="D201" s="3" t="inlineStr">
        <is>
          <t>36.5457</t>
        </is>
      </c>
      <c r="E201" s="3" t="inlineStr">
        <is>
          <t>1.1</t>
        </is>
      </c>
      <c r="F201" s="3" t="inlineStr">
        <is>
          <t>2.3</t>
        </is>
      </c>
      <c r="G201" s="3" t="inlineStr">
        <is>
          <t>-.-</t>
        </is>
      </c>
      <c r="H201" s="3" t="inlineStr">
        <is>
          <t>YESILYURT-DUZICI (OSMANIYE)</t>
        </is>
      </c>
      <c r="I201" s="3">
        <f>HYPERLINK("https://www.openstreetmap.org/?mlat=37.3798&amp;mlon=36.5457&amp;zoom=9","Haritada Gör")</f>
        <v/>
      </c>
    </row>
    <row r="202">
      <c r="A202" s="3" t="inlineStr">
        <is>
          <t>2025.05.20</t>
        </is>
      </c>
      <c r="B202" s="3" t="inlineStr">
        <is>
          <t>16:21:10</t>
        </is>
      </c>
      <c r="C202" s="3" t="inlineStr">
        <is>
          <t>38.5455</t>
        </is>
      </c>
      <c r="D202" s="3" t="inlineStr">
        <is>
          <t>31.9308</t>
        </is>
      </c>
      <c r="E202" s="3" t="inlineStr">
        <is>
          <t>6.6</t>
        </is>
      </c>
      <c r="F202" s="3" t="inlineStr">
        <is>
          <t>1.6</t>
        </is>
      </c>
      <c r="G202" s="3" t="inlineStr">
        <is>
          <t>-.-</t>
        </is>
      </c>
      <c r="H202" s="3" t="inlineStr">
        <is>
          <t>YESILOBA-YUNAK (KONYA)</t>
        </is>
      </c>
      <c r="I202" s="3">
        <f>HYPERLINK("https://www.openstreetmap.org/?mlat=38.5455&amp;mlon=31.9308&amp;zoom=9","Haritada Gör")</f>
        <v/>
      </c>
    </row>
    <row r="203">
      <c r="A203" s="3" t="inlineStr">
        <is>
          <t>2025.05.20</t>
        </is>
      </c>
      <c r="B203" s="3" t="inlineStr">
        <is>
          <t>15:51:09</t>
        </is>
      </c>
      <c r="C203" s="3" t="inlineStr">
        <is>
          <t>38.9672</t>
        </is>
      </c>
      <c r="D203" s="3" t="inlineStr">
        <is>
          <t>27.8433</t>
        </is>
      </c>
      <c r="E203" s="3" t="inlineStr">
        <is>
          <t>18.2</t>
        </is>
      </c>
      <c r="F203" s="3" t="inlineStr">
        <is>
          <t>1.3</t>
        </is>
      </c>
      <c r="G203" s="3" t="inlineStr">
        <is>
          <t>-.-</t>
        </is>
      </c>
      <c r="H203" s="3" t="inlineStr">
        <is>
          <t>MEDAR-AKHISAR (MANISA)</t>
        </is>
      </c>
      <c r="I203" s="3">
        <f>HYPERLINK("https://www.openstreetmap.org/?mlat=38.9672&amp;mlon=27.8433&amp;zoom=9","Haritada Gör")</f>
        <v/>
      </c>
    </row>
    <row r="204">
      <c r="A204" s="3" t="inlineStr">
        <is>
          <t>2025.05.20</t>
        </is>
      </c>
      <c r="B204" s="3" t="inlineStr">
        <is>
          <t>15:22:02</t>
        </is>
      </c>
      <c r="C204" s="3" t="inlineStr">
        <is>
          <t>39.9478</t>
        </is>
      </c>
      <c r="D204" s="3" t="inlineStr">
        <is>
          <t>28.8302</t>
        </is>
      </c>
      <c r="E204" s="3" t="inlineStr">
        <is>
          <t>0.0</t>
        </is>
      </c>
      <c r="F204" s="3" t="inlineStr">
        <is>
          <t>1.7</t>
        </is>
      </c>
      <c r="G204" s="3" t="inlineStr">
        <is>
          <t>-.-</t>
        </is>
      </c>
      <c r="H204" s="3" t="inlineStr">
        <is>
          <t>KARINCALI-ORHANELI (BURSA)</t>
        </is>
      </c>
      <c r="I204" s="3">
        <f>HYPERLINK("https://www.openstreetmap.org/?mlat=39.9478&amp;mlon=28.8302&amp;zoom=9","Haritada Gör")</f>
        <v/>
      </c>
    </row>
    <row r="205">
      <c r="A205" s="3" t="inlineStr">
        <is>
          <t>2025.05.20</t>
        </is>
      </c>
      <c r="B205" s="3" t="inlineStr">
        <is>
          <t>15:06:05</t>
        </is>
      </c>
      <c r="C205" s="3" t="inlineStr">
        <is>
          <t>40.7103</t>
        </is>
      </c>
      <c r="D205" s="3" t="inlineStr">
        <is>
          <t>27.4815</t>
        </is>
      </c>
      <c r="E205" s="3" t="inlineStr">
        <is>
          <t>10.4</t>
        </is>
      </c>
      <c r="F205" s="3" t="inlineStr">
        <is>
          <t>2.2</t>
        </is>
      </c>
      <c r="G205" s="3" t="inlineStr">
        <is>
          <t>-.-</t>
        </is>
      </c>
      <c r="H205" s="3" t="inlineStr">
        <is>
          <t>GUZELKOY ACIKLARI-TEKIRDAG (MARMARA DENIZI)</t>
        </is>
      </c>
      <c r="I205" s="3">
        <f>HYPERLINK("https://www.openstreetmap.org/?mlat=40.7103&amp;mlon=27.4815&amp;zoom=9","Haritada Gör")</f>
        <v/>
      </c>
    </row>
    <row r="206">
      <c r="A206" s="3" t="inlineStr">
        <is>
          <t>2025.05.20</t>
        </is>
      </c>
      <c r="B206" s="3" t="inlineStr">
        <is>
          <t>14:58:44</t>
        </is>
      </c>
      <c r="C206" s="3" t="inlineStr">
        <is>
          <t>36.9313</t>
        </is>
      </c>
      <c r="D206" s="3" t="inlineStr">
        <is>
          <t>28.8007</t>
        </is>
      </c>
      <c r="E206" s="3" t="inlineStr">
        <is>
          <t>6.0</t>
        </is>
      </c>
      <c r="F206" s="3" t="inlineStr">
        <is>
          <t>1.8</t>
        </is>
      </c>
      <c r="G206" s="3" t="inlineStr">
        <is>
          <t>-.-</t>
        </is>
      </c>
      <c r="H206" s="3" t="inlineStr">
        <is>
          <t>PINAR-KOYCEGIZ (MUGLA)</t>
        </is>
      </c>
      <c r="I206" s="3">
        <f>HYPERLINK("https://www.openstreetmap.org/?mlat=36.9313&amp;mlon=28.8007&amp;zoom=9","Haritada Gör")</f>
        <v/>
      </c>
    </row>
    <row r="207">
      <c r="A207" s="3" t="inlineStr">
        <is>
          <t>2025.05.20</t>
        </is>
      </c>
      <c r="B207" s="3" t="inlineStr">
        <is>
          <t>14:47:53</t>
        </is>
      </c>
      <c r="C207" s="3" t="inlineStr">
        <is>
          <t>39.3573</t>
        </is>
      </c>
      <c r="D207" s="3" t="inlineStr">
        <is>
          <t>40.6218</t>
        </is>
      </c>
      <c r="E207" s="3" t="inlineStr">
        <is>
          <t>3.9</t>
        </is>
      </c>
      <c r="F207" s="3" t="inlineStr">
        <is>
          <t>2.1</t>
        </is>
      </c>
      <c r="G207" s="3" t="inlineStr">
        <is>
          <t>-.-</t>
        </is>
      </c>
      <c r="H207" s="3" t="inlineStr">
        <is>
          <t>ELMALI-YEDISU (BINGOL)</t>
        </is>
      </c>
      <c r="I207" s="3">
        <f>HYPERLINK("https://www.openstreetmap.org/?mlat=39.3573&amp;mlon=40.6218&amp;zoom=9","Haritada Gör")</f>
        <v/>
      </c>
    </row>
    <row r="208">
      <c r="A208" s="4" t="inlineStr">
        <is>
          <t>2025.05.20</t>
        </is>
      </c>
      <c r="B208" s="4" t="inlineStr">
        <is>
          <t>14:26:00</t>
        </is>
      </c>
      <c r="C208" s="4" t="inlineStr">
        <is>
          <t>36.1268</t>
        </is>
      </c>
      <c r="D208" s="4" t="inlineStr">
        <is>
          <t>28.0575</t>
        </is>
      </c>
      <c r="E208" s="4" t="inlineStr">
        <is>
          <t>9.0</t>
        </is>
      </c>
      <c r="F208" s="4" t="inlineStr">
        <is>
          <t>3.2</t>
        </is>
      </c>
      <c r="G208" s="4" t="inlineStr">
        <is>
          <t>3.3</t>
        </is>
      </c>
      <c r="H208" s="4" t="inlineStr">
        <is>
          <t>RODOS ADASI (AKDENIZ)</t>
        </is>
      </c>
      <c r="I208" s="4">
        <f>HYPERLINK("https://www.openstreetmap.org/?mlat=36.1268&amp;mlon=28.0575&amp;zoom=9","Haritada Gör")</f>
        <v/>
      </c>
    </row>
    <row r="209">
      <c r="A209" s="3" t="inlineStr">
        <is>
          <t>2025.05.20</t>
        </is>
      </c>
      <c r="B209" s="3" t="inlineStr">
        <is>
          <t>13:51:07</t>
        </is>
      </c>
      <c r="C209" s="3" t="inlineStr">
        <is>
          <t>39.0240</t>
        </is>
      </c>
      <c r="D209" s="3" t="inlineStr">
        <is>
          <t>27.9062</t>
        </is>
      </c>
      <c r="E209" s="3" t="inlineStr">
        <is>
          <t>8.2</t>
        </is>
      </c>
      <c r="F209" s="3" t="inlineStr">
        <is>
          <t>2.1</t>
        </is>
      </c>
      <c r="G209" s="3" t="inlineStr">
        <is>
          <t>-.-</t>
        </is>
      </c>
      <c r="H209" s="3" t="inlineStr">
        <is>
          <t>KARAKOY-AKHISAR (MANISA)</t>
        </is>
      </c>
      <c r="I209" s="3">
        <f>HYPERLINK("https://www.openstreetmap.org/?mlat=39.0240&amp;mlon=27.9062&amp;zoom=9","Haritada Gör")</f>
        <v/>
      </c>
    </row>
    <row r="210">
      <c r="A210" s="3" t="inlineStr">
        <is>
          <t>2025.05.20</t>
        </is>
      </c>
      <c r="B210" s="3" t="inlineStr">
        <is>
          <t>13:14:13</t>
        </is>
      </c>
      <c r="C210" s="3" t="inlineStr">
        <is>
          <t>39.2362</t>
        </is>
      </c>
      <c r="D210" s="3" t="inlineStr">
        <is>
          <t>28.9705</t>
        </is>
      </c>
      <c r="E210" s="3" t="inlineStr">
        <is>
          <t>19.4</t>
        </is>
      </c>
      <c r="F210" s="3" t="inlineStr">
        <is>
          <t>1.4</t>
        </is>
      </c>
      <c r="G210" s="3" t="inlineStr">
        <is>
          <t>-.-</t>
        </is>
      </c>
      <c r="H210" s="3" t="inlineStr">
        <is>
          <t>YEMISLI-SIMAV (KUTAHYA)</t>
        </is>
      </c>
      <c r="I210" s="3">
        <f>HYPERLINK("https://www.openstreetmap.org/?mlat=39.2362&amp;mlon=28.9705&amp;zoom=9","Haritada Gör")</f>
        <v/>
      </c>
    </row>
    <row r="211">
      <c r="A211" s="3" t="inlineStr">
        <is>
          <t>2025.05.20</t>
        </is>
      </c>
      <c r="B211" s="3" t="inlineStr">
        <is>
          <t>13:09:30</t>
        </is>
      </c>
      <c r="C211" s="3" t="inlineStr">
        <is>
          <t>39.2238</t>
        </is>
      </c>
      <c r="D211" s="3" t="inlineStr">
        <is>
          <t>28.9605</t>
        </is>
      </c>
      <c r="E211" s="3" t="inlineStr">
        <is>
          <t>18.4</t>
        </is>
      </c>
      <c r="F211" s="3" t="inlineStr">
        <is>
          <t>1.1</t>
        </is>
      </c>
      <c r="G211" s="3" t="inlineStr">
        <is>
          <t>-.-</t>
        </is>
      </c>
      <c r="H211" s="3" t="inlineStr">
        <is>
          <t>YEMISLI-SIMAV (KUTAHYA)</t>
        </is>
      </c>
      <c r="I211" s="3">
        <f>HYPERLINK("https://www.openstreetmap.org/?mlat=39.2238&amp;mlon=28.9605&amp;zoom=9","Haritada Gör")</f>
        <v/>
      </c>
    </row>
    <row r="212">
      <c r="A212" s="3" t="inlineStr">
        <is>
          <t>2025.05.20</t>
        </is>
      </c>
      <c r="B212" s="3" t="inlineStr">
        <is>
          <t>13:07:48</t>
        </is>
      </c>
      <c r="C212" s="3" t="inlineStr">
        <is>
          <t>39.0762</t>
        </is>
      </c>
      <c r="D212" s="3" t="inlineStr">
        <is>
          <t>33.2587</t>
        </is>
      </c>
      <c r="E212" s="3" t="inlineStr">
        <is>
          <t>5.5</t>
        </is>
      </c>
      <c r="F212" s="3" t="inlineStr">
        <is>
          <t>2.0</t>
        </is>
      </c>
      <c r="G212" s="3" t="inlineStr">
        <is>
          <t>-.-</t>
        </is>
      </c>
      <c r="H212" s="3" t="inlineStr">
        <is>
          <t>KIRKKUYU-KULU (KONYA)</t>
        </is>
      </c>
      <c r="I212" s="3">
        <f>HYPERLINK("https://www.openstreetmap.org/?mlat=39.0762&amp;mlon=33.2587&amp;zoom=9","Haritada Gör")</f>
        <v/>
      </c>
    </row>
    <row r="213">
      <c r="A213" s="3" t="inlineStr">
        <is>
          <t>2025.05.20</t>
        </is>
      </c>
      <c r="B213" s="3" t="inlineStr">
        <is>
          <t>12:52:17</t>
        </is>
      </c>
      <c r="C213" s="3" t="inlineStr">
        <is>
          <t>39.6883</t>
        </is>
      </c>
      <c r="D213" s="3" t="inlineStr">
        <is>
          <t>29.4983</t>
        </is>
      </c>
      <c r="E213" s="3" t="inlineStr">
        <is>
          <t>0.0</t>
        </is>
      </c>
      <c r="F213" s="3" t="inlineStr">
        <is>
          <t>1.6</t>
        </is>
      </c>
      <c r="G213" s="3" t="inlineStr">
        <is>
          <t>-.-</t>
        </is>
      </c>
      <c r="H213" s="3" t="inlineStr">
        <is>
          <t>MUHACIRLER-DOMANIC (KUTAHYA)</t>
        </is>
      </c>
      <c r="I213" s="3">
        <f>HYPERLINK("https://www.openstreetmap.org/?mlat=39.6883&amp;mlon=29.4983&amp;zoom=9","Haritada Gör")</f>
        <v/>
      </c>
    </row>
    <row r="214">
      <c r="A214" s="3" t="inlineStr">
        <is>
          <t>2025.05.20</t>
        </is>
      </c>
      <c r="B214" s="3" t="inlineStr">
        <is>
          <t>12:38:38</t>
        </is>
      </c>
      <c r="C214" s="3" t="inlineStr">
        <is>
          <t>37.8223</t>
        </is>
      </c>
      <c r="D214" s="3" t="inlineStr">
        <is>
          <t>27.6173</t>
        </is>
      </c>
      <c r="E214" s="3" t="inlineStr">
        <is>
          <t>18.0</t>
        </is>
      </c>
      <c r="F214" s="3" t="inlineStr">
        <is>
          <t>1.5</t>
        </is>
      </c>
      <c r="G214" s="3" t="inlineStr">
        <is>
          <t>-.-</t>
        </is>
      </c>
      <c r="H214" s="3" t="inlineStr">
        <is>
          <t>TURANLAR-GERMENCIK (AYDIN)</t>
        </is>
      </c>
      <c r="I214" s="3">
        <f>HYPERLINK("https://www.openstreetmap.org/?mlat=37.8223&amp;mlon=27.6173&amp;zoom=9","Haritada Gör")</f>
        <v/>
      </c>
    </row>
    <row r="215">
      <c r="A215" s="3" t="inlineStr">
        <is>
          <t>2025.05.20</t>
        </is>
      </c>
      <c r="B215" s="3" t="inlineStr">
        <is>
          <t>12:30:32</t>
        </is>
      </c>
      <c r="C215" s="3" t="inlineStr">
        <is>
          <t>36.3347</t>
        </is>
      </c>
      <c r="D215" s="3" t="inlineStr">
        <is>
          <t>34.5085</t>
        </is>
      </c>
      <c r="E215" s="3" t="inlineStr">
        <is>
          <t>14.1</t>
        </is>
      </c>
      <c r="F215" s="3" t="inlineStr">
        <is>
          <t>1.5</t>
        </is>
      </c>
      <c r="G215" s="3" t="inlineStr">
        <is>
          <t>-.-</t>
        </is>
      </c>
      <c r="H215" s="3" t="inlineStr">
        <is>
          <t>AKDENIZ</t>
        </is>
      </c>
      <c r="I215" s="3">
        <f>HYPERLINK("https://www.openstreetmap.org/?mlat=36.3347&amp;mlon=34.5085&amp;zoom=9","Haritada Gör")</f>
        <v/>
      </c>
    </row>
    <row r="216">
      <c r="A216" s="3" t="inlineStr">
        <is>
          <t>2025.05.20</t>
        </is>
      </c>
      <c r="B216" s="3" t="inlineStr">
        <is>
          <t>11:54:35</t>
        </is>
      </c>
      <c r="C216" s="3" t="inlineStr">
        <is>
          <t>42.1065</t>
        </is>
      </c>
      <c r="D216" s="3" t="inlineStr">
        <is>
          <t>25.1352</t>
        </is>
      </c>
      <c r="E216" s="3" t="inlineStr">
        <is>
          <t>5.0</t>
        </is>
      </c>
      <c r="F216" s="3" t="inlineStr">
        <is>
          <t>2.6</t>
        </is>
      </c>
      <c r="G216" s="3" t="inlineStr">
        <is>
          <t>-.-</t>
        </is>
      </c>
      <c r="H216" s="3" t="inlineStr">
        <is>
          <t>BULGARISTAN</t>
        </is>
      </c>
      <c r="I216" s="3">
        <f>HYPERLINK("https://www.openstreetmap.org/?mlat=42.1065&amp;mlon=25.1352&amp;zoom=9","Haritada Gör")</f>
        <v/>
      </c>
    </row>
    <row r="217">
      <c r="A217" s="3" t="inlineStr">
        <is>
          <t>2025.05.20</t>
        </is>
      </c>
      <c r="B217" s="3" t="inlineStr">
        <is>
          <t>11:10:50</t>
        </is>
      </c>
      <c r="C217" s="3" t="inlineStr">
        <is>
          <t>37.1945</t>
        </is>
      </c>
      <c r="D217" s="3" t="inlineStr">
        <is>
          <t>27.9018</t>
        </is>
      </c>
      <c r="E217" s="3" t="inlineStr">
        <is>
          <t>0.0</t>
        </is>
      </c>
      <c r="F217" s="3" t="inlineStr">
        <is>
          <t>1.7</t>
        </is>
      </c>
      <c r="G217" s="3" t="inlineStr">
        <is>
          <t>-.-</t>
        </is>
      </c>
      <c r="H217" s="3" t="inlineStr">
        <is>
          <t>KAYADERE-MILAS (MUGLA)</t>
        </is>
      </c>
      <c r="I217" s="3">
        <f>HYPERLINK("https://www.openstreetmap.org/?mlat=37.1945&amp;mlon=27.9018&amp;zoom=9","Haritada Gör")</f>
        <v/>
      </c>
    </row>
    <row r="218">
      <c r="A218" s="3" t="inlineStr">
        <is>
          <t>2025.05.20</t>
        </is>
      </c>
      <c r="B218" s="3" t="inlineStr">
        <is>
          <t>11:10:10</t>
        </is>
      </c>
      <c r="C218" s="3" t="inlineStr">
        <is>
          <t>40.3455</t>
        </is>
      </c>
      <c r="D218" s="3" t="inlineStr">
        <is>
          <t>24.1142</t>
        </is>
      </c>
      <c r="E218" s="3" t="inlineStr">
        <is>
          <t>6.8</t>
        </is>
      </c>
      <c r="F218" s="3" t="inlineStr">
        <is>
          <t>1.5</t>
        </is>
      </c>
      <c r="G218" s="3" t="inlineStr">
        <is>
          <t>-.-</t>
        </is>
      </c>
      <c r="H218" s="3" t="inlineStr">
        <is>
          <t>YUNANISTAN</t>
        </is>
      </c>
      <c r="I218" s="3">
        <f>HYPERLINK("https://www.openstreetmap.org/?mlat=40.3455&amp;mlon=24.1142&amp;zoom=9","Haritada Gör")</f>
        <v/>
      </c>
    </row>
    <row r="219">
      <c r="A219" s="3" t="inlineStr">
        <is>
          <t>2025.05.20</t>
        </is>
      </c>
      <c r="B219" s="3" t="inlineStr">
        <is>
          <t>11:03:55</t>
        </is>
      </c>
      <c r="C219" s="3" t="inlineStr">
        <is>
          <t>37.1907</t>
        </is>
      </c>
      <c r="D219" s="3" t="inlineStr">
        <is>
          <t>27.8908</t>
        </is>
      </c>
      <c r="E219" s="3" t="inlineStr">
        <is>
          <t>0.0</t>
        </is>
      </c>
      <c r="F219" s="3" t="inlineStr">
        <is>
          <t>1.7</t>
        </is>
      </c>
      <c r="G219" s="3" t="inlineStr">
        <is>
          <t>-.-</t>
        </is>
      </c>
      <c r="H219" s="3" t="inlineStr">
        <is>
          <t>KAYADERE-MILAS (MUGLA)</t>
        </is>
      </c>
      <c r="I219" s="3">
        <f>HYPERLINK("https://www.openstreetmap.org/?mlat=37.1907&amp;mlon=27.8908&amp;zoom=9","Haritada Gör")</f>
        <v/>
      </c>
    </row>
    <row r="220">
      <c r="A220" s="3" t="inlineStr">
        <is>
          <t>2025.05.20</t>
        </is>
      </c>
      <c r="B220" s="3" t="inlineStr">
        <is>
          <t>09:50:03</t>
        </is>
      </c>
      <c r="C220" s="3" t="inlineStr">
        <is>
          <t>39.9242</t>
        </is>
      </c>
      <c r="D220" s="3" t="inlineStr">
        <is>
          <t>28.8192</t>
        </is>
      </c>
      <c r="E220" s="3" t="inlineStr">
        <is>
          <t>0.0</t>
        </is>
      </c>
      <c r="F220" s="3" t="inlineStr">
        <is>
          <t>1.6</t>
        </is>
      </c>
      <c r="G220" s="3" t="inlineStr">
        <is>
          <t>-.-</t>
        </is>
      </c>
      <c r="H220" s="3" t="inlineStr">
        <is>
          <t>DUNDAR-ORHANELI (BURSA)</t>
        </is>
      </c>
      <c r="I220" s="3">
        <f>HYPERLINK("https://www.openstreetmap.org/?mlat=39.9242&amp;mlon=28.8192&amp;zoom=9","Haritada Gör")</f>
        <v/>
      </c>
    </row>
    <row r="221">
      <c r="A221" s="3" t="inlineStr">
        <is>
          <t>2025.05.20</t>
        </is>
      </c>
      <c r="B221" s="3" t="inlineStr">
        <is>
          <t>09:49:29</t>
        </is>
      </c>
      <c r="C221" s="3" t="inlineStr">
        <is>
          <t>36.3330</t>
        </is>
      </c>
      <c r="D221" s="3" t="inlineStr">
        <is>
          <t>25.7665</t>
        </is>
      </c>
      <c r="E221" s="3" t="inlineStr">
        <is>
          <t>3.0</t>
        </is>
      </c>
      <c r="F221" s="3" t="inlineStr">
        <is>
          <t>1.8</t>
        </is>
      </c>
      <c r="G221" s="3" t="inlineStr">
        <is>
          <t>-.-</t>
        </is>
      </c>
      <c r="H221" s="3" t="inlineStr">
        <is>
          <t>EGE DENIZI</t>
        </is>
      </c>
      <c r="I221" s="3">
        <f>HYPERLINK("https://www.openstreetmap.org/?mlat=36.3330&amp;mlon=25.7665&amp;zoom=9","Haritada Gör")</f>
        <v/>
      </c>
    </row>
    <row r="222">
      <c r="A222" s="3" t="inlineStr">
        <is>
          <t>2025.05.20</t>
        </is>
      </c>
      <c r="B222" s="3" t="inlineStr">
        <is>
          <t>09:36:33</t>
        </is>
      </c>
      <c r="C222" s="3" t="inlineStr">
        <is>
          <t>38.9887</t>
        </is>
      </c>
      <c r="D222" s="3" t="inlineStr">
        <is>
          <t>27.9073</t>
        </is>
      </c>
      <c r="E222" s="3" t="inlineStr">
        <is>
          <t>5.4</t>
        </is>
      </c>
      <c r="F222" s="3" t="inlineStr">
        <is>
          <t>1.8</t>
        </is>
      </c>
      <c r="G222" s="3" t="inlineStr">
        <is>
          <t>-.-</t>
        </is>
      </c>
      <c r="H222" s="3" t="inlineStr">
        <is>
          <t>YENICE-AKHISAR (MANISA)</t>
        </is>
      </c>
      <c r="I222" s="3">
        <f>HYPERLINK("https://www.openstreetmap.org/?mlat=38.9887&amp;mlon=27.9073&amp;zoom=9","Haritada Gör")</f>
        <v/>
      </c>
    </row>
    <row r="223">
      <c r="A223" s="4" t="inlineStr">
        <is>
          <t>2025.05.20</t>
        </is>
      </c>
      <c r="B223" s="4" t="inlineStr">
        <is>
          <t>09:11:35</t>
        </is>
      </c>
      <c r="C223" s="4" t="inlineStr">
        <is>
          <t>40.9273</t>
        </is>
      </c>
      <c r="D223" s="4" t="inlineStr">
        <is>
          <t>43.7965</t>
        </is>
      </c>
      <c r="E223" s="4" t="inlineStr">
        <is>
          <t>5.0</t>
        </is>
      </c>
      <c r="F223" s="4" t="inlineStr">
        <is>
          <t>3.1</t>
        </is>
      </c>
      <c r="G223" s="4" t="inlineStr">
        <is>
          <t>3.3</t>
        </is>
      </c>
      <c r="H223" s="4" t="inlineStr">
        <is>
          <t>SUNGUDERESI-AKYAKA (KARS)</t>
        </is>
      </c>
      <c r="I223" s="4">
        <f>HYPERLINK("https://www.openstreetmap.org/?mlat=40.9273&amp;mlon=43.7965&amp;zoom=9","Haritada Gör")</f>
        <v/>
      </c>
    </row>
    <row r="224">
      <c r="A224" s="3" t="inlineStr">
        <is>
          <t>2025.05.20</t>
        </is>
      </c>
      <c r="B224" s="3" t="inlineStr">
        <is>
          <t>09:06:00</t>
        </is>
      </c>
      <c r="C224" s="3" t="inlineStr">
        <is>
          <t>39.5883</t>
        </is>
      </c>
      <c r="D224" s="3" t="inlineStr">
        <is>
          <t>27.3998</t>
        </is>
      </c>
      <c r="E224" s="3" t="inlineStr">
        <is>
          <t>9.1</t>
        </is>
      </c>
      <c r="F224" s="3" t="inlineStr">
        <is>
          <t>1.4</t>
        </is>
      </c>
      <c r="G224" s="3" t="inlineStr">
        <is>
          <t>-.-</t>
        </is>
      </c>
      <c r="H224" s="3" t="inlineStr">
        <is>
          <t>TOPUZLAR-IVRINDI (BALIKESIR)</t>
        </is>
      </c>
      <c r="I224" s="3">
        <f>HYPERLINK("https://www.openstreetmap.org/?mlat=39.5883&amp;mlon=27.3998&amp;zoom=9","Haritada Gör")</f>
        <v/>
      </c>
    </row>
    <row r="225">
      <c r="A225" s="3" t="inlineStr">
        <is>
          <t>2025.05.20</t>
        </is>
      </c>
      <c r="B225" s="3" t="inlineStr">
        <is>
          <t>08:46:15</t>
        </is>
      </c>
      <c r="C225" s="3" t="inlineStr">
        <is>
          <t>40.8220</t>
        </is>
      </c>
      <c r="D225" s="3" t="inlineStr">
        <is>
          <t>28.5555</t>
        </is>
      </c>
      <c r="E225" s="3" t="inlineStr">
        <is>
          <t>5.0</t>
        </is>
      </c>
      <c r="F225" s="3" t="inlineStr">
        <is>
          <t>1.9</t>
        </is>
      </c>
      <c r="G225" s="3" t="inlineStr">
        <is>
          <t>-.-</t>
        </is>
      </c>
      <c r="H225" s="3" t="inlineStr">
        <is>
          <t>GURPINAR ACIKLARI-ISTANBUL (MARMARA DENIZI)</t>
        </is>
      </c>
      <c r="I225" s="3">
        <f>HYPERLINK("https://www.openstreetmap.org/?mlat=40.8220&amp;mlon=28.5555&amp;zoom=9","Haritada Gör")</f>
        <v/>
      </c>
    </row>
    <row r="226">
      <c r="A226" s="3" t="inlineStr">
        <is>
          <t>2025.05.20</t>
        </is>
      </c>
      <c r="B226" s="3" t="inlineStr">
        <is>
          <t>08:28:31</t>
        </is>
      </c>
      <c r="C226" s="3" t="inlineStr">
        <is>
          <t>39.0765</t>
        </is>
      </c>
      <c r="D226" s="3" t="inlineStr">
        <is>
          <t>33.2420</t>
        </is>
      </c>
      <c r="E226" s="3" t="inlineStr">
        <is>
          <t>5.0</t>
        </is>
      </c>
      <c r="F226" s="3" t="inlineStr">
        <is>
          <t>2.7</t>
        </is>
      </c>
      <c r="G226" s="3" t="inlineStr">
        <is>
          <t>-.-</t>
        </is>
      </c>
      <c r="H226" s="3" t="inlineStr">
        <is>
          <t>KIRKKUYU-KULU (KONYA)</t>
        </is>
      </c>
      <c r="I226" s="3">
        <f>HYPERLINK("https://www.openstreetmap.org/?mlat=39.0765&amp;mlon=33.2420&amp;zoom=9","Haritada Gör")</f>
        <v/>
      </c>
    </row>
    <row r="227">
      <c r="A227" s="3" t="inlineStr">
        <is>
          <t>2025.05.20</t>
        </is>
      </c>
      <c r="B227" s="3" t="inlineStr">
        <is>
          <t>07:27:20</t>
        </is>
      </c>
      <c r="C227" s="3" t="inlineStr">
        <is>
          <t>37.2070</t>
        </is>
      </c>
      <c r="D227" s="3" t="inlineStr">
        <is>
          <t>36.9933</t>
        </is>
      </c>
      <c r="E227" s="3" t="inlineStr">
        <is>
          <t>2.4</t>
        </is>
      </c>
      <c r="F227" s="3" t="inlineStr">
        <is>
          <t>1.5</t>
        </is>
      </c>
      <c r="G227" s="3" t="inlineStr">
        <is>
          <t>-.-</t>
        </is>
      </c>
      <c r="H227" s="3" t="inlineStr">
        <is>
          <t>SATIRHUYUK-NURDAGI (GAZIANTEP)</t>
        </is>
      </c>
      <c r="I227" s="3">
        <f>HYPERLINK("https://www.openstreetmap.org/?mlat=37.2070&amp;mlon=36.9933&amp;zoom=9","Haritada Gör")</f>
        <v/>
      </c>
    </row>
    <row r="228">
      <c r="A228" s="3" t="inlineStr">
        <is>
          <t>2025.05.20</t>
        </is>
      </c>
      <c r="B228" s="3" t="inlineStr">
        <is>
          <t>07:02:06</t>
        </is>
      </c>
      <c r="C228" s="3" t="inlineStr">
        <is>
          <t>40.8462</t>
        </is>
      </c>
      <c r="D228" s="3" t="inlineStr">
        <is>
          <t>28.4238</t>
        </is>
      </c>
      <c r="E228" s="3" t="inlineStr">
        <is>
          <t>17.1</t>
        </is>
      </c>
      <c r="F228" s="3" t="inlineStr">
        <is>
          <t>1.8</t>
        </is>
      </c>
      <c r="G228" s="3" t="inlineStr">
        <is>
          <t>-.-</t>
        </is>
      </c>
      <c r="H228" s="3" t="inlineStr">
        <is>
          <t>MARMARA DENIZI</t>
        </is>
      </c>
      <c r="I228" s="3">
        <f>HYPERLINK("https://www.openstreetmap.org/?mlat=40.8462&amp;mlon=28.4238&amp;zoom=9","Haritada Gör")</f>
        <v/>
      </c>
    </row>
    <row r="229">
      <c r="A229" s="3" t="inlineStr">
        <is>
          <t>2025.05.20</t>
        </is>
      </c>
      <c r="B229" s="3" t="inlineStr">
        <is>
          <t>06:55:11</t>
        </is>
      </c>
      <c r="C229" s="3" t="inlineStr">
        <is>
          <t>36.1173</t>
        </is>
      </c>
      <c r="D229" s="3" t="inlineStr">
        <is>
          <t>28.0733</t>
        </is>
      </c>
      <c r="E229" s="3" t="inlineStr">
        <is>
          <t>5.0</t>
        </is>
      </c>
      <c r="F229" s="3" t="inlineStr">
        <is>
          <t>2.9</t>
        </is>
      </c>
      <c r="G229" s="3" t="inlineStr">
        <is>
          <t>-.-</t>
        </is>
      </c>
      <c r="H229" s="3" t="inlineStr">
        <is>
          <t>RODOS ADASI (AKDENIZ)</t>
        </is>
      </c>
      <c r="I229" s="3">
        <f>HYPERLINK("https://www.openstreetmap.org/?mlat=36.1173&amp;mlon=28.0733&amp;zoom=9","Haritada Gör")</f>
        <v/>
      </c>
    </row>
    <row r="230">
      <c r="A230" s="3" t="inlineStr">
        <is>
          <t>2025.05.20</t>
        </is>
      </c>
      <c r="B230" s="3" t="inlineStr">
        <is>
          <t>06:54:12</t>
        </is>
      </c>
      <c r="C230" s="3" t="inlineStr">
        <is>
          <t>40.8548</t>
        </is>
      </c>
      <c r="D230" s="3" t="inlineStr">
        <is>
          <t>28.4123</t>
        </is>
      </c>
      <c r="E230" s="3" t="inlineStr">
        <is>
          <t>8.5</t>
        </is>
      </c>
      <c r="F230" s="3" t="inlineStr">
        <is>
          <t>2.7</t>
        </is>
      </c>
      <c r="G230" s="3" t="inlineStr">
        <is>
          <t>-.-</t>
        </is>
      </c>
      <c r="H230" s="3" t="inlineStr">
        <is>
          <t>MARMARA DENIZI</t>
        </is>
      </c>
      <c r="I230" s="3">
        <f>HYPERLINK("https://www.openstreetmap.org/?mlat=40.8548&amp;mlon=28.4123&amp;zoom=9","Haritada Gör")</f>
        <v/>
      </c>
    </row>
    <row r="231">
      <c r="A231" s="3" t="inlineStr">
        <is>
          <t>2025.05.20</t>
        </is>
      </c>
      <c r="B231" s="3" t="inlineStr">
        <is>
          <t>06:12:21</t>
        </is>
      </c>
      <c r="C231" s="3" t="inlineStr">
        <is>
          <t>39.2512</t>
        </is>
      </c>
      <c r="D231" s="3" t="inlineStr">
        <is>
          <t>28.9832</t>
        </is>
      </c>
      <c r="E231" s="3" t="inlineStr">
        <is>
          <t>11.4</t>
        </is>
      </c>
      <c r="F231" s="3" t="inlineStr">
        <is>
          <t>1.2</t>
        </is>
      </c>
      <c r="G231" s="3" t="inlineStr">
        <is>
          <t>-.-</t>
        </is>
      </c>
      <c r="H231" s="3" t="inlineStr">
        <is>
          <t>YEMISLI-SIMAV (KUTAHYA)</t>
        </is>
      </c>
      <c r="I231" s="3">
        <f>HYPERLINK("https://www.openstreetmap.org/?mlat=39.2512&amp;mlon=28.9832&amp;zoom=9","Haritada Gör")</f>
        <v/>
      </c>
    </row>
    <row r="232">
      <c r="A232" s="3" t="inlineStr">
        <is>
          <t>2025.05.20</t>
        </is>
      </c>
      <c r="B232" s="3" t="inlineStr">
        <is>
          <t>05:18:26</t>
        </is>
      </c>
      <c r="C232" s="3" t="inlineStr">
        <is>
          <t>39.1002</t>
        </is>
      </c>
      <c r="D232" s="3" t="inlineStr">
        <is>
          <t>33.2830</t>
        </is>
      </c>
      <c r="E232" s="3" t="inlineStr">
        <is>
          <t>8.0</t>
        </is>
      </c>
      <c r="F232" s="3" t="inlineStr">
        <is>
          <t>1.7</t>
        </is>
      </c>
      <c r="G232" s="3" t="inlineStr">
        <is>
          <t>-.-</t>
        </is>
      </c>
      <c r="H232" s="3" t="inlineStr">
        <is>
          <t>AKIN-SEREFLIKOCHISAR (ANKARA)</t>
        </is>
      </c>
      <c r="I232" s="3">
        <f>HYPERLINK("https://www.openstreetmap.org/?mlat=39.1002&amp;mlon=33.2830&amp;zoom=9","Haritada Gör")</f>
        <v/>
      </c>
    </row>
    <row r="233">
      <c r="A233" s="3" t="inlineStr">
        <is>
          <t>2025.05.20</t>
        </is>
      </c>
      <c r="B233" s="3" t="inlineStr">
        <is>
          <t>05:16:05</t>
        </is>
      </c>
      <c r="C233" s="3" t="inlineStr">
        <is>
          <t>39.5390</t>
        </is>
      </c>
      <c r="D233" s="3" t="inlineStr">
        <is>
          <t>26.0458</t>
        </is>
      </c>
      <c r="E233" s="3" t="inlineStr">
        <is>
          <t>11.3</t>
        </is>
      </c>
      <c r="F233" s="3" t="inlineStr">
        <is>
          <t>2.5</t>
        </is>
      </c>
      <c r="G233" s="3" t="inlineStr">
        <is>
          <t>-.-</t>
        </is>
      </c>
      <c r="H233" s="3" t="inlineStr">
        <is>
          <t>GULPINAR-AYVACIK (CANAKKALE)</t>
        </is>
      </c>
      <c r="I233" s="3">
        <f>HYPERLINK("https://www.openstreetmap.org/?mlat=39.5390&amp;mlon=26.0458&amp;zoom=9","Haritada Gör")</f>
        <v/>
      </c>
    </row>
    <row r="234">
      <c r="A234" s="3" t="inlineStr">
        <is>
          <t>2025.05.20</t>
        </is>
      </c>
      <c r="B234" s="3" t="inlineStr">
        <is>
          <t>05:04:26</t>
        </is>
      </c>
      <c r="C234" s="3" t="inlineStr">
        <is>
          <t>36.8948</t>
        </is>
      </c>
      <c r="D234" s="3" t="inlineStr">
        <is>
          <t>29.1325</t>
        </is>
      </c>
      <c r="E234" s="3" t="inlineStr">
        <is>
          <t>3.3</t>
        </is>
      </c>
      <c r="F234" s="3" t="inlineStr">
        <is>
          <t>1.9</t>
        </is>
      </c>
      <c r="G234" s="3" t="inlineStr">
        <is>
          <t>-.-</t>
        </is>
      </c>
      <c r="H234" s="3" t="inlineStr">
        <is>
          <t>KARABAYIR-CAMELI (DENIZLI)</t>
        </is>
      </c>
      <c r="I234" s="3">
        <f>HYPERLINK("https://www.openstreetmap.org/?mlat=36.8948&amp;mlon=29.1325&amp;zoom=9","Haritada Gör")</f>
        <v/>
      </c>
    </row>
    <row r="235">
      <c r="A235" s="3" t="inlineStr">
        <is>
          <t>2025.05.20</t>
        </is>
      </c>
      <c r="B235" s="3" t="inlineStr">
        <is>
          <t>04:38:27</t>
        </is>
      </c>
      <c r="C235" s="3" t="inlineStr">
        <is>
          <t>38.5410</t>
        </is>
      </c>
      <c r="D235" s="3" t="inlineStr">
        <is>
          <t>37.9812</t>
        </is>
      </c>
      <c r="E235" s="3" t="inlineStr">
        <is>
          <t>4.8</t>
        </is>
      </c>
      <c r="F235" s="3" t="inlineStr">
        <is>
          <t>1.5</t>
        </is>
      </c>
      <c r="G235" s="3" t="inlineStr">
        <is>
          <t>-.-</t>
        </is>
      </c>
      <c r="H235" s="3" t="inlineStr">
        <is>
          <t>SADIKLI-YAZIHAN (MALATYA)</t>
        </is>
      </c>
      <c r="I235" s="3">
        <f>HYPERLINK("https://www.openstreetmap.org/?mlat=38.5410&amp;mlon=37.9812&amp;zoom=9","Haritada Gör")</f>
        <v/>
      </c>
    </row>
    <row r="236">
      <c r="A236" s="3" t="inlineStr">
        <is>
          <t>2025.05.20</t>
        </is>
      </c>
      <c r="B236" s="3" t="inlineStr">
        <is>
          <t>04:28:19</t>
        </is>
      </c>
      <c r="C236" s="3" t="inlineStr">
        <is>
          <t>39.2550</t>
        </is>
      </c>
      <c r="D236" s="3" t="inlineStr">
        <is>
          <t>29.0117</t>
        </is>
      </c>
      <c r="E236" s="3" t="inlineStr">
        <is>
          <t>11.6</t>
        </is>
      </c>
      <c r="F236" s="3" t="inlineStr">
        <is>
          <t>1.3</t>
        </is>
      </c>
      <c r="G236" s="3" t="inlineStr">
        <is>
          <t>-.-</t>
        </is>
      </c>
      <c r="H236" s="3" t="inlineStr">
        <is>
          <t>YESILDERE-SIMAV (KUTAHYA)</t>
        </is>
      </c>
      <c r="I236" s="3">
        <f>HYPERLINK("https://www.openstreetmap.org/?mlat=39.2550&amp;mlon=29.0117&amp;zoom=9","Haritada Gör")</f>
        <v/>
      </c>
    </row>
    <row r="237">
      <c r="A237" s="3" t="inlineStr">
        <is>
          <t>2025.05.20</t>
        </is>
      </c>
      <c r="B237" s="3" t="inlineStr">
        <is>
          <t>03:54:38</t>
        </is>
      </c>
      <c r="C237" s="3" t="inlineStr">
        <is>
          <t>39.2087</t>
        </is>
      </c>
      <c r="D237" s="3" t="inlineStr">
        <is>
          <t>29.0510</t>
        </is>
      </c>
      <c r="E237" s="3" t="inlineStr">
        <is>
          <t>12.9</t>
        </is>
      </c>
      <c r="F237" s="3" t="inlineStr">
        <is>
          <t>1.1</t>
        </is>
      </c>
      <c r="G237" s="3" t="inlineStr">
        <is>
          <t>-.-</t>
        </is>
      </c>
      <c r="H237" s="3" t="inlineStr">
        <is>
          <t>KARACAOREN-SIMAV (KUTAHYA)</t>
        </is>
      </c>
      <c r="I237" s="3">
        <f>HYPERLINK("https://www.openstreetmap.org/?mlat=39.2087&amp;mlon=29.0510&amp;zoom=9","Haritada Gör")</f>
        <v/>
      </c>
    </row>
    <row r="238">
      <c r="A238" s="3" t="inlineStr">
        <is>
          <t>2025.05.20</t>
        </is>
      </c>
      <c r="B238" s="3" t="inlineStr">
        <is>
          <t>02:56:44</t>
        </is>
      </c>
      <c r="C238" s="3" t="inlineStr">
        <is>
          <t>38.8942</t>
        </is>
      </c>
      <c r="D238" s="3" t="inlineStr">
        <is>
          <t>37.3115</t>
        </is>
      </c>
      <c r="E238" s="3" t="inlineStr">
        <is>
          <t>3.1</t>
        </is>
      </c>
      <c r="F238" s="3" t="inlineStr">
        <is>
          <t>1.2</t>
        </is>
      </c>
      <c r="G238" s="3" t="inlineStr">
        <is>
          <t>-.-</t>
        </is>
      </c>
      <c r="H238" s="3" t="inlineStr">
        <is>
          <t>KONAKPINAR-GURUN (SIVAS)</t>
        </is>
      </c>
      <c r="I238" s="3">
        <f>HYPERLINK("https://www.openstreetmap.org/?mlat=38.8942&amp;mlon=37.3115&amp;zoom=9","Haritada Gör")</f>
        <v/>
      </c>
    </row>
    <row r="239">
      <c r="A239" s="3" t="inlineStr">
        <is>
          <t>2025.05.20</t>
        </is>
      </c>
      <c r="B239" s="3" t="inlineStr">
        <is>
          <t>02:45:56</t>
        </is>
      </c>
      <c r="C239" s="3" t="inlineStr">
        <is>
          <t>36.6692</t>
        </is>
      </c>
      <c r="D239" s="3" t="inlineStr">
        <is>
          <t>25.6755</t>
        </is>
      </c>
      <c r="E239" s="3" t="inlineStr">
        <is>
          <t>12.9</t>
        </is>
      </c>
      <c r="F239" s="3" t="inlineStr">
        <is>
          <t>1.9</t>
        </is>
      </c>
      <c r="G239" s="3" t="inlineStr">
        <is>
          <t>-.-</t>
        </is>
      </c>
      <c r="H239" s="3" t="inlineStr">
        <is>
          <t>EGE DENIZI</t>
        </is>
      </c>
      <c r="I239" s="3">
        <f>HYPERLINK("https://www.openstreetmap.org/?mlat=36.6692&amp;mlon=25.6755&amp;zoom=9","Haritada Gör")</f>
        <v/>
      </c>
    </row>
    <row r="240">
      <c r="A240" s="3" t="inlineStr">
        <is>
          <t>2025.05.20</t>
        </is>
      </c>
      <c r="B240" s="3" t="inlineStr">
        <is>
          <t>02:39:35</t>
        </is>
      </c>
      <c r="C240" s="3" t="inlineStr">
        <is>
          <t>40.7448</t>
        </is>
      </c>
      <c r="D240" s="3" t="inlineStr">
        <is>
          <t>31.6858</t>
        </is>
      </c>
      <c r="E240" s="3" t="inlineStr">
        <is>
          <t>12.7</t>
        </is>
      </c>
      <c r="F240" s="3" t="inlineStr">
        <is>
          <t>2.7</t>
        </is>
      </c>
      <c r="G240" s="3" t="inlineStr">
        <is>
          <t>-.-</t>
        </is>
      </c>
      <c r="H240" s="3" t="inlineStr">
        <is>
          <t>YENIAKCAKAVAK-(BOLU)</t>
        </is>
      </c>
      <c r="I240" s="3">
        <f>HYPERLINK("https://www.openstreetmap.org/?mlat=40.7448&amp;mlon=31.6858&amp;zoom=9","Haritada Gör")</f>
        <v/>
      </c>
    </row>
    <row r="241">
      <c r="A241" s="3" t="inlineStr">
        <is>
          <t>2025.05.20</t>
        </is>
      </c>
      <c r="B241" s="3" t="inlineStr">
        <is>
          <t>02:36:15</t>
        </is>
      </c>
      <c r="C241" s="3" t="inlineStr">
        <is>
          <t>39.0572</t>
        </is>
      </c>
      <c r="D241" s="3" t="inlineStr">
        <is>
          <t>33.2565</t>
        </is>
      </c>
      <c r="E241" s="3" t="inlineStr">
        <is>
          <t>5.2</t>
        </is>
      </c>
      <c r="F241" s="3" t="inlineStr">
        <is>
          <t>1.6</t>
        </is>
      </c>
      <c r="G241" s="3" t="inlineStr">
        <is>
          <t>-.-</t>
        </is>
      </c>
      <c r="H241" s="3" t="inlineStr">
        <is>
          <t>KIRKKUYU-KULU (KONYA)</t>
        </is>
      </c>
      <c r="I241" s="3">
        <f>HYPERLINK("https://www.openstreetmap.org/?mlat=39.0572&amp;mlon=33.2565&amp;zoom=9","Haritada Gör")</f>
        <v/>
      </c>
    </row>
    <row r="242">
      <c r="A242" s="3" t="inlineStr">
        <is>
          <t>2025.05.20</t>
        </is>
      </c>
      <c r="B242" s="3" t="inlineStr">
        <is>
          <t>02:21:06</t>
        </is>
      </c>
      <c r="C242" s="3" t="inlineStr">
        <is>
          <t>40.7402</t>
        </is>
      </c>
      <c r="D242" s="3" t="inlineStr">
        <is>
          <t>31.6905</t>
        </is>
      </c>
      <c r="E242" s="3" t="inlineStr">
        <is>
          <t>15.6</t>
        </is>
      </c>
      <c r="F242" s="3" t="inlineStr">
        <is>
          <t>2.2</t>
        </is>
      </c>
      <c r="G242" s="3" t="inlineStr">
        <is>
          <t>-.-</t>
        </is>
      </c>
      <c r="H242" s="3" t="inlineStr">
        <is>
          <t>VAKIFGECITVEREN-(BOLU)</t>
        </is>
      </c>
      <c r="I242" s="3">
        <f>HYPERLINK("https://www.openstreetmap.org/?mlat=40.7402&amp;mlon=31.6905&amp;zoom=9","Haritada Gör")</f>
        <v/>
      </c>
    </row>
    <row r="243">
      <c r="A243" s="3" t="inlineStr">
        <is>
          <t>2025.05.20</t>
        </is>
      </c>
      <c r="B243" s="3" t="inlineStr">
        <is>
          <t>02:04:33</t>
        </is>
      </c>
      <c r="C243" s="3" t="inlineStr">
        <is>
          <t>38.7095</t>
        </is>
      </c>
      <c r="D243" s="3" t="inlineStr">
        <is>
          <t>26.6642</t>
        </is>
      </c>
      <c r="E243" s="3" t="inlineStr">
        <is>
          <t>3.9</t>
        </is>
      </c>
      <c r="F243" s="3" t="inlineStr">
        <is>
          <t>2.0</t>
        </is>
      </c>
      <c r="G243" s="3" t="inlineStr">
        <is>
          <t>-.-</t>
        </is>
      </c>
      <c r="H243" s="3" t="inlineStr">
        <is>
          <t>IZMIR KORFEZI (EGE DENIZI)</t>
        </is>
      </c>
      <c r="I243" s="3">
        <f>HYPERLINK("https://www.openstreetmap.org/?mlat=38.7095&amp;mlon=26.6642&amp;zoom=9","Haritada Gör")</f>
        <v/>
      </c>
    </row>
    <row r="244">
      <c r="A244" s="3" t="inlineStr">
        <is>
          <t>2025.05.20</t>
        </is>
      </c>
      <c r="B244" s="3" t="inlineStr">
        <is>
          <t>01:57:43</t>
        </is>
      </c>
      <c r="C244" s="3" t="inlineStr">
        <is>
          <t>34.6617</t>
        </is>
      </c>
      <c r="D244" s="3" t="inlineStr">
        <is>
          <t>33.9972</t>
        </is>
      </c>
      <c r="E244" s="3" t="inlineStr">
        <is>
          <t>29.9</t>
        </is>
      </c>
      <c r="F244" s="3" t="inlineStr">
        <is>
          <t>2.6</t>
        </is>
      </c>
      <c r="G244" s="3" t="inlineStr">
        <is>
          <t>-.-</t>
        </is>
      </c>
      <c r="H244" s="3" t="inlineStr">
        <is>
          <t>AKDENIZ</t>
        </is>
      </c>
      <c r="I244" s="3">
        <f>HYPERLINK("https://www.openstreetmap.org/?mlat=34.6617&amp;mlon=33.9972&amp;zoom=9","Haritada Gör")</f>
        <v/>
      </c>
    </row>
    <row r="245">
      <c r="A245" s="3" t="inlineStr">
        <is>
          <t>2025.05.20</t>
        </is>
      </c>
      <c r="B245" s="3" t="inlineStr">
        <is>
          <t>01:33:57</t>
        </is>
      </c>
      <c r="C245" s="3" t="inlineStr">
        <is>
          <t>38.2007</t>
        </is>
      </c>
      <c r="D245" s="3" t="inlineStr">
        <is>
          <t>26.3552</t>
        </is>
      </c>
      <c r="E245" s="3" t="inlineStr">
        <is>
          <t>1.7</t>
        </is>
      </c>
      <c r="F245" s="3" t="inlineStr">
        <is>
          <t>1.4</t>
        </is>
      </c>
      <c r="G245" s="3" t="inlineStr">
        <is>
          <t>-.-</t>
        </is>
      </c>
      <c r="H245" s="3" t="inlineStr">
        <is>
          <t>CESME ACIKLARI-IZMIR (EGE DENIZI)</t>
        </is>
      </c>
      <c r="I245" s="3">
        <f>HYPERLINK("https://www.openstreetmap.org/?mlat=38.2007&amp;mlon=26.3552&amp;zoom=9","Haritada Gör")</f>
        <v/>
      </c>
    </row>
    <row r="246">
      <c r="A246" s="3" t="inlineStr">
        <is>
          <t>2025.05.20</t>
        </is>
      </c>
      <c r="B246" s="3" t="inlineStr">
        <is>
          <t>01:08:10</t>
        </is>
      </c>
      <c r="C246" s="3" t="inlineStr">
        <is>
          <t>39.2402</t>
        </is>
      </c>
      <c r="D246" s="3" t="inlineStr">
        <is>
          <t>29.0138</t>
        </is>
      </c>
      <c r="E246" s="3" t="inlineStr">
        <is>
          <t>7.9</t>
        </is>
      </c>
      <c r="F246" s="3" t="inlineStr">
        <is>
          <t>2.4</t>
        </is>
      </c>
      <c r="G246" s="3" t="inlineStr">
        <is>
          <t>-.-</t>
        </is>
      </c>
      <c r="H246" s="3" t="inlineStr">
        <is>
          <t>YEMISLI-SIMAV (KUTAHYA)</t>
        </is>
      </c>
      <c r="I246" s="3">
        <f>HYPERLINK("https://www.openstreetmap.org/?mlat=39.2402&amp;mlon=29.0138&amp;zoom=9","Haritada Gör")</f>
        <v/>
      </c>
    </row>
    <row r="247">
      <c r="A247" s="3" t="inlineStr">
        <is>
          <t>2025.05.20</t>
        </is>
      </c>
      <c r="B247" s="3" t="inlineStr">
        <is>
          <t>01:03:02</t>
        </is>
      </c>
      <c r="C247" s="3" t="inlineStr">
        <is>
          <t>38.1217</t>
        </is>
      </c>
      <c r="D247" s="3" t="inlineStr">
        <is>
          <t>38.5258</t>
        </is>
      </c>
      <c r="E247" s="3" t="inlineStr">
        <is>
          <t>23.9</t>
        </is>
      </c>
      <c r="F247" s="3" t="inlineStr">
        <is>
          <t>1.1</t>
        </is>
      </c>
      <c r="G247" s="3" t="inlineStr">
        <is>
          <t>-.-</t>
        </is>
      </c>
      <c r="H247" s="3" t="inlineStr">
        <is>
          <t>GECITLI-SINCIK (ADIYAMAN)</t>
        </is>
      </c>
      <c r="I247" s="3">
        <f>HYPERLINK("https://www.openstreetmap.org/?mlat=38.1217&amp;mlon=38.5258&amp;zoom=9","Haritada Gör")</f>
        <v/>
      </c>
    </row>
    <row r="248">
      <c r="A248" s="3" t="inlineStr">
        <is>
          <t>2025.05.20</t>
        </is>
      </c>
      <c r="B248" s="3" t="inlineStr">
        <is>
          <t>00:52:28</t>
        </is>
      </c>
      <c r="C248" s="3" t="inlineStr">
        <is>
          <t>36.6348</t>
        </is>
      </c>
      <c r="D248" s="3" t="inlineStr">
        <is>
          <t>25.4843</t>
        </is>
      </c>
      <c r="E248" s="3" t="inlineStr">
        <is>
          <t>8.3</t>
        </is>
      </c>
      <c r="F248" s="3" t="inlineStr">
        <is>
          <t>2.2</t>
        </is>
      </c>
      <c r="G248" s="3" t="inlineStr">
        <is>
          <t>-.-</t>
        </is>
      </c>
      <c r="H248" s="3" t="inlineStr">
        <is>
          <t>EGE DENIZI</t>
        </is>
      </c>
      <c r="I248" s="3">
        <f>HYPERLINK("https://www.openstreetmap.org/?mlat=36.6348&amp;mlon=25.4843&amp;zoom=9","Haritada Gör")</f>
        <v/>
      </c>
    </row>
    <row r="249">
      <c r="A249" s="3" t="inlineStr">
        <is>
          <t>2025.05.20</t>
        </is>
      </c>
      <c r="B249" s="3" t="inlineStr">
        <is>
          <t>00:51:47</t>
        </is>
      </c>
      <c r="C249" s="3" t="inlineStr">
        <is>
          <t>39.0823</t>
        </is>
      </c>
      <c r="D249" s="3" t="inlineStr">
        <is>
          <t>33.2515</t>
        </is>
      </c>
      <c r="E249" s="3" t="inlineStr">
        <is>
          <t>9.2</t>
        </is>
      </c>
      <c r="F249" s="3" t="inlineStr">
        <is>
          <t>1.5</t>
        </is>
      </c>
      <c r="G249" s="3" t="inlineStr">
        <is>
          <t>-.-</t>
        </is>
      </c>
      <c r="H249" s="3" t="inlineStr">
        <is>
          <t>AKIN-SEREFLIKOCHISAR (ANKARA)</t>
        </is>
      </c>
      <c r="I249" s="3">
        <f>HYPERLINK("https://www.openstreetmap.org/?mlat=39.0823&amp;mlon=33.2515&amp;zoom=9","Haritada Gör")</f>
        <v/>
      </c>
    </row>
    <row r="250">
      <c r="A250" s="3" t="inlineStr">
        <is>
          <t>2025.05.20</t>
        </is>
      </c>
      <c r="B250" s="3" t="inlineStr">
        <is>
          <t>00:36:04</t>
        </is>
      </c>
      <c r="C250" s="3" t="inlineStr">
        <is>
          <t>38.6565</t>
        </is>
      </c>
      <c r="D250" s="3" t="inlineStr">
        <is>
          <t>26.5573</t>
        </is>
      </c>
      <c r="E250" s="3" t="inlineStr">
        <is>
          <t>10.2</t>
        </is>
      </c>
      <c r="F250" s="3" t="inlineStr">
        <is>
          <t>1.5</t>
        </is>
      </c>
      <c r="G250" s="3" t="inlineStr">
        <is>
          <t>-.-</t>
        </is>
      </c>
      <c r="H250" s="3" t="inlineStr">
        <is>
          <t>IZMIR KORFEZI (EGE DENIZI)</t>
        </is>
      </c>
      <c r="I250" s="3">
        <f>HYPERLINK("https://www.openstreetmap.org/?mlat=38.6565&amp;mlon=26.5573&amp;zoom=9","Haritada Gör")</f>
        <v/>
      </c>
    </row>
    <row r="251">
      <c r="A251" s="3" t="inlineStr">
        <is>
          <t>2025.05.20</t>
        </is>
      </c>
      <c r="B251" s="3" t="inlineStr">
        <is>
          <t>00:32:08</t>
        </is>
      </c>
      <c r="C251" s="3" t="inlineStr">
        <is>
          <t>36.9867</t>
        </is>
      </c>
      <c r="D251" s="3" t="inlineStr">
        <is>
          <t>29.1773</t>
        </is>
      </c>
      <c r="E251" s="3" t="inlineStr">
        <is>
          <t>11.6</t>
        </is>
      </c>
      <c r="F251" s="3" t="inlineStr">
        <is>
          <t>2.1</t>
        </is>
      </c>
      <c r="G251" s="3" t="inlineStr">
        <is>
          <t>-.-</t>
        </is>
      </c>
      <c r="H251" s="3" t="inlineStr">
        <is>
          <t>KIRAZLIYAYLA-CAMELI (DENIZLI)</t>
        </is>
      </c>
      <c r="I251" s="3">
        <f>HYPERLINK("https://www.openstreetmap.org/?mlat=36.9867&amp;mlon=29.1773&amp;zoom=9","Haritada Gör")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2025-05-23T07:33:03Z</dcterms:created>
  <dcterms:modified xmlns:dcterms="http://purl.org/dc/terms/" xmlns:xsi="http://www.w3.org/2001/XMLSchema-instance" xsi:type="dcterms:W3CDTF">2025-05-23T07:33:03Z</dcterms:modified>
</cp:coreProperties>
</file>