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17187\Desktop\"/>
    </mc:Choice>
  </mc:AlternateContent>
  <xr:revisionPtr revIDLastSave="0" documentId="8_{C6C1BEC2-9995-4171-8517-C32CCA6D6F9B}" xr6:coauthVersionLast="47" xr6:coauthVersionMax="47" xr10:uidLastSave="{00000000-0000-0000-0000-000000000000}"/>
  <bookViews>
    <workbookView xWindow="-120" yWindow="-120" windowWidth="29040" windowHeight="16440" xr2:uid="{9705C2BC-B309-4188-A084-C60999ACEBA5}"/>
  </bookViews>
  <sheets>
    <sheet name="Equity Valuation Model" sheetId="4" r:id="rId1"/>
    <sheet name="APV Zero G" sheetId="1" r:id="rId2"/>
    <sheet name="APV Constant G" sheetId="2" r:id="rId3"/>
    <sheet name="APV Multistage" sheetId="3" r:id="rId4"/>
    <sheet name="MM Zero Taxes" sheetId="5" r:id="rId5"/>
    <sheet name="MM Corporate Taxes " sheetId="6" r:id="rId6"/>
    <sheet name="Venture Capital" sheetId="7" r:id="rId7"/>
    <sheet name="VC Post and Pre Money"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4" l="1"/>
  <c r="B10" i="8"/>
  <c r="B7" i="7"/>
  <c r="Q14" i="3"/>
  <c r="N7" i="3"/>
  <c r="F5" i="2"/>
  <c r="F4" i="2"/>
  <c r="F3" i="1"/>
  <c r="B14" i="8"/>
  <c r="B13" i="8"/>
  <c r="B12" i="8"/>
  <c r="B11" i="8"/>
  <c r="B8" i="8"/>
  <c r="B6" i="7"/>
  <c r="C11" i="6"/>
  <c r="C9" i="5"/>
  <c r="B10" i="6"/>
  <c r="C10" i="6"/>
  <c r="C6" i="6"/>
  <c r="B9" i="6"/>
  <c r="C9" i="6"/>
  <c r="C8" i="6"/>
  <c r="B8" i="6"/>
  <c r="C8" i="5"/>
  <c r="B8" i="5"/>
  <c r="C3" i="5"/>
  <c r="B7" i="5"/>
  <c r="C6" i="5"/>
  <c r="C7" i="5"/>
  <c r="B6" i="5"/>
  <c r="K8" i="4"/>
  <c r="K6" i="4" s="1"/>
  <c r="O4" i="4"/>
  <c r="O6" i="4" s="1"/>
  <c r="N4" i="4"/>
  <c r="M4" i="4"/>
  <c r="M6" i="4" s="1"/>
  <c r="F8" i="4"/>
  <c r="G8" i="4"/>
  <c r="H8" i="4"/>
  <c r="H10" i="4" s="1"/>
  <c r="E8" i="4"/>
  <c r="D8" i="4"/>
  <c r="D10" i="4"/>
  <c r="F10" i="4"/>
  <c r="G10" i="4"/>
  <c r="E10" i="4"/>
  <c r="Q19" i="3"/>
  <c r="J19" i="3"/>
  <c r="J16" i="3"/>
  <c r="J17" i="3"/>
  <c r="J8" i="3"/>
  <c r="I7" i="3"/>
  <c r="J7" i="3"/>
  <c r="I15" i="3"/>
  <c r="H15" i="3"/>
  <c r="G15" i="3"/>
  <c r="F15" i="3"/>
  <c r="E15" i="3"/>
  <c r="I14" i="3"/>
  <c r="H14" i="3"/>
  <c r="G14" i="3"/>
  <c r="F14" i="3"/>
  <c r="E14" i="3"/>
  <c r="J6" i="3"/>
  <c r="H7" i="3"/>
  <c r="G7" i="3"/>
  <c r="F7" i="3"/>
  <c r="E7" i="3"/>
  <c r="Q7" i="3"/>
  <c r="Q8" i="3" s="1"/>
  <c r="Q9" i="3" s="1"/>
  <c r="P14" i="3"/>
  <c r="Q15" i="3" s="1"/>
  <c r="Q16" i="3" s="1"/>
  <c r="O14" i="3"/>
  <c r="O15" i="3" s="1"/>
  <c r="N14" i="3"/>
  <c r="N15" i="3" s="1"/>
  <c r="Q6" i="3"/>
  <c r="P7" i="3"/>
  <c r="O7" i="3"/>
  <c r="F6" i="2"/>
  <c r="C8" i="2"/>
  <c r="C6" i="2"/>
  <c r="C9" i="2" s="1"/>
  <c r="F4" i="1"/>
  <c r="C5" i="1"/>
  <c r="C7" i="1"/>
  <c r="O11" i="4" l="1"/>
  <c r="O12" i="4"/>
  <c r="M12" i="4"/>
  <c r="M11" i="4"/>
  <c r="N12" i="4"/>
  <c r="N11" i="4"/>
  <c r="K16" i="4" s="1"/>
  <c r="K17" i="4" s="1"/>
  <c r="K19" i="4" s="1"/>
  <c r="K20" i="4" s="1"/>
  <c r="J9" i="3"/>
  <c r="J14" i="3"/>
  <c r="J15" i="3" s="1"/>
  <c r="P15" i="3"/>
  <c r="Q17" i="3" s="1"/>
  <c r="C8" i="1"/>
  <c r="F5" i="1" s="1"/>
</calcChain>
</file>

<file path=xl/sharedStrings.xml><?xml version="1.0" encoding="utf-8"?>
<sst xmlns="http://schemas.openxmlformats.org/spreadsheetml/2006/main" count="133" uniqueCount="101">
  <si>
    <t>Inputs</t>
  </si>
  <si>
    <t xml:space="preserve">Total Debt </t>
  </si>
  <si>
    <t>Ebit</t>
  </si>
  <si>
    <t>Tax rate</t>
  </si>
  <si>
    <t>NOPAT</t>
  </si>
  <si>
    <t>starters</t>
  </si>
  <si>
    <t>FCF</t>
  </si>
  <si>
    <t>required Investment in net op assets</t>
  </si>
  <si>
    <t>Investments in net op assets</t>
  </si>
  <si>
    <t>Value Unlevered</t>
  </si>
  <si>
    <t>Rsu</t>
  </si>
  <si>
    <t>Total Debt</t>
  </si>
  <si>
    <t>Total Value</t>
  </si>
  <si>
    <t>Growth</t>
  </si>
  <si>
    <t>Value of ts</t>
  </si>
  <si>
    <t>rD</t>
  </si>
  <si>
    <t>Year</t>
  </si>
  <si>
    <t>3 year</t>
  </si>
  <si>
    <t>PV of FCF</t>
  </si>
  <si>
    <t>PV of Horizon Value</t>
  </si>
  <si>
    <t>Growth rate</t>
  </si>
  <si>
    <t>Horizon</t>
  </si>
  <si>
    <t>Value Of Unlevered Equity</t>
  </si>
  <si>
    <t>Tax Rate</t>
  </si>
  <si>
    <t>Interest Expense</t>
  </si>
  <si>
    <t>Tax Savings</t>
  </si>
  <si>
    <t>Present Value of TS</t>
  </si>
  <si>
    <t>Present value of Horizon Value TS</t>
  </si>
  <si>
    <t>Value of TS</t>
  </si>
  <si>
    <t>5 year</t>
  </si>
  <si>
    <t>Total Value of Leveraged Firm</t>
  </si>
  <si>
    <t>Net Income</t>
  </si>
  <si>
    <t>Less: Increase in NWC</t>
  </si>
  <si>
    <t>Less: Capex</t>
  </si>
  <si>
    <t>Greater: Amortization of Transaction Costs</t>
  </si>
  <si>
    <t>Greater: Depreciation</t>
  </si>
  <si>
    <t>ECF</t>
  </si>
  <si>
    <t>FOR LBO ECF = 0</t>
  </si>
  <si>
    <t xml:space="preserve">CF available for debt repayment </t>
  </si>
  <si>
    <t>Less: Debt Repayment</t>
  </si>
  <si>
    <t>Terminal Value</t>
  </si>
  <si>
    <t>PE Multiple</t>
  </si>
  <si>
    <t>P/E MULT</t>
  </si>
  <si>
    <t>Equity Val</t>
  </si>
  <si>
    <t>Add Transaction Cost</t>
  </si>
  <si>
    <t>Initial Cost of Transaction</t>
  </si>
  <si>
    <t>Ownership</t>
  </si>
  <si>
    <t>LBO Fund</t>
  </si>
  <si>
    <t>Management</t>
  </si>
  <si>
    <t>share</t>
  </si>
  <si>
    <t>Initial</t>
  </si>
  <si>
    <t>Conservative</t>
  </si>
  <si>
    <t>Most Likely</t>
  </si>
  <si>
    <t>Aggressive</t>
  </si>
  <si>
    <t>cash contributed</t>
  </si>
  <si>
    <t>LBO Fund Target IRR (USE BETWEEN 25-40%)</t>
  </si>
  <si>
    <t xml:space="preserve">PV of Investment Terminal Value </t>
  </si>
  <si>
    <t>Total Equity Value</t>
  </si>
  <si>
    <t>Short Term + Long Term Debt at start of LBO</t>
  </si>
  <si>
    <t>Enterprise Value</t>
  </si>
  <si>
    <t>Price paid to seller</t>
  </si>
  <si>
    <t>Given the target irr, the lbo fund can afford to pay the above amount, If it pays less, the LBO Fund's irr will be abover the target, if it pays more, its irr will be lower.</t>
  </si>
  <si>
    <t>EBIT</t>
  </si>
  <si>
    <t>Firm 1</t>
  </si>
  <si>
    <t>Firm 2</t>
  </si>
  <si>
    <t>debt</t>
  </si>
  <si>
    <t>rd</t>
  </si>
  <si>
    <t>VU = VL</t>
  </si>
  <si>
    <t>rs</t>
  </si>
  <si>
    <t>S</t>
  </si>
  <si>
    <t>WACC</t>
  </si>
  <si>
    <t>Firm U</t>
  </si>
  <si>
    <t>Firm L</t>
  </si>
  <si>
    <t xml:space="preserve">Debt </t>
  </si>
  <si>
    <t>Rs</t>
  </si>
  <si>
    <t>Corporate tr</t>
  </si>
  <si>
    <t>Value</t>
  </si>
  <si>
    <t>Equity</t>
  </si>
  <si>
    <t>cost of debt</t>
  </si>
  <si>
    <t>cost of equity</t>
  </si>
  <si>
    <t>wacc</t>
  </si>
  <si>
    <t>Beta</t>
  </si>
  <si>
    <t>beta</t>
  </si>
  <si>
    <t>Cash Flows at year N</t>
  </si>
  <si>
    <t xml:space="preserve">Average p/c ratio </t>
  </si>
  <si>
    <t>year N</t>
  </si>
  <si>
    <t>Required annual rate of return</t>
  </si>
  <si>
    <t>Present Value of Terminal value</t>
  </si>
  <si>
    <t>Founders Shares</t>
  </si>
  <si>
    <t>Investor Demanded Return</t>
  </si>
  <si>
    <t>Venture income at exit</t>
  </si>
  <si>
    <t>Exit time (years)</t>
  </si>
  <si>
    <t>Competitors price</t>
  </si>
  <si>
    <t>Competitors earnings</t>
  </si>
  <si>
    <t>Competitors p/e</t>
  </si>
  <si>
    <t>Money for New Shares</t>
  </si>
  <si>
    <t>Post Money Valuation</t>
  </si>
  <si>
    <t>Acquired Percent</t>
  </si>
  <si>
    <t>Pre-money valuation</t>
  </si>
  <si>
    <t>Price/share</t>
  </si>
  <si>
    <t>New Shares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</si>
</sst>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43" formatCode="_(* #,##0.00_);_(* \(#,##0.00\);_(* &quot;-&quot;??_);_(@_)"/>
    <numFmt numFmtId="164" formatCode="_(&quot;$&quot;* #,##0.000_);_(&quot;$&quot;* \(#,##0.00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9" fontId="0" fillId="0" borderId="0" xfId="3" applyFont="1"/>
    <xf numFmtId="9" fontId="0" fillId="0" borderId="0" xfId="0" applyNumberFormat="1"/>
    <xf numFmtId="44" fontId="0" fillId="0" borderId="0" xfId="2" applyFont="1"/>
    <xf numFmtId="44" fontId="0" fillId="0" borderId="0" xfId="0" applyNumberFormat="1"/>
    <xf numFmtId="0" fontId="0" fillId="0" borderId="1" xfId="0" applyBorder="1"/>
    <xf numFmtId="44" fontId="0" fillId="0" borderId="1" xfId="2" applyFont="1" applyBorder="1"/>
    <xf numFmtId="0" fontId="0" fillId="0" borderId="0" xfId="0" applyAlignment="1"/>
    <xf numFmtId="0" fontId="0" fillId="2" borderId="0" xfId="0" applyFill="1"/>
    <xf numFmtId="9" fontId="0" fillId="2" borderId="0" xfId="3" applyFont="1" applyFill="1"/>
    <xf numFmtId="9" fontId="0" fillId="2" borderId="0" xfId="0" applyNumberFormat="1" applyFill="1"/>
    <xf numFmtId="44" fontId="0" fillId="2" borderId="0" xfId="2" applyFont="1" applyFill="1"/>
    <xf numFmtId="6" fontId="0" fillId="2" borderId="0" xfId="2" applyNumberFormat="1" applyFont="1" applyFill="1"/>
    <xf numFmtId="6" fontId="0" fillId="0" borderId="0" xfId="0" applyNumberFormat="1"/>
    <xf numFmtId="0" fontId="0" fillId="3" borderId="0" xfId="0" applyFill="1"/>
    <xf numFmtId="44" fontId="0" fillId="3" borderId="0" xfId="2" applyFont="1" applyFill="1"/>
    <xf numFmtId="0" fontId="0" fillId="3" borderId="0" xfId="0" applyFont="1" applyFill="1"/>
    <xf numFmtId="10" fontId="0" fillId="0" borderId="0" xfId="3" applyNumberFormat="1" applyFont="1"/>
    <xf numFmtId="43" fontId="0" fillId="0" borderId="0" xfId="1" applyFont="1"/>
    <xf numFmtId="43" fontId="0" fillId="0" borderId="0" xfId="0" applyNumberFormat="1"/>
    <xf numFmtId="10" fontId="0" fillId="0" borderId="0" xfId="0" applyNumberFormat="1"/>
    <xf numFmtId="10" fontId="0" fillId="2" borderId="0" xfId="3" applyNumberFormat="1" applyFont="1" applyFill="1"/>
    <xf numFmtId="164" fontId="0" fillId="0" borderId="0" xfId="0" applyNumberFormat="1"/>
    <xf numFmtId="1" fontId="0" fillId="0" borderId="0" xfId="0" applyNumberFormat="1"/>
    <xf numFmtId="0" fontId="0" fillId="0" borderId="0" xfId="0" applyAlignment="1">
      <alignment horizontal="center"/>
    </xf>
    <xf numFmtId="0" fontId="0" fillId="0" borderId="0" xfId="0" applyAlignment="1">
      <alignment horizontal="center" vertical="center" wrapText="1"/>
    </xf>
    <xf numFmtId="0" fontId="0" fillId="2" borderId="0" xfId="0" applyFill="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1C70E-7C36-4DA8-B414-7E5AD8B170BB}">
  <dimension ref="A2:T23"/>
  <sheetViews>
    <sheetView tabSelected="1" topLeftCell="G5" zoomScale="76" zoomScaleNormal="70" workbookViewId="0">
      <selection activeCell="N16" sqref="N16"/>
    </sheetView>
  </sheetViews>
  <sheetFormatPr defaultRowHeight="15" x14ac:dyDescent="0.25"/>
  <cols>
    <col min="1" max="1" width="13.42578125" customWidth="1"/>
    <col min="2" max="2" width="11.140625" customWidth="1"/>
    <col min="3" max="3" width="29.42578125" bestFit="1" customWidth="1"/>
    <col min="10" max="10" width="37.7109375" bestFit="1" customWidth="1"/>
    <col min="11" max="11" width="9.42578125" bestFit="1" customWidth="1"/>
    <col min="12" max="12" width="14.85546875" bestFit="1" customWidth="1"/>
    <col min="13" max="13" width="11.5703125" bestFit="1" customWidth="1"/>
    <col min="14" max="14" width="10.140625" bestFit="1" customWidth="1"/>
  </cols>
  <sheetData>
    <row r="2" spans="1:20" x14ac:dyDescent="0.25">
      <c r="A2" s="7"/>
      <c r="B2" s="7"/>
      <c r="C2" t="s">
        <v>16</v>
      </c>
      <c r="D2">
        <v>1</v>
      </c>
      <c r="E2">
        <v>2</v>
      </c>
      <c r="F2">
        <v>3</v>
      </c>
      <c r="G2">
        <v>4</v>
      </c>
      <c r="H2">
        <v>5</v>
      </c>
      <c r="J2" s="24" t="s">
        <v>40</v>
      </c>
      <c r="K2" s="24"/>
      <c r="L2" s="24"/>
      <c r="M2" s="24"/>
    </row>
    <row r="3" spans="1:20" x14ac:dyDescent="0.25">
      <c r="A3" t="s">
        <v>37</v>
      </c>
      <c r="C3" s="8" t="s">
        <v>31</v>
      </c>
      <c r="D3" s="8">
        <v>5.7</v>
      </c>
      <c r="E3" s="8">
        <v>6.8</v>
      </c>
      <c r="F3" s="8">
        <v>7.9</v>
      </c>
      <c r="G3" s="8">
        <v>9</v>
      </c>
      <c r="H3" s="8">
        <v>400</v>
      </c>
      <c r="J3" t="s">
        <v>41</v>
      </c>
      <c r="L3" t="s">
        <v>50</v>
      </c>
      <c r="M3" t="s">
        <v>51</v>
      </c>
      <c r="N3" t="s">
        <v>52</v>
      </c>
      <c r="O3" t="s">
        <v>53</v>
      </c>
    </row>
    <row r="4" spans="1:20" x14ac:dyDescent="0.25">
      <c r="C4" s="8" t="s">
        <v>35</v>
      </c>
      <c r="D4" s="8">
        <v>5.3</v>
      </c>
      <c r="E4" s="8">
        <v>5.5</v>
      </c>
      <c r="F4" s="8">
        <v>5.8</v>
      </c>
      <c r="G4" s="8">
        <v>6.1</v>
      </c>
      <c r="H4" s="8">
        <v>6.4</v>
      </c>
      <c r="J4" t="s">
        <v>31</v>
      </c>
      <c r="M4">
        <f>H3</f>
        <v>400</v>
      </c>
      <c r="N4">
        <f>H3</f>
        <v>400</v>
      </c>
      <c r="O4">
        <f>H3</f>
        <v>400</v>
      </c>
    </row>
    <row r="5" spans="1:20" x14ac:dyDescent="0.25">
      <c r="C5" s="8" t="s">
        <v>34</v>
      </c>
      <c r="D5" s="8">
        <v>0.6</v>
      </c>
      <c r="E5" s="8">
        <v>0.6</v>
      </c>
      <c r="F5" s="8">
        <v>0.6</v>
      </c>
      <c r="G5" s="8">
        <v>0.6</v>
      </c>
      <c r="H5" s="8">
        <v>0.6</v>
      </c>
      <c r="J5" t="s">
        <v>42</v>
      </c>
      <c r="M5" s="8">
        <v>10</v>
      </c>
      <c r="N5" s="8">
        <v>12</v>
      </c>
      <c r="O5" s="8">
        <v>14</v>
      </c>
    </row>
    <row r="6" spans="1:20" x14ac:dyDescent="0.25">
      <c r="C6" s="8" t="s">
        <v>33</v>
      </c>
      <c r="D6" s="8">
        <v>-6.6</v>
      </c>
      <c r="E6" s="8">
        <v>-6.8</v>
      </c>
      <c r="F6" s="8">
        <v>-7.2</v>
      </c>
      <c r="G6" s="8">
        <v>-7.5</v>
      </c>
      <c r="H6" s="8">
        <v>-7.9</v>
      </c>
      <c r="J6" t="s">
        <v>43</v>
      </c>
      <c r="K6">
        <f>K8-K7</f>
        <v>1199</v>
      </c>
      <c r="M6">
        <f>M5*M4</f>
        <v>4000</v>
      </c>
      <c r="N6">
        <f>N5*N4</f>
        <v>4800</v>
      </c>
      <c r="O6">
        <f>O5*O4</f>
        <v>5600</v>
      </c>
    </row>
    <row r="7" spans="1:20" x14ac:dyDescent="0.25">
      <c r="C7" s="8" t="s">
        <v>32</v>
      </c>
      <c r="D7" s="8">
        <v>-0.4</v>
      </c>
      <c r="E7" s="8">
        <v>-0.4</v>
      </c>
      <c r="F7" s="8">
        <v>-0.4</v>
      </c>
      <c r="G7" s="8">
        <v>-0.5</v>
      </c>
      <c r="H7" s="8">
        <v>-0.5</v>
      </c>
      <c r="J7" t="s">
        <v>44</v>
      </c>
      <c r="K7" s="8">
        <v>1</v>
      </c>
    </row>
    <row r="8" spans="1:20" x14ac:dyDescent="0.25">
      <c r="C8" s="16" t="s">
        <v>38</v>
      </c>
      <c r="D8" s="16">
        <f>D3+D4+D5+D6+D7</f>
        <v>4.5999999999999996</v>
      </c>
      <c r="E8" s="16">
        <f>E3+E4+E5+E6+E7</f>
        <v>5.7</v>
      </c>
      <c r="F8" s="16">
        <f t="shared" ref="F8:H8" si="0">F3+F4+F5+F6+F7</f>
        <v>6.6999999999999984</v>
      </c>
      <c r="G8" s="16">
        <f t="shared" si="0"/>
        <v>7.6999999999999993</v>
      </c>
      <c r="H8" s="16">
        <f t="shared" si="0"/>
        <v>398.6</v>
      </c>
      <c r="J8" t="s">
        <v>45</v>
      </c>
      <c r="K8">
        <f>L11+L12</f>
        <v>1200</v>
      </c>
    </row>
    <row r="9" spans="1:20" x14ac:dyDescent="0.25">
      <c r="C9" t="s">
        <v>39</v>
      </c>
      <c r="D9">
        <v>4.5999999999999996</v>
      </c>
      <c r="E9">
        <v>5.7</v>
      </c>
      <c r="F9">
        <v>6.7</v>
      </c>
      <c r="G9">
        <v>7.7</v>
      </c>
      <c r="H9">
        <v>8.9</v>
      </c>
    </row>
    <row r="10" spans="1:20" x14ac:dyDescent="0.25">
      <c r="C10" t="s">
        <v>36</v>
      </c>
      <c r="D10">
        <f>D8-D9</f>
        <v>0</v>
      </c>
      <c r="E10">
        <f>E8-E9</f>
        <v>0</v>
      </c>
      <c r="F10">
        <f t="shared" ref="F10:H10" si="1">F8-F9</f>
        <v>0</v>
      </c>
      <c r="G10">
        <f t="shared" si="1"/>
        <v>0</v>
      </c>
      <c r="H10">
        <f t="shared" si="1"/>
        <v>389.70000000000005</v>
      </c>
      <c r="J10" t="s">
        <v>46</v>
      </c>
      <c r="K10" t="s">
        <v>49</v>
      </c>
      <c r="L10" s="7" t="s">
        <v>54</v>
      </c>
      <c r="M10" s="7"/>
      <c r="N10" s="7"/>
      <c r="O10" s="7"/>
    </row>
    <row r="11" spans="1:20" x14ac:dyDescent="0.25">
      <c r="J11" t="s">
        <v>47</v>
      </c>
      <c r="K11" s="1">
        <v>0.8</v>
      </c>
      <c r="L11" s="8">
        <v>1000</v>
      </c>
      <c r="M11">
        <f>K11*M6</f>
        <v>3200</v>
      </c>
      <c r="N11">
        <f>K11*N6</f>
        <v>3840</v>
      </c>
      <c r="O11">
        <f>O6*K11</f>
        <v>4480</v>
      </c>
    </row>
    <row r="12" spans="1:20" x14ac:dyDescent="0.25">
      <c r="J12" t="s">
        <v>48</v>
      </c>
      <c r="K12" s="1">
        <v>0.2</v>
      </c>
      <c r="L12" s="8">
        <v>200</v>
      </c>
      <c r="M12">
        <f>K12*M6</f>
        <v>800</v>
      </c>
      <c r="N12">
        <f>K12*N6</f>
        <v>960</v>
      </c>
      <c r="O12">
        <f>K12*O6</f>
        <v>1120</v>
      </c>
    </row>
    <row r="15" spans="1:20" x14ac:dyDescent="0.25">
      <c r="J15" t="s">
        <v>55</v>
      </c>
      <c r="K15" s="10">
        <v>0.3</v>
      </c>
    </row>
    <row r="16" spans="1:20" x14ac:dyDescent="0.25">
      <c r="J16" t="s">
        <v>56</v>
      </c>
      <c r="K16" s="18">
        <f>(N11/(1+K15)^5)</f>
        <v>1034.2236454767526</v>
      </c>
      <c r="R16">
        <v>0</v>
      </c>
      <c r="S16">
        <v>0</v>
      </c>
      <c r="T16">
        <v>0</v>
      </c>
    </row>
    <row r="17" spans="10:11" x14ac:dyDescent="0.25">
      <c r="J17" t="s">
        <v>57</v>
      </c>
      <c r="K17" s="19">
        <f>K16+L12</f>
        <v>1234.2236454767526</v>
      </c>
    </row>
    <row r="18" spans="10:11" x14ac:dyDescent="0.25">
      <c r="J18" t="s">
        <v>58</v>
      </c>
      <c r="K18" s="8">
        <v>720</v>
      </c>
    </row>
    <row r="19" spans="10:11" x14ac:dyDescent="0.25">
      <c r="J19" t="s">
        <v>59</v>
      </c>
      <c r="K19" s="19">
        <f>K17+K18</f>
        <v>1954.2236454767526</v>
      </c>
    </row>
    <row r="20" spans="10:11" x14ac:dyDescent="0.25">
      <c r="J20" t="s">
        <v>60</v>
      </c>
      <c r="K20" s="19">
        <f>K19-K7</f>
        <v>1953.2236454767526</v>
      </c>
    </row>
    <row r="21" spans="10:11" x14ac:dyDescent="0.25">
      <c r="J21" s="25" t="s">
        <v>61</v>
      </c>
      <c r="K21" s="25"/>
    </row>
    <row r="22" spans="10:11" x14ac:dyDescent="0.25">
      <c r="J22" s="25"/>
      <c r="K22" s="25"/>
    </row>
    <row r="23" spans="10:11" x14ac:dyDescent="0.25">
      <c r="J23" s="25"/>
      <c r="K23" s="25"/>
    </row>
  </sheetData>
  <mergeCells count="2">
    <mergeCell ref="J2:M2"/>
    <mergeCell ref="J21:K23"/>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6A33-C5A6-48D5-81E0-D5457B2604BA}">
  <dimension ref="B1:F9"/>
  <sheetViews>
    <sheetView zoomScale="77" zoomScaleNormal="66" workbookViewId="0">
      <selection activeCell="B10" sqref="B10"/>
    </sheetView>
  </sheetViews>
  <sheetFormatPr defaultRowHeight="15" x14ac:dyDescent="0.25"/>
  <cols>
    <col min="2" max="2" width="31.5703125" bestFit="1" customWidth="1"/>
    <col min="3" max="3" width="17.42578125" bestFit="1" customWidth="1"/>
    <col min="5" max="5" width="14.5703125" bestFit="1" customWidth="1"/>
    <col min="6" max="6" width="14.28515625" bestFit="1" customWidth="1"/>
  </cols>
  <sheetData>
    <row r="1" spans="2:6" x14ac:dyDescent="0.25">
      <c r="B1" s="24" t="s">
        <v>5</v>
      </c>
      <c r="C1" s="24"/>
    </row>
    <row r="2" spans="2:6" x14ac:dyDescent="0.25">
      <c r="B2" t="s">
        <v>1</v>
      </c>
      <c r="C2" s="3">
        <v>1000000</v>
      </c>
    </row>
    <row r="3" spans="2:6" x14ac:dyDescent="0.25">
      <c r="B3" t="s">
        <v>2</v>
      </c>
      <c r="C3" s="3">
        <v>500000</v>
      </c>
      <c r="E3" s="5" t="s">
        <v>9</v>
      </c>
      <c r="F3" s="6">
        <f>C8/(C9)</f>
        <v>1785714.2857142854</v>
      </c>
    </row>
    <row r="4" spans="2:6" x14ac:dyDescent="0.25">
      <c r="B4" t="s">
        <v>3</v>
      </c>
      <c r="C4" s="1">
        <v>0.4</v>
      </c>
      <c r="E4" s="5" t="s">
        <v>11</v>
      </c>
      <c r="F4" s="6">
        <f>C2</f>
        <v>1000000</v>
      </c>
    </row>
    <row r="5" spans="2:6" x14ac:dyDescent="0.25">
      <c r="B5" t="s">
        <v>4</v>
      </c>
      <c r="C5">
        <f>C3*(1-C4)</f>
        <v>300000</v>
      </c>
      <c r="E5" s="5" t="s">
        <v>12</v>
      </c>
      <c r="F5" s="6">
        <f>F3+F4</f>
        <v>2785714.2857142854</v>
      </c>
    </row>
    <row r="6" spans="2:6" x14ac:dyDescent="0.25">
      <c r="B6" t="s">
        <v>7</v>
      </c>
      <c r="C6" s="1">
        <v>0.1</v>
      </c>
    </row>
    <row r="7" spans="2:6" x14ac:dyDescent="0.25">
      <c r="B7" t="s">
        <v>8</v>
      </c>
      <c r="C7" s="3">
        <f>C6*C3</f>
        <v>50000</v>
      </c>
    </row>
    <row r="8" spans="2:6" x14ac:dyDescent="0.25">
      <c r="B8" t="s">
        <v>6</v>
      </c>
      <c r="C8" s="3">
        <f>C5-C7</f>
        <v>250000</v>
      </c>
    </row>
    <row r="9" spans="2:6" x14ac:dyDescent="0.25">
      <c r="B9" t="s">
        <v>74</v>
      </c>
      <c r="C9" s="1">
        <v>0.14000000000000001</v>
      </c>
    </row>
  </sheetData>
  <mergeCells count="1">
    <mergeCell ref="B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484C5-0928-4161-92A8-277485D44CB6}">
  <dimension ref="B2:F12"/>
  <sheetViews>
    <sheetView zoomScale="67" zoomScaleNormal="57" workbookViewId="0">
      <selection activeCell="F5" sqref="F5"/>
    </sheetView>
  </sheetViews>
  <sheetFormatPr defaultRowHeight="15" x14ac:dyDescent="0.25"/>
  <cols>
    <col min="2" max="2" width="31.5703125" bestFit="1" customWidth="1"/>
    <col min="3" max="3" width="14.5703125" bestFit="1" customWidth="1"/>
    <col min="5" max="6" width="14.5703125" bestFit="1" customWidth="1"/>
  </cols>
  <sheetData>
    <row r="2" spans="2:6" x14ac:dyDescent="0.25">
      <c r="B2" s="24" t="s">
        <v>5</v>
      </c>
      <c r="C2" s="24"/>
    </row>
    <row r="3" spans="2:6" x14ac:dyDescent="0.25">
      <c r="B3" t="s">
        <v>1</v>
      </c>
      <c r="C3" s="3">
        <v>1000000</v>
      </c>
    </row>
    <row r="4" spans="2:6" x14ac:dyDescent="0.25">
      <c r="B4" t="s">
        <v>2</v>
      </c>
      <c r="C4" s="3">
        <v>500000</v>
      </c>
      <c r="E4" s="5" t="s">
        <v>9</v>
      </c>
      <c r="F4" s="6">
        <f>C9/(C10-C11)</f>
        <v>3571428.5714285709</v>
      </c>
    </row>
    <row r="5" spans="2:6" x14ac:dyDescent="0.25">
      <c r="B5" t="s">
        <v>3</v>
      </c>
      <c r="C5" s="1">
        <v>0.4</v>
      </c>
      <c r="E5" s="5" t="s">
        <v>14</v>
      </c>
      <c r="F5" s="6">
        <f>(C3*C5*C12)/(C10-C11)</f>
        <v>457142.8571428571</v>
      </c>
    </row>
    <row r="6" spans="2:6" x14ac:dyDescent="0.25">
      <c r="B6" t="s">
        <v>4</v>
      </c>
      <c r="C6">
        <f>C4*(1-C5)</f>
        <v>300000</v>
      </c>
      <c r="E6" s="5" t="s">
        <v>12</v>
      </c>
      <c r="F6" s="6">
        <f>F4+F5</f>
        <v>4028571.4285714282</v>
      </c>
    </row>
    <row r="7" spans="2:6" x14ac:dyDescent="0.25">
      <c r="B7" t="s">
        <v>7</v>
      </c>
      <c r="C7" s="1">
        <v>0.1</v>
      </c>
    </row>
    <row r="8" spans="2:6" x14ac:dyDescent="0.25">
      <c r="B8" t="s">
        <v>8</v>
      </c>
      <c r="C8" s="3">
        <f>C7*C4</f>
        <v>50000</v>
      </c>
    </row>
    <row r="9" spans="2:6" x14ac:dyDescent="0.25">
      <c r="B9" t="s">
        <v>6</v>
      </c>
      <c r="C9" s="3">
        <f>C6-C8</f>
        <v>250000</v>
      </c>
    </row>
    <row r="10" spans="2:6" x14ac:dyDescent="0.25">
      <c r="B10" t="s">
        <v>10</v>
      </c>
      <c r="C10" s="1">
        <v>0.14000000000000001</v>
      </c>
    </row>
    <row r="11" spans="2:6" x14ac:dyDescent="0.25">
      <c r="B11" t="s">
        <v>13</v>
      </c>
      <c r="C11" s="1">
        <v>7.0000000000000007E-2</v>
      </c>
    </row>
    <row r="12" spans="2:6" x14ac:dyDescent="0.25">
      <c r="B12" t="s">
        <v>15</v>
      </c>
      <c r="C12" s="1">
        <v>0.08</v>
      </c>
    </row>
  </sheetData>
  <mergeCells count="1">
    <mergeCell ref="B2: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8051-3DEB-4FBD-B5B5-93814FEB0EC3}">
  <dimension ref="A3:Q19"/>
  <sheetViews>
    <sheetView topLeftCell="A9" zoomScale="65" zoomScaleNormal="54" zoomScalePageLayoutView="85" workbookViewId="0">
      <selection activeCell="M25" sqref="I25:M40"/>
    </sheetView>
  </sheetViews>
  <sheetFormatPr defaultRowHeight="15" x14ac:dyDescent="0.25"/>
  <cols>
    <col min="1" max="1" width="10.85546875" bestFit="1" customWidth="1"/>
    <col min="4" max="4" width="29" bestFit="1" customWidth="1"/>
    <col min="10" max="10" width="10.140625" bestFit="1" customWidth="1"/>
    <col min="13" max="13" width="29" bestFit="1" customWidth="1"/>
    <col min="14" max="16" width="8.85546875" bestFit="1" customWidth="1"/>
    <col min="17" max="17" width="10.140625" bestFit="1" customWidth="1"/>
  </cols>
  <sheetData>
    <row r="3" spans="1:17" x14ac:dyDescent="0.25">
      <c r="A3" s="26" t="s">
        <v>0</v>
      </c>
      <c r="B3" s="26"/>
    </row>
    <row r="4" spans="1:17" x14ac:dyDescent="0.25">
      <c r="A4" s="8" t="s">
        <v>20</v>
      </c>
      <c r="B4" s="9">
        <v>7.0000000000000007E-2</v>
      </c>
      <c r="D4" s="24" t="s">
        <v>29</v>
      </c>
      <c r="E4" s="24"/>
      <c r="F4" s="24"/>
      <c r="G4" s="24"/>
      <c r="H4" s="24"/>
      <c r="I4" s="24"/>
      <c r="J4" s="24"/>
      <c r="M4" s="24" t="s">
        <v>17</v>
      </c>
      <c r="N4" s="24"/>
      <c r="O4" s="24"/>
      <c r="P4" s="24"/>
      <c r="Q4" s="24"/>
    </row>
    <row r="5" spans="1:17" x14ac:dyDescent="0.25">
      <c r="A5" s="8" t="s">
        <v>74</v>
      </c>
      <c r="B5" s="10">
        <v>0.14000000000000001</v>
      </c>
      <c r="D5" t="s">
        <v>16</v>
      </c>
      <c r="E5">
        <v>1</v>
      </c>
      <c r="F5">
        <v>2</v>
      </c>
      <c r="G5">
        <v>3</v>
      </c>
      <c r="H5">
        <v>4</v>
      </c>
      <c r="I5">
        <v>5</v>
      </c>
      <c r="J5" t="s">
        <v>21</v>
      </c>
      <c r="M5" t="s">
        <v>16</v>
      </c>
      <c r="N5">
        <v>1</v>
      </c>
      <c r="O5">
        <v>2</v>
      </c>
      <c r="P5">
        <v>3</v>
      </c>
      <c r="Q5" t="s">
        <v>21</v>
      </c>
    </row>
    <row r="6" spans="1:17" x14ac:dyDescent="0.25">
      <c r="A6" s="8" t="s">
        <v>23</v>
      </c>
      <c r="B6" s="9">
        <v>0.4</v>
      </c>
      <c r="D6" s="8" t="s">
        <v>6</v>
      </c>
      <c r="E6" s="11">
        <v>250</v>
      </c>
      <c r="F6" s="11">
        <v>290</v>
      </c>
      <c r="G6" s="11">
        <v>295</v>
      </c>
      <c r="H6" s="11">
        <v>310</v>
      </c>
      <c r="I6" s="11">
        <v>320</v>
      </c>
      <c r="J6" s="15">
        <f>I6*(1+B4)</f>
        <v>342.40000000000003</v>
      </c>
      <c r="M6" s="8" t="s">
        <v>6</v>
      </c>
      <c r="N6" s="11">
        <v>250</v>
      </c>
      <c r="O6" s="11">
        <v>290</v>
      </c>
      <c r="P6" s="11">
        <v>320</v>
      </c>
      <c r="Q6" s="15">
        <f>P6*(1+B4)</f>
        <v>342.40000000000003</v>
      </c>
    </row>
    <row r="7" spans="1:17" x14ac:dyDescent="0.25">
      <c r="D7" t="s">
        <v>18</v>
      </c>
      <c r="E7" s="3">
        <f>E6/(1+B5)^1</f>
        <v>219.29824561403507</v>
      </c>
      <c r="F7" s="3">
        <f>F6/(1+B5)^2</f>
        <v>223.14558325638652</v>
      </c>
      <c r="G7" s="3">
        <f>G6/(1+B5)^3</f>
        <v>199.11659727959474</v>
      </c>
      <c r="H7" s="3">
        <f>H6/(1+B5)^4</f>
        <v>183.54488598475874</v>
      </c>
      <c r="I7" s="3">
        <f>I6/(1+B5)^5</f>
        <v>166.19797259514087</v>
      </c>
      <c r="J7" s="3">
        <f>J6/(B5-B4)</f>
        <v>4891.4285714285716</v>
      </c>
      <c r="M7" t="s">
        <v>18</v>
      </c>
      <c r="N7" s="3">
        <f>N6/(1+B5)^1</f>
        <v>219.29824561403507</v>
      </c>
      <c r="O7" s="3">
        <f>O6/(1+B5)^2</f>
        <v>223.14558325638652</v>
      </c>
      <c r="P7" s="3">
        <f>P6/(1+B5)^3</f>
        <v>215.99088518464515</v>
      </c>
      <c r="Q7" s="3">
        <f>Q6/(B5-B4)</f>
        <v>4891.4285714285716</v>
      </c>
    </row>
    <row r="8" spans="1:17" x14ac:dyDescent="0.25">
      <c r="D8" t="s">
        <v>19</v>
      </c>
      <c r="E8" s="3"/>
      <c r="F8" s="3"/>
      <c r="G8" s="3"/>
      <c r="H8" s="3"/>
      <c r="I8" s="3"/>
      <c r="J8" s="3">
        <f>J7/(1+B5)^5</f>
        <v>2540.4547239542962</v>
      </c>
      <c r="M8" t="s">
        <v>19</v>
      </c>
      <c r="N8" s="3"/>
      <c r="O8" s="3"/>
      <c r="P8" s="3"/>
      <c r="Q8" s="3">
        <f>Q7/(1+B5)^3</f>
        <v>3301.5749592510047</v>
      </c>
    </row>
    <row r="9" spans="1:17" x14ac:dyDescent="0.25">
      <c r="D9" t="s">
        <v>22</v>
      </c>
      <c r="E9" s="3"/>
      <c r="F9" s="3"/>
      <c r="G9" s="3"/>
      <c r="H9" s="3"/>
      <c r="I9" s="3"/>
      <c r="J9" s="3">
        <f>SUM(E7:I7,J8)</f>
        <v>3531.7580086842122</v>
      </c>
      <c r="M9" t="s">
        <v>22</v>
      </c>
      <c r="N9" s="3"/>
      <c r="O9" s="3"/>
      <c r="P9" s="3"/>
      <c r="Q9" s="3">
        <f>SUM(N7:P7,Q8)</f>
        <v>3960.0096733060714</v>
      </c>
    </row>
    <row r="12" spans="1:17" x14ac:dyDescent="0.25">
      <c r="D12" t="s">
        <v>16</v>
      </c>
      <c r="E12">
        <v>1</v>
      </c>
      <c r="F12">
        <v>2</v>
      </c>
      <c r="G12">
        <v>3</v>
      </c>
      <c r="H12">
        <v>4</v>
      </c>
      <c r="I12">
        <v>5</v>
      </c>
      <c r="J12" t="s">
        <v>21</v>
      </c>
      <c r="M12" t="s">
        <v>16</v>
      </c>
      <c r="N12">
        <v>1</v>
      </c>
      <c r="O12">
        <v>2</v>
      </c>
      <c r="P12">
        <v>3</v>
      </c>
      <c r="Q12" t="s">
        <v>21</v>
      </c>
    </row>
    <row r="13" spans="1:17" x14ac:dyDescent="0.25">
      <c r="D13" s="8" t="s">
        <v>24</v>
      </c>
      <c r="E13" s="12">
        <v>80</v>
      </c>
      <c r="F13" s="12">
        <v>95</v>
      </c>
      <c r="G13" s="12">
        <v>100</v>
      </c>
      <c r="H13" s="12">
        <v>110</v>
      </c>
      <c r="I13" s="12">
        <v>120</v>
      </c>
      <c r="J13" s="14"/>
      <c r="M13" s="8" t="s">
        <v>24</v>
      </c>
      <c r="N13" s="12">
        <v>80</v>
      </c>
      <c r="O13" s="12">
        <v>95</v>
      </c>
      <c r="P13" s="12">
        <v>120</v>
      </c>
      <c r="Q13" s="14"/>
    </row>
    <row r="14" spans="1:17" x14ac:dyDescent="0.25">
      <c r="D14" t="s">
        <v>25</v>
      </c>
      <c r="E14" s="13">
        <f>E13*B6</f>
        <v>32</v>
      </c>
      <c r="F14" s="13">
        <f>F13*B6</f>
        <v>38</v>
      </c>
      <c r="G14" s="13">
        <f>G13*B6</f>
        <v>40</v>
      </c>
      <c r="H14" s="13">
        <f>H13*B6</f>
        <v>44</v>
      </c>
      <c r="I14" s="13">
        <f>I13*B6</f>
        <v>48</v>
      </c>
      <c r="J14" s="13">
        <f>I14*(1+B4)</f>
        <v>51.36</v>
      </c>
      <c r="M14" t="s">
        <v>25</v>
      </c>
      <c r="N14" s="13">
        <f>N13*B6</f>
        <v>32</v>
      </c>
      <c r="O14" s="13">
        <f>O13*B6</f>
        <v>38</v>
      </c>
      <c r="P14" s="13">
        <f>P13*B6</f>
        <v>48</v>
      </c>
      <c r="Q14" s="13">
        <f>P14*(1+B4)</f>
        <v>51.36</v>
      </c>
    </row>
    <row r="15" spans="1:17" x14ac:dyDescent="0.25">
      <c r="D15" t="s">
        <v>26</v>
      </c>
      <c r="E15" s="3">
        <f>E14/(1+B5)</f>
        <v>28.07017543859649</v>
      </c>
      <c r="F15" s="3">
        <f>F14/(1+B5)^2</f>
        <v>29.239766081871338</v>
      </c>
      <c r="G15" s="3">
        <f>G14/(1+B5)^3</f>
        <v>26.998860648080644</v>
      </c>
      <c r="H15" s="3">
        <f>H14/(1+B5)^4</f>
        <v>26.051532204288335</v>
      </c>
      <c r="I15" s="3">
        <f>I14/(1+B5)^5</f>
        <v>24.92969588927113</v>
      </c>
      <c r="J15" s="3">
        <f>J14/(B5-B4)</f>
        <v>733.71428571428567</v>
      </c>
      <c r="M15" t="s">
        <v>26</v>
      </c>
      <c r="N15" s="3">
        <f>N14/(1+B5)</f>
        <v>28.07017543859649</v>
      </c>
      <c r="O15" s="3">
        <f>O14/(1+B5)^2</f>
        <v>29.239766081871338</v>
      </c>
      <c r="P15" s="3">
        <f>P14/(1+B5)^3</f>
        <v>32.398632777696776</v>
      </c>
      <c r="Q15" s="3">
        <f>Q14/(B5-B4)</f>
        <v>733.71428571428567</v>
      </c>
    </row>
    <row r="16" spans="1:17" x14ac:dyDescent="0.25">
      <c r="D16" t="s">
        <v>27</v>
      </c>
      <c r="J16" s="4">
        <f>J15/(1+B5)^5</f>
        <v>381.06820859314445</v>
      </c>
      <c r="M16" t="s">
        <v>27</v>
      </c>
      <c r="Q16" s="4">
        <f>Q15/(1+B5)^3</f>
        <v>495.23624388765063</v>
      </c>
    </row>
    <row r="17" spans="4:17" x14ac:dyDescent="0.25">
      <c r="D17" t="s">
        <v>28</v>
      </c>
      <c r="J17" s="4">
        <f>SUM(E15:I15,J16)</f>
        <v>516.35823885525247</v>
      </c>
      <c r="M17" t="s">
        <v>28</v>
      </c>
      <c r="Q17" s="4">
        <f>SUM(N15:P15,Q16)</f>
        <v>584.94481818581528</v>
      </c>
    </row>
    <row r="19" spans="4:17" x14ac:dyDescent="0.25">
      <c r="D19" t="s">
        <v>30</v>
      </c>
      <c r="J19" s="4">
        <f>J9+J17</f>
        <v>4048.1162475394649</v>
      </c>
      <c r="M19" t="s">
        <v>30</v>
      </c>
      <c r="Q19" s="4">
        <f>Q9+Q17</f>
        <v>4544.954491491887</v>
      </c>
    </row>
  </sheetData>
  <mergeCells count="3">
    <mergeCell ref="A3:B3"/>
    <mergeCell ref="M4:Q4"/>
    <mergeCell ref="D4:J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7759E-7C42-42CF-9348-97C299A3ECA9}">
  <dimension ref="A1:C9"/>
  <sheetViews>
    <sheetView workbookViewId="0">
      <selection activeCell="H21" sqref="H21"/>
    </sheetView>
  </sheetViews>
  <sheetFormatPr defaultRowHeight="15" x14ac:dyDescent="0.25"/>
  <cols>
    <col min="2" max="3" width="13.5703125" bestFit="1" customWidth="1"/>
  </cols>
  <sheetData>
    <row r="1" spans="1:3" x14ac:dyDescent="0.25">
      <c r="B1" t="s">
        <v>63</v>
      </c>
      <c r="C1" t="s">
        <v>64</v>
      </c>
    </row>
    <row r="2" spans="1:3" x14ac:dyDescent="0.25">
      <c r="A2" t="s">
        <v>62</v>
      </c>
      <c r="B2" s="11">
        <v>500000</v>
      </c>
      <c r="C2" s="11">
        <v>500000</v>
      </c>
    </row>
    <row r="3" spans="1:3" x14ac:dyDescent="0.25">
      <c r="A3" t="s">
        <v>68</v>
      </c>
      <c r="B3" s="21">
        <v>0.14000000000000001</v>
      </c>
      <c r="C3" s="20">
        <f>B3+(B3-C5)*(C4/C7)</f>
        <v>0.16333333333333336</v>
      </c>
    </row>
    <row r="4" spans="1:3" x14ac:dyDescent="0.25">
      <c r="A4" t="s">
        <v>65</v>
      </c>
      <c r="B4" s="8">
        <v>0</v>
      </c>
      <c r="C4" s="11">
        <v>1000000</v>
      </c>
    </row>
    <row r="5" spans="1:3" x14ac:dyDescent="0.25">
      <c r="A5" t="s">
        <v>66</v>
      </c>
      <c r="B5" s="8">
        <v>0</v>
      </c>
      <c r="C5" s="9">
        <v>0.08</v>
      </c>
    </row>
    <row r="6" spans="1:3" x14ac:dyDescent="0.25">
      <c r="A6" t="s">
        <v>67</v>
      </c>
      <c r="B6" s="4">
        <f>B2/B3</f>
        <v>3571428.5714285709</v>
      </c>
      <c r="C6" s="4">
        <f>B6</f>
        <v>3571428.5714285709</v>
      </c>
    </row>
    <row r="7" spans="1:3" x14ac:dyDescent="0.25">
      <c r="A7" t="s">
        <v>69</v>
      </c>
      <c r="B7" s="4">
        <f>B6-B4</f>
        <v>3571428.5714285709</v>
      </c>
      <c r="C7" s="4">
        <f>C6-C4</f>
        <v>2571428.5714285709</v>
      </c>
    </row>
    <row r="8" spans="1:3" x14ac:dyDescent="0.25">
      <c r="A8" t="s">
        <v>70</v>
      </c>
      <c r="B8" s="1">
        <f>B3*(B7/B6)+B5*(B4/B6)</f>
        <v>0.14000000000000001</v>
      </c>
      <c r="C8" s="1">
        <f>C3*(C7/C6)+C5*(C4/C6)</f>
        <v>0.14000000000000001</v>
      </c>
    </row>
    <row r="9" spans="1:3" x14ac:dyDescent="0.25">
      <c r="A9" t="s">
        <v>81</v>
      </c>
      <c r="C9">
        <f>B9+B9*(C4/C7)</f>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2D25-72CC-4057-B794-BDB37BF8B347}">
  <dimension ref="A2:N11"/>
  <sheetViews>
    <sheetView workbookViewId="0">
      <selection activeCell="I4" sqref="I4:N8"/>
    </sheetView>
  </sheetViews>
  <sheetFormatPr defaultRowHeight="15" x14ac:dyDescent="0.25"/>
  <cols>
    <col min="1" max="1" width="11.140625" bestFit="1" customWidth="1"/>
    <col min="2" max="2" width="13.5703125" bestFit="1" customWidth="1"/>
    <col min="3" max="3" width="20" bestFit="1" customWidth="1"/>
  </cols>
  <sheetData>
    <row r="2" spans="1:14" x14ac:dyDescent="0.25">
      <c r="B2" t="s">
        <v>71</v>
      </c>
      <c r="C2" t="s">
        <v>72</v>
      </c>
    </row>
    <row r="3" spans="1:14" x14ac:dyDescent="0.25">
      <c r="A3" t="s">
        <v>2</v>
      </c>
      <c r="B3" s="3">
        <v>500000</v>
      </c>
      <c r="C3" s="3">
        <v>500000</v>
      </c>
    </row>
    <row r="4" spans="1:14" x14ac:dyDescent="0.25">
      <c r="A4" t="s">
        <v>73</v>
      </c>
      <c r="B4" s="13">
        <v>0</v>
      </c>
      <c r="C4" s="3">
        <v>1000000</v>
      </c>
    </row>
    <row r="5" spans="1:14" x14ac:dyDescent="0.25">
      <c r="A5" t="s">
        <v>78</v>
      </c>
      <c r="B5" s="1">
        <v>0</v>
      </c>
      <c r="C5" s="1">
        <v>0.08</v>
      </c>
    </row>
    <row r="6" spans="1:14" x14ac:dyDescent="0.25">
      <c r="A6" t="s">
        <v>79</v>
      </c>
      <c r="B6" s="1">
        <v>0.14000000000000001</v>
      </c>
      <c r="C6" s="20">
        <f>B6+(B6-C5)*(1-C7)*(C4/C9)</f>
        <v>0.16333333333333336</v>
      </c>
    </row>
    <row r="7" spans="1:14" x14ac:dyDescent="0.25">
      <c r="A7" t="s">
        <v>75</v>
      </c>
      <c r="B7" s="1">
        <v>0.4</v>
      </c>
      <c r="C7" s="1">
        <v>0.4</v>
      </c>
    </row>
    <row r="8" spans="1:14" x14ac:dyDescent="0.25">
      <c r="A8" t="s">
        <v>76</v>
      </c>
      <c r="B8" s="4">
        <f>B3*(1-B7)/B6</f>
        <v>2142857.1428571427</v>
      </c>
      <c r="C8" s="4">
        <f>B8+C7*C4</f>
        <v>2542857.1428571427</v>
      </c>
      <c r="N8" s="2"/>
    </row>
    <row r="9" spans="1:14" x14ac:dyDescent="0.25">
      <c r="A9" t="s">
        <v>77</v>
      </c>
      <c r="B9" s="4">
        <f>B8-B4</f>
        <v>2142857.1428571427</v>
      </c>
      <c r="C9" s="4">
        <f>C8-C4</f>
        <v>1542857.1428571427</v>
      </c>
    </row>
    <row r="10" spans="1:14" x14ac:dyDescent="0.25">
      <c r="A10" t="s">
        <v>80</v>
      </c>
      <c r="B10" s="1">
        <f>(B4/B8)*B5*(1-B7)+(B9/B8)*B6</f>
        <v>0.14000000000000001</v>
      </c>
      <c r="C10" s="17">
        <f>(C4/C8)*C5*(1-C7)+(C9/C8)*C6</f>
        <v>0.11797752808988764</v>
      </c>
    </row>
    <row r="11" spans="1:14" x14ac:dyDescent="0.25">
      <c r="A11" t="s">
        <v>82</v>
      </c>
      <c r="C11">
        <f>B11*(1+(1-C7)*(C4/C9))</f>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E5B2-CF4F-42AE-A740-9BCA410CC812}">
  <dimension ref="A2:B7"/>
  <sheetViews>
    <sheetView workbookViewId="0">
      <selection activeCell="B7" sqref="B7"/>
    </sheetView>
  </sheetViews>
  <sheetFormatPr defaultRowHeight="15" x14ac:dyDescent="0.25"/>
  <cols>
    <col min="1" max="1" width="26.5703125" bestFit="1" customWidth="1"/>
    <col min="2" max="2" width="14.5703125" bestFit="1" customWidth="1"/>
  </cols>
  <sheetData>
    <row r="2" spans="1:2" x14ac:dyDescent="0.25">
      <c r="A2" t="s">
        <v>83</v>
      </c>
      <c r="B2" s="3">
        <v>2000000</v>
      </c>
    </row>
    <row r="3" spans="1:2" x14ac:dyDescent="0.25">
      <c r="A3" t="s">
        <v>84</v>
      </c>
      <c r="B3">
        <v>20</v>
      </c>
    </row>
    <row r="4" spans="1:2" x14ac:dyDescent="0.25">
      <c r="A4" t="s">
        <v>85</v>
      </c>
      <c r="B4">
        <v>6</v>
      </c>
    </row>
    <row r="5" spans="1:2" x14ac:dyDescent="0.25">
      <c r="A5" t="s">
        <v>86</v>
      </c>
      <c r="B5">
        <v>0.4</v>
      </c>
    </row>
    <row r="6" spans="1:2" x14ac:dyDescent="0.25">
      <c r="A6" t="s">
        <v>40</v>
      </c>
      <c r="B6" s="4">
        <f>B2*B3</f>
        <v>40000000</v>
      </c>
    </row>
    <row r="7" spans="1:2" x14ac:dyDescent="0.25">
      <c r="A7" t="s">
        <v>87</v>
      </c>
      <c r="B7" s="3">
        <f>B6/(1+B5)^B4</f>
        <v>5312412.3451963067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D711-4BE2-489E-ADF0-3FBEE62D68AD}">
  <dimension ref="A1:B14"/>
  <sheetViews>
    <sheetView workbookViewId="0">
      <selection activeCell="B13" sqref="B13"/>
    </sheetView>
  </sheetViews>
  <sheetFormatPr defaultRowHeight="15" x14ac:dyDescent="0.25"/>
  <cols>
    <col min="1" max="1" width="23.5703125" bestFit="1" customWidth="1"/>
    <col min="2" max="2" width="14.5703125" bestFit="1" customWidth="1"/>
  </cols>
  <sheetData>
    <row r="1" spans="1:2" x14ac:dyDescent="0.25">
      <c r="A1" t="s">
        <v>88</v>
      </c>
      <c r="B1" s="8">
        <v>2000000</v>
      </c>
    </row>
    <row r="2" spans="1:2" x14ac:dyDescent="0.25">
      <c r="A2" t="s">
        <v>95</v>
      </c>
      <c r="B2" s="11">
        <v>1000000</v>
      </c>
    </row>
    <row r="3" spans="1:2" x14ac:dyDescent="0.25">
      <c r="A3" t="s">
        <v>91</v>
      </c>
      <c r="B3" s="8">
        <v>5</v>
      </c>
    </row>
    <row r="4" spans="1:2" x14ac:dyDescent="0.25">
      <c r="A4" t="s">
        <v>89</v>
      </c>
      <c r="B4" s="9">
        <v>0.5</v>
      </c>
    </row>
    <row r="5" spans="1:2" x14ac:dyDescent="0.25">
      <c r="A5" t="s">
        <v>90</v>
      </c>
      <c r="B5" s="11">
        <v>1000000</v>
      </c>
    </row>
    <row r="6" spans="1:2" x14ac:dyDescent="0.25">
      <c r="A6" t="s">
        <v>92</v>
      </c>
      <c r="B6" s="11">
        <v>20000000</v>
      </c>
    </row>
    <row r="7" spans="1:2" x14ac:dyDescent="0.25">
      <c r="A7" t="s">
        <v>93</v>
      </c>
      <c r="B7" s="11">
        <v>2000000</v>
      </c>
    </row>
    <row r="8" spans="1:2" x14ac:dyDescent="0.25">
      <c r="A8" t="s">
        <v>94</v>
      </c>
      <c r="B8">
        <f>B6/B7</f>
        <v>10</v>
      </c>
    </row>
    <row r="10" spans="1:2" x14ac:dyDescent="0.25">
      <c r="A10" t="s">
        <v>96</v>
      </c>
      <c r="B10" s="4">
        <f>(B8*B5)/(1+B4)^B3</f>
        <v>1316872.4279835392</v>
      </c>
    </row>
    <row r="11" spans="1:2" x14ac:dyDescent="0.25">
      <c r="A11" t="s">
        <v>97</v>
      </c>
      <c r="B11" s="17">
        <f>B2/B10</f>
        <v>0.75937499999999991</v>
      </c>
    </row>
    <row r="12" spans="1:2" x14ac:dyDescent="0.25">
      <c r="A12" t="s">
        <v>98</v>
      </c>
      <c r="B12" s="4">
        <f>B10-B2</f>
        <v>316872.42798353918</v>
      </c>
    </row>
    <row r="13" spans="1:2" x14ac:dyDescent="0.25">
      <c r="A13" t="s">
        <v>99</v>
      </c>
      <c r="B13" s="22">
        <f>B12/B1</f>
        <v>0.1584362139917696</v>
      </c>
    </row>
    <row r="14" spans="1:2" x14ac:dyDescent="0.25">
      <c r="A14" t="s">
        <v>100</v>
      </c>
      <c r="B14" s="23">
        <f>B2/B13</f>
        <v>6311688.3116883095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Equity Valuation Model</vt:lpstr>
      <vt:lpstr>APV Zero G</vt:lpstr>
      <vt:lpstr>APV Constant G</vt:lpstr>
      <vt:lpstr>APV Multistage</vt:lpstr>
      <vt:lpstr>MM Zero Taxes</vt:lpstr>
      <vt:lpstr>MM Corporate Taxes </vt:lpstr>
      <vt:lpstr>Venture Capital</vt:lpstr>
      <vt:lpstr>VC Post and Pre Money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17187</dc:creator>
  <cp:lastModifiedBy>17187</cp:lastModifiedBy>
  <cp:lastPrinted>2021-05-11T20:29:17Z</cp:lastPrinted>
  <dcterms:created xsi:type="dcterms:W3CDTF">2021-05-10T23:25:04Z</dcterms:created>
  <dcterms:modified xsi:type="dcterms:W3CDTF">2021-10-13T06:11:31Z</dcterms:modified>
</cp:coreProperties>
</file>