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Year-to-date monthly Report\"/>
    </mc:Choice>
  </mc:AlternateContent>
  <xr:revisionPtr revIDLastSave="0" documentId="13_ncr:1_{C9CDEFFF-5195-4E40-B882-7C74B8835A9B}" xr6:coauthVersionLast="47" xr6:coauthVersionMax="47" xr10:uidLastSave="{00000000-0000-0000-0000-000000000000}"/>
  <bookViews>
    <workbookView xWindow="-120" yWindow="-120" windowWidth="15600" windowHeight="11160" tabRatio="602" firstSheet="1" activeTab="3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81029"/>
  <pivotCaches>
    <pivotCache cacheId="25" r:id="rId17"/>
    <pivotCache cacheId="26" r:id="rId18"/>
    <pivotCache cacheId="27" r:id="rId19"/>
    <pivotCache cacheId="28" r:id="rId20"/>
    <pivotCache cacheId="29" r:id="rId21"/>
    <pivotCache cacheId="30" r:id="rId22"/>
    <pivotCache cacheId="31" r:id="rId23"/>
    <pivotCache cacheId="32" r:id="rId24"/>
    <pivotCache cacheId="33" r:id="rId25"/>
    <pivotCache cacheId="34" r:id="rId26"/>
    <pivotCache cacheId="35" r:id="rId27"/>
    <pivotCache cacheId="36" r:id="rId28"/>
    <pivotCache cacheId="37" r:id="rId29"/>
    <pivotCache cacheId="38" r:id="rId30"/>
    <pivotCache cacheId="39" r:id="rId31"/>
    <pivotCache cacheId="40" r:id="rId32"/>
    <pivotCache cacheId="41" r:id="rId33"/>
    <pivotCache cacheId="42" r:id="rId34"/>
    <pivotCache cacheId="43" r:id="rId35"/>
    <pivotCache cacheId="44" r:id="rId36"/>
    <pivotCache cacheId="45" r:id="rId37"/>
    <pivotCache cacheId="46" r:id="rId38"/>
    <pivotCache cacheId="47" r:id="rId39"/>
    <pivotCache cacheId="48" r:id="rId40"/>
    <pivotCache cacheId="49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4" i="1" l="1"/>
  <c r="W3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" i="1"/>
  <c r="M4" i="1"/>
  <c r="M3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" i="1"/>
  <c r="AP14" i="1"/>
  <c r="AP15" i="1"/>
  <c r="AP16" i="1"/>
  <c r="AP17" i="1"/>
  <c r="BH17" i="1" s="1"/>
  <c r="AP18" i="1"/>
  <c r="AP19" i="1"/>
  <c r="AP20" i="1"/>
  <c r="AP21" i="1"/>
  <c r="BH21" i="1" s="1"/>
  <c r="AP22" i="1"/>
  <c r="AP23" i="1"/>
  <c r="AP24" i="1"/>
  <c r="AP25" i="1"/>
  <c r="BH25" i="1" s="1"/>
  <c r="AP26" i="1"/>
  <c r="AP27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4" i="1"/>
  <c r="AF15" i="1"/>
  <c r="BK15" i="1" s="1"/>
  <c r="AF16" i="1"/>
  <c r="BK16" i="1" s="1"/>
  <c r="AF17" i="1"/>
  <c r="BK17" i="1" s="1"/>
  <c r="AF18" i="1"/>
  <c r="AF19" i="1"/>
  <c r="AF20" i="1"/>
  <c r="BK20" i="1" s="1"/>
  <c r="AF21" i="1"/>
  <c r="BK21" i="1" s="1"/>
  <c r="AF22" i="1"/>
  <c r="AF23" i="1"/>
  <c r="AF24" i="1"/>
  <c r="BK24" i="1" s="1"/>
  <c r="AF25" i="1"/>
  <c r="BK25" i="1" s="1"/>
  <c r="AF26" i="1"/>
  <c r="AF27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Z14" i="1"/>
  <c r="Z15" i="1"/>
  <c r="Z16" i="1"/>
  <c r="BO16" i="1" s="1"/>
  <c r="Z17" i="1"/>
  <c r="BO17" i="1" s="1"/>
  <c r="Z18" i="1"/>
  <c r="Z19" i="1"/>
  <c r="Z20" i="1"/>
  <c r="BO20" i="1" s="1"/>
  <c r="Z21" i="1"/>
  <c r="BO21" i="1" s="1"/>
  <c r="Z22" i="1"/>
  <c r="Z23" i="1"/>
  <c r="Z24" i="1"/>
  <c r="BO24" i="1" s="1"/>
  <c r="Z25" i="1"/>
  <c r="BO25" i="1" s="1"/>
  <c r="Z26" i="1"/>
  <c r="Z27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V14" i="1"/>
  <c r="V15" i="1"/>
  <c r="V16" i="1"/>
  <c r="V17" i="1"/>
  <c r="BJ17" i="1" s="1"/>
  <c r="V18" i="1"/>
  <c r="V19" i="1"/>
  <c r="V20" i="1"/>
  <c r="V21" i="1"/>
  <c r="BJ21" i="1" s="1"/>
  <c r="V22" i="1"/>
  <c r="V23" i="1"/>
  <c r="V24" i="1"/>
  <c r="V25" i="1"/>
  <c r="BJ25" i="1" s="1"/>
  <c r="V26" i="1"/>
  <c r="V27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P14" i="1"/>
  <c r="P15" i="1"/>
  <c r="P16" i="1"/>
  <c r="BL16" i="1" s="1"/>
  <c r="P17" i="1"/>
  <c r="BL17" i="1" s="1"/>
  <c r="P18" i="1"/>
  <c r="P19" i="1"/>
  <c r="P20" i="1"/>
  <c r="BL20" i="1" s="1"/>
  <c r="P21" i="1"/>
  <c r="BL21" i="1" s="1"/>
  <c r="P22" i="1"/>
  <c r="P23" i="1"/>
  <c r="P24" i="1"/>
  <c r="BL24" i="1" s="1"/>
  <c r="P25" i="1"/>
  <c r="BL25" i="1" s="1"/>
  <c r="P26" i="1"/>
  <c r="P27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I16" i="1"/>
  <c r="I17" i="1"/>
  <c r="I18" i="1"/>
  <c r="I19" i="1"/>
  <c r="I20" i="1"/>
  <c r="I21" i="1"/>
  <c r="I22" i="1"/>
  <c r="I23" i="1"/>
  <c r="I24" i="1"/>
  <c r="I25" i="1"/>
  <c r="I26" i="1"/>
  <c r="I27" i="1"/>
  <c r="I15" i="1"/>
  <c r="I14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F14" i="1"/>
  <c r="F15" i="1"/>
  <c r="F16" i="1"/>
  <c r="BN16" i="1" s="1"/>
  <c r="F17" i="1"/>
  <c r="BN17" i="1" s="1"/>
  <c r="F18" i="1"/>
  <c r="F19" i="1"/>
  <c r="F20" i="1"/>
  <c r="BN20" i="1" s="1"/>
  <c r="F21" i="1"/>
  <c r="BN21" i="1" s="1"/>
  <c r="F22" i="1"/>
  <c r="F23" i="1"/>
  <c r="F24" i="1"/>
  <c r="BN24" i="1" s="1"/>
  <c r="F25" i="1"/>
  <c r="BN25" i="1" s="1"/>
  <c r="F26" i="1"/>
  <c r="F27" i="1"/>
  <c r="F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L14" i="1"/>
  <c r="BL15" i="1"/>
  <c r="BL18" i="1"/>
  <c r="BL19" i="1"/>
  <c r="BL22" i="1"/>
  <c r="BL23" i="1"/>
  <c r="BL26" i="1"/>
  <c r="BL27" i="1"/>
  <c r="BK14" i="1"/>
  <c r="BK18" i="1"/>
  <c r="BK19" i="1"/>
  <c r="BK22" i="1"/>
  <c r="BK23" i="1"/>
  <c r="BK26" i="1"/>
  <c r="BK27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CB9" i="1"/>
  <c r="CB10" i="1"/>
  <c r="CB11" i="1"/>
  <c r="CB12" i="1"/>
  <c r="BW4" i="1"/>
  <c r="BW3" i="1"/>
  <c r="BG15" i="1"/>
  <c r="BH15" i="1"/>
  <c r="BI15" i="1"/>
  <c r="BJ15" i="1"/>
  <c r="BN15" i="1"/>
  <c r="BO15" i="1"/>
  <c r="BP15" i="1"/>
  <c r="AN13" i="1"/>
  <c r="A3" i="76"/>
  <c r="A4" i="76"/>
  <c r="A5" i="76"/>
  <c r="A6" i="76"/>
  <c r="A7" i="76"/>
  <c r="A8" i="76"/>
  <c r="A9" i="76"/>
  <c r="A10" i="76"/>
  <c r="A11" i="76"/>
  <c r="A12" i="76"/>
  <c r="A13" i="76"/>
  <c r="A14" i="76"/>
  <c r="A15" i="76"/>
  <c r="A16" i="76"/>
  <c r="A17" i="76"/>
  <c r="A18" i="76"/>
  <c r="A2" i="76"/>
  <c r="AY13" i="1"/>
  <c r="AW13" i="1"/>
  <c r="AQ13" i="1"/>
  <c r="AR13" i="1"/>
  <c r="AS13" i="1"/>
  <c r="AT13" i="1"/>
  <c r="AP13" i="1"/>
  <c r="AG13" i="1"/>
  <c r="AH13" i="1"/>
  <c r="AI13" i="1"/>
  <c r="AJ13" i="1"/>
  <c r="AF13" i="1"/>
  <c r="AE13" i="1"/>
  <c r="AC13" i="1"/>
  <c r="Y13" i="1"/>
  <c r="Z13" i="1"/>
  <c r="V13" i="1"/>
  <c r="U13" i="1"/>
  <c r="S13" i="1"/>
  <c r="O13" i="1"/>
  <c r="P13" i="1"/>
  <c r="L13" i="1"/>
  <c r="K13" i="1"/>
  <c r="I13" i="1"/>
  <c r="E13" i="1"/>
  <c r="G13" i="1"/>
  <c r="H13" i="1"/>
  <c r="AX13" i="1"/>
  <c r="BI13" i="1"/>
  <c r="BT8" i="1"/>
  <c r="BS7" i="1"/>
  <c r="BS3" i="1"/>
  <c r="BS4" i="1"/>
  <c r="BS5" i="1"/>
  <c r="BS6" i="1"/>
  <c r="BY7" i="1"/>
  <c r="BY6" i="1"/>
  <c r="BY5" i="1"/>
  <c r="BY4" i="1"/>
  <c r="BZ3" i="1"/>
  <c r="BW7" i="1"/>
  <c r="BW5" i="1"/>
  <c r="BW6" i="1"/>
  <c r="I9" i="1"/>
  <c r="BU9" i="1" s="1"/>
  <c r="I10" i="1"/>
  <c r="BU10" i="1" s="1"/>
  <c r="K11" i="1"/>
  <c r="K10" i="1"/>
  <c r="K9" i="1"/>
  <c r="I12" i="1"/>
  <c r="BU12" i="1" s="1"/>
  <c r="I11" i="1"/>
  <c r="BS11" i="1" s="1"/>
  <c r="AC12" i="1"/>
  <c r="BY12" i="1" s="1"/>
  <c r="AC11" i="1"/>
  <c r="BY11" i="1" s="1"/>
  <c r="AC9" i="1"/>
  <c r="BY9" i="1" s="1"/>
  <c r="AE12" i="1"/>
  <c r="AE11" i="1"/>
  <c r="AE8" i="1"/>
  <c r="AY12" i="1"/>
  <c r="AY11" i="1"/>
  <c r="AY10" i="1"/>
  <c r="AY9" i="1"/>
  <c r="AY8" i="1"/>
  <c r="AN8" i="1"/>
  <c r="AE10" i="1"/>
  <c r="AE9" i="1"/>
  <c r="U12" i="1"/>
  <c r="U11" i="1"/>
  <c r="U9" i="1"/>
  <c r="U10" i="1"/>
  <c r="U8" i="1"/>
  <c r="K8" i="1"/>
  <c r="K12" i="1"/>
  <c r="I8" i="1"/>
  <c r="BU8" i="1" s="1"/>
  <c r="BP14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O14" i="1"/>
  <c r="BO18" i="1"/>
  <c r="BO19" i="1"/>
  <c r="BO22" i="1"/>
  <c r="BO23" i="1"/>
  <c r="BO26" i="1"/>
  <c r="BO27" i="1"/>
  <c r="BN14" i="1"/>
  <c r="BN18" i="1"/>
  <c r="BN19" i="1"/>
  <c r="BN22" i="1"/>
  <c r="BN23" i="1"/>
  <c r="BN26" i="1"/>
  <c r="BN27" i="1"/>
  <c r="BJ14" i="1"/>
  <c r="BJ16" i="1"/>
  <c r="BJ18" i="1"/>
  <c r="BJ19" i="1"/>
  <c r="BJ20" i="1"/>
  <c r="BJ22" i="1"/>
  <c r="BJ23" i="1"/>
  <c r="BJ24" i="1"/>
  <c r="BJ26" i="1"/>
  <c r="BJ27" i="1"/>
  <c r="BI14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G14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H14" i="1"/>
  <c r="BH16" i="1"/>
  <c r="BH18" i="1"/>
  <c r="BH19" i="1"/>
  <c r="BH20" i="1"/>
  <c r="BH22" i="1"/>
  <c r="BH23" i="1"/>
  <c r="BH24" i="1"/>
  <c r="BH26" i="1"/>
  <c r="BH27" i="1"/>
  <c r="CB13" i="1" l="1"/>
  <c r="CA13" i="1"/>
  <c r="BY13" i="1"/>
  <c r="BW13" i="1"/>
  <c r="BS13" i="1"/>
  <c r="BS8" i="1"/>
  <c r="BS10" i="1"/>
  <c r="BS9" i="1"/>
  <c r="BU11" i="1"/>
  <c r="BS12" i="1"/>
  <c r="BK13" i="1"/>
  <c r="BM13" i="1"/>
  <c r="BG13" i="1"/>
  <c r="BH13" i="1"/>
  <c r="BL13" i="1"/>
  <c r="BN13" i="1"/>
  <c r="BP13" i="1"/>
  <c r="BO13" i="1"/>
  <c r="BJ13" i="1"/>
  <c r="Z3" i="1"/>
  <c r="BY3" i="1" s="1"/>
  <c r="BX3" i="1"/>
  <c r="BV2" i="1"/>
  <c r="P2" i="1"/>
  <c r="BW2" i="1" s="1"/>
  <c r="BR2" i="1"/>
  <c r="AJ7" i="1"/>
  <c r="CB7" i="1" s="1"/>
  <c r="AL8" i="1"/>
  <c r="CB8" i="1" s="1"/>
  <c r="AW12" i="1"/>
  <c r="CA12" i="1" s="1"/>
  <c r="AW11" i="1"/>
  <c r="CA11" i="1" s="1"/>
  <c r="AW9" i="1"/>
  <c r="CA9" i="1" s="1"/>
  <c r="AW10" i="1"/>
  <c r="CA10" i="1" s="1"/>
  <c r="AW8" i="1"/>
  <c r="CA8" i="1" s="1"/>
  <c r="AC10" i="1"/>
  <c r="BY10" i="1" s="1"/>
  <c r="AC8" i="1"/>
  <c r="BY8" i="1" s="1"/>
  <c r="S10" i="1"/>
  <c r="BW10" i="1" s="1"/>
  <c r="S11" i="1"/>
  <c r="BW11" i="1" s="1"/>
  <c r="S12" i="1"/>
  <c r="BW12" i="1" s="1"/>
  <c r="S9" i="1"/>
  <c r="BW9" i="1" s="1"/>
  <c r="S8" i="1"/>
  <c r="BW8" i="1" s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BT9" i="1"/>
  <c r="BT10" i="1"/>
  <c r="BT11" i="1"/>
  <c r="BT12" i="1"/>
  <c r="BY2" i="1"/>
  <c r="BH10" i="1"/>
  <c r="BH2" i="1"/>
  <c r="BH3" i="1"/>
  <c r="BH4" i="1"/>
  <c r="BH5" i="1"/>
  <c r="BH6" i="1"/>
  <c r="BH7" i="1"/>
  <c r="BH8" i="1"/>
  <c r="BH9" i="1"/>
  <c r="BH11" i="1"/>
  <c r="BH12" i="1"/>
  <c r="I70" i="70"/>
  <c r="I69" i="70"/>
  <c r="K69" i="70" s="1"/>
  <c r="I68" i="70"/>
  <c r="K68" i="70" s="1"/>
  <c r="I67" i="70"/>
  <c r="I66" i="70"/>
  <c r="K66" i="70" s="1"/>
  <c r="I65" i="70"/>
  <c r="K64" i="70"/>
  <c r="I64" i="70"/>
  <c r="I63" i="70"/>
  <c r="K62" i="70"/>
  <c r="L62" i="70" s="1"/>
  <c r="I62" i="70"/>
  <c r="I61" i="70"/>
  <c r="K61" i="70" s="1"/>
  <c r="I60" i="70"/>
  <c r="I59" i="70"/>
  <c r="I58" i="70"/>
  <c r="K58" i="70" s="1"/>
  <c r="L58" i="70" s="1"/>
  <c r="K57" i="70"/>
  <c r="L57" i="70" s="1"/>
  <c r="I57" i="70"/>
  <c r="I56" i="70"/>
  <c r="I55" i="70"/>
  <c r="I54" i="70"/>
  <c r="I53" i="70"/>
  <c r="K53" i="70" s="1"/>
  <c r="L53" i="70" s="1"/>
  <c r="I52" i="70"/>
  <c r="I51" i="70"/>
  <c r="I50" i="70"/>
  <c r="I49" i="70"/>
  <c r="K48" i="70"/>
  <c r="I48" i="70"/>
  <c r="I47" i="70"/>
  <c r="K46" i="70"/>
  <c r="L46" i="70" s="1"/>
  <c r="I46" i="70"/>
  <c r="I45" i="70"/>
  <c r="K44" i="70"/>
  <c r="I44" i="70"/>
  <c r="I43" i="70"/>
  <c r="I42" i="70"/>
  <c r="K42" i="70" s="1"/>
  <c r="L42" i="70" s="1"/>
  <c r="K41" i="70"/>
  <c r="L41" i="70" s="1"/>
  <c r="I41" i="70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K32" i="70"/>
  <c r="I32" i="70"/>
  <c r="I31" i="70"/>
  <c r="M30" i="70"/>
  <c r="I30" i="70"/>
  <c r="I29" i="70"/>
  <c r="I28" i="70"/>
  <c r="K28" i="70" s="1"/>
  <c r="L28" i="70" s="1"/>
  <c r="I27" i="70"/>
  <c r="I26" i="70"/>
  <c r="I25" i="70"/>
  <c r="I24" i="70"/>
  <c r="K23" i="70"/>
  <c r="I23" i="70"/>
  <c r="I22" i="70"/>
  <c r="K21" i="70"/>
  <c r="L21" i="70" s="1"/>
  <c r="I21" i="70"/>
  <c r="K20" i="70"/>
  <c r="L20" i="70" s="1"/>
  <c r="M20" i="70" s="1"/>
  <c r="I20" i="70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L65" i="70" l="1"/>
  <c r="L45" i="70"/>
  <c r="L11" i="70"/>
  <c r="L49" i="70"/>
  <c r="K25" i="70"/>
  <c r="L25" i="70" s="1"/>
  <c r="K45" i="70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K54" i="70"/>
  <c r="L54" i="70" s="1"/>
  <c r="K56" i="70"/>
  <c r="L56" i="70" s="1"/>
  <c r="L60" i="70"/>
  <c r="L61" i="70"/>
  <c r="K65" i="70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BS2" i="1" s="1"/>
  <c r="BF11" i="1" l="1"/>
  <c r="BF12" i="1"/>
  <c r="BG11" i="1"/>
  <c r="BG12" i="1"/>
  <c r="BI11" i="1"/>
  <c r="BI12" i="1"/>
  <c r="BJ11" i="1"/>
  <c r="BJ12" i="1"/>
  <c r="BK11" i="1"/>
  <c r="BK12" i="1"/>
  <c r="BL11" i="1"/>
  <c r="BL12" i="1"/>
  <c r="BM11" i="1"/>
  <c r="BM12" i="1"/>
  <c r="BN11" i="1"/>
  <c r="BN12" i="1"/>
  <c r="BO11" i="1"/>
  <c r="BO12" i="1"/>
  <c r="BP11" i="1"/>
  <c r="BP12" i="1"/>
  <c r="BG10" i="1"/>
  <c r="BF10" i="1"/>
  <c r="BI10" i="1"/>
  <c r="BJ10" i="1"/>
  <c r="BK10" i="1"/>
  <c r="BL10" i="1"/>
  <c r="BM10" i="1"/>
  <c r="BN10" i="1"/>
  <c r="BO10" i="1"/>
  <c r="BP10" i="1"/>
  <c r="BG5" i="1"/>
  <c r="BG4" i="1"/>
  <c r="BF5" i="1" l="1"/>
  <c r="BF6" i="1"/>
  <c r="BF7" i="1"/>
  <c r="BF8" i="1"/>
  <c r="BF9" i="1"/>
  <c r="BG6" i="1"/>
  <c r="BG7" i="1"/>
  <c r="BG8" i="1"/>
  <c r="BG9" i="1"/>
  <c r="BI5" i="1"/>
  <c r="BI6" i="1"/>
  <c r="BI7" i="1"/>
  <c r="BI8" i="1"/>
  <c r="BI9" i="1"/>
  <c r="BJ5" i="1"/>
  <c r="BJ6" i="1"/>
  <c r="BJ7" i="1"/>
  <c r="BJ8" i="1"/>
  <c r="BJ9" i="1"/>
  <c r="BK5" i="1"/>
  <c r="BK6" i="1"/>
  <c r="BK7" i="1"/>
  <c r="BK8" i="1"/>
  <c r="BK9" i="1"/>
  <c r="BL5" i="1"/>
  <c r="BL6" i="1"/>
  <c r="BL7" i="1"/>
  <c r="BL8" i="1"/>
  <c r="BL9" i="1"/>
  <c r="BM5" i="1"/>
  <c r="BM6" i="1"/>
  <c r="BM7" i="1"/>
  <c r="BM8" i="1"/>
  <c r="BM9" i="1"/>
  <c r="BN5" i="1"/>
  <c r="BN6" i="1"/>
  <c r="BN7" i="1"/>
  <c r="BN8" i="1"/>
  <c r="BN9" i="1"/>
  <c r="BO5" i="1"/>
  <c r="BO6" i="1"/>
  <c r="BO7" i="1"/>
  <c r="BO8" i="1"/>
  <c r="BO9" i="1"/>
  <c r="BP5" i="1"/>
  <c r="BP6" i="1"/>
  <c r="BP7" i="1"/>
  <c r="BP8" i="1"/>
  <c r="BP9" i="1"/>
  <c r="BP2" i="1"/>
  <c r="BP3" i="1"/>
  <c r="BP4" i="1"/>
  <c r="BO2" i="1"/>
  <c r="BO3" i="1"/>
  <c r="BO4" i="1"/>
  <c r="BN2" i="1"/>
  <c r="BN3" i="1"/>
  <c r="BN4" i="1"/>
  <c r="BM2" i="1"/>
  <c r="BM3" i="1"/>
  <c r="BM4" i="1"/>
  <c r="BL2" i="1"/>
  <c r="BL3" i="1"/>
  <c r="BL4" i="1"/>
  <c r="BK2" i="1"/>
  <c r="BK3" i="1"/>
  <c r="BK4" i="1"/>
  <c r="BJ2" i="1"/>
  <c r="BJ3" i="1"/>
  <c r="BJ4" i="1"/>
  <c r="BI2" i="1"/>
  <c r="BI3" i="1"/>
  <c r="BI4" i="1"/>
  <c r="BG2" i="1"/>
  <c r="BG3" i="1"/>
  <c r="BF2" i="1"/>
  <c r="BF3" i="1"/>
  <c r="BF4" i="1"/>
  <c r="AK2" i="76" l="1"/>
  <c r="AO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420575-A33E-4256-B6BA-B55B6B974356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66BF14F4-EB08-400E-BDBB-5F77748471A5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CC1B92B3-B9E9-40A2-8E7C-88A913F927EB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3E4145E6-D9A9-42DC-8D19-DA248F21C8B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F40D538B-14DD-4F23-9BDC-8E4C0E2656F2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<sst xmlns="http://schemas.openxmlformats.org/spreadsheetml/2006/main" count="570" uniqueCount="190">
  <si>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</si>
  <si>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</si>
  <si>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</si>
  <si>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</si>
  <si>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</si>
  <si>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</si>
  <si>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</si>
  <si>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</si>
  <si>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</si>
  <si>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</si>
  <si>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</si>
  <si>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</si>
  <si>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</si>
  <si>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</si>
  <si>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</si>
  <si>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</si>
  <si>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</si>
  <si>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</si>
  <si>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</si>
  <si>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</si>
  <si>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</si>
  <si>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</si>
  <si>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</si>
  <si>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</si>
  <si>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</si>
  <si>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</si>
  <si>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</si>
  <si>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</si>
  <si>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</si>
  <si>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</si>
  <si>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</si>
  <si>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</si>
  <si>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</si>
  <si>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</si>
  <si>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</si>
  <si>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</si>
  <si>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</si>
  <si>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</si>
  <si>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</si>
  <si>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</si>
  <si>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</si>
  <si>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</si>
  <si>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</si>
  <si>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</si>
  <si>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</si>
  <si>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</si>
  <si>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</si>
  <si>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</si>
  <si>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</si>
  <si>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</si>
  <si>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</si>
  <si>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</si>
  <si>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</si>
  <si>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</si>
  <si>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</si>
  <si>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</si>
  <si>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</si>
  <si>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</si>
  <si>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</si>
  <si>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</si>
  <si>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</si>
  <si>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</si>
  <si>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</si>
  <si>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</si>
  <si>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</si>
  <si>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</si>
  <si>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</si>
  <si>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</si>
  <si>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</si>
  <si>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</si>
  <si>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</si>
  <si>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</si>
  <si>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</si>
  <si>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</si>
  <si>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</si>
  <si>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</si>
  <si>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</si>
  <si>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</si>
  <si>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</si>
  <si>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</si>
  <si>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</si>
  <si>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</si>
  <si>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</si>
  <si>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</si>
  <si>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</si>
  <si>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</si>
  <si>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</si>
  <si>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</si>
  <si>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</si>
  <si>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</si>
  <si>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</si>
  <si>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</si>
  <si>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</si>
  <si>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</si>
  <si>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</si>
  <si>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</si>
  <si>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</si>
  <si>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</si>
  <si>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</si>
  <si>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</si>
  <si>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</si>
  <si>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</si>
  <si>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</si>
  <si>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</si>
  <si>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</si>
  <si>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</si>
  <si>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</si>
  <si>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</si>
  <si>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</si>
  <si>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</si>
  <si>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</si>
  <si>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</si>
  <si>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</si>
  <si>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</si>
  <si>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</si>
  <si>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</si>
  <si>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</si>
  <si>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</si>
  <si>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</si>
  <si>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</si>
  <si>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</si>
  <si>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</si>
  <si>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</si>
  <si>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</si>
  <si>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</si>
  <si>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</si>
  <si>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</si>
  <si>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</si>
  <si>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</si>
  <si>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</si>
  <si>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</si>
  <si>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</si>
  <si>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</si>
  <si>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</si>
  <si>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</si>
  <si>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</si>
  <si>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</si>
  <si>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</si>
  <si>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</si>
  <si>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</si>
  <si>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</si>
  <si>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</si>
  <si>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</si>
  <si>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</si>
  <si>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</si>
  <si>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</si>
  <si>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</si>
  <si>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</si>
  <si>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</si>
  <si>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</si>
  <si>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</si>
  <si>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</si>
  <si>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</si>
  <si>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</si>
  <si>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</si>
  <si>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</si>
  <si>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</si>
  <si>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</si>
  <si>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</si>
  <si>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</si>
  <si>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</si>
  <si>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</si>
  <si>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</si>
  <si>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</si>
  <si>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</si>
  <si>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</si>
  <si>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</si>
  <si>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</si>
  <si>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</si>
  <si>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</si>
  <si>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</si>
  <si>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</si>
  <si>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</si>
  <si>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</si>
  <si>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</si>
  <si>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</si>
  <si>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</si>
  <si>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</si>
  <si>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</si>
  <si>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</si>
  <si>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</si>
  <si>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</si>
  <si>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</si>
  <si>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</si>
  <si>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</si>
  <si>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</si>
  <si>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</si>
  <si>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</si>
  <si>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kWh</t>
  </si>
  <si>
    <t>TZA ZAR/kWh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</si>
</sst>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07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4" fontId="2" fillId="2" borderId="0" xfId="1" applyNumberFormat="1" applyFont="1" applyFill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</cellXfs>
  <cellStyles count="4">
    <cellStyle name="Normal" xfId="0" builtinId="0"/>
    <cellStyle name="Normal 2" xfId="2" xr:uid="{DE878BE8-E9EF-447D-9A26-AD213050475D}"/>
    <cellStyle name="Normal 3" xfId="3" xr:uid="{E6DCFB66-CD37-44C0-A503-658AB3EF2EFE}"/>
    <cellStyle name="Percent" xfId="1" builtinId="5"/>
  </cellStyles>
  <dxfs count="329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yyyy/mm/dd"/>
    </dxf>
    <dxf>
      <numFmt numFmtId="170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5F0505"/>
      <color rgb="FF4BACC6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8416"/>
        <c:axId val="833407184"/>
      </c:barChart>
      <c:catAx>
        <c:axId val="83341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7184"/>
        <c:crosses val="autoZero"/>
        <c:auto val="1"/>
        <c:lblAlgn val="ctr"/>
        <c:lblOffset val="100"/>
        <c:noMultiLvlLbl val="0"/>
      </c:catAx>
      <c:valAx>
        <c:axId val="8334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42143"/>
        <c:axId val="932242975"/>
      </c:barChart>
      <c:catAx>
        <c:axId val="93224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975"/>
        <c:crosses val="autoZero"/>
        <c:auto val="1"/>
        <c:lblAlgn val="ctr"/>
        <c:lblOffset val="100"/>
        <c:noMultiLvlLbl val="0"/>
      </c:catAx>
      <c:valAx>
        <c:axId val="93224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301647"/>
        <c:axId val="851297071"/>
      </c:barChart>
      <c:catAx>
        <c:axId val="85130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297071"/>
        <c:crosses val="autoZero"/>
        <c:auto val="1"/>
        <c:lblAlgn val="ctr"/>
        <c:lblOffset val="100"/>
        <c:noMultiLvlLbl val="0"/>
      </c:catAx>
      <c:valAx>
        <c:axId val="85129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30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272543"/>
        <c:axId val="933274623"/>
      </c:barChart>
      <c:catAx>
        <c:axId val="93327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4623"/>
        <c:crosses val="autoZero"/>
        <c:auto val="1"/>
        <c:lblAlgn val="ctr"/>
        <c:lblOffset val="100"/>
        <c:noMultiLvlLbl val="0"/>
      </c:catAx>
      <c:valAx>
        <c:axId val="9332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51711"/>
        <c:axId val="932249215"/>
      </c:barChart>
      <c:catAx>
        <c:axId val="93225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9215"/>
        <c:crosses val="autoZero"/>
        <c:auto val="1"/>
        <c:lblAlgn val="ctr"/>
        <c:lblOffset val="100"/>
        <c:noMultiLvlLbl val="0"/>
      </c:catAx>
      <c:valAx>
        <c:axId val="93224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5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416336"/>
        <c:axId val="833424240"/>
      </c:barChart>
      <c:catAx>
        <c:axId val="83341633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4240"/>
        <c:crosses val="autoZero"/>
        <c:auto val="1"/>
        <c:lblAlgn val="ctr"/>
        <c:lblOffset val="100"/>
        <c:noMultiLvlLbl val="0"/>
      </c:catAx>
      <c:valAx>
        <c:axId val="8334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4256"/>
        <c:axId val="833408432"/>
      </c:barChart>
      <c:dateAx>
        <c:axId val="833414256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8432"/>
        <c:crosses val="autoZero"/>
        <c:auto val="0"/>
        <c:lblOffset val="100"/>
        <c:baseTimeUnit val="days"/>
      </c:dateAx>
      <c:valAx>
        <c:axId val="83340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0148576"/>
        <c:axId val="2020140256"/>
      </c:barChart>
      <c:catAx>
        <c:axId val="202014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0256"/>
        <c:crosses val="autoZero"/>
        <c:auto val="1"/>
        <c:lblAlgn val="ctr"/>
        <c:lblOffset val="100"/>
        <c:noMultiLvlLbl val="0"/>
      </c:catAx>
      <c:valAx>
        <c:axId val="20201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1344"/>
        <c:axId val="833410096"/>
      </c:barChart>
      <c:catAx>
        <c:axId val="83341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0096"/>
        <c:crosses val="autoZero"/>
        <c:auto val="1"/>
        <c:lblAlgn val="ctr"/>
        <c:lblOffset val="100"/>
        <c:noMultiLvlLbl val="0"/>
      </c:catAx>
      <c:valAx>
        <c:axId val="8334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25904"/>
        <c:axId val="833417584"/>
      </c:barChart>
      <c:catAx>
        <c:axId val="83342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7584"/>
        <c:crosses val="autoZero"/>
        <c:auto val="1"/>
        <c:lblAlgn val="ctr"/>
        <c:lblOffset val="100"/>
        <c:noMultiLvlLbl val="0"/>
      </c:catAx>
      <c:valAx>
        <c:axId val="8334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1/1/2022</c:v>
                </c:pt>
                <c:pt idx="1">
                  <c:v>2/1/2022</c:v>
                </c:pt>
                <c:pt idx="2">
                  <c:v>3/1/2022</c:v>
                </c:pt>
                <c:pt idx="3">
                  <c:v>4/1/2022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7048992"/>
        <c:axId val="1917049824"/>
      </c:barChart>
      <c:dateAx>
        <c:axId val="191704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9824"/>
        <c:crosses val="autoZero"/>
        <c:auto val="0"/>
        <c:lblOffset val="100"/>
        <c:baseTimeUnit val="days"/>
      </c:dateAx>
      <c:valAx>
        <c:axId val="19170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1/1/2022</c:v>
                </c:pt>
                <c:pt idx="1">
                  <c:v>2/1/2022</c:v>
                </c:pt>
                <c:pt idx="2">
                  <c:v>3/1/2022</c:v>
                </c:pt>
                <c:pt idx="3">
                  <c:v>4/1/2022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216272"/>
        <c:axId val="1877213360"/>
      </c:barChart>
      <c:dateAx>
        <c:axId val="1877216272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3360"/>
        <c:crosses val="autoZero"/>
        <c:auto val="0"/>
        <c:lblOffset val="100"/>
        <c:baseTimeUnit val="days"/>
        <c:majorUnit val="1"/>
      </c:dateAx>
      <c:valAx>
        <c:axId val="18772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3/1/2022</c:v>
                </c:pt>
                <c:pt idx="1">
                  <c:v>4/1/2022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191312"/>
        <c:axId val="1877192560"/>
      </c:barChart>
      <c:catAx>
        <c:axId val="187719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2560"/>
        <c:crosses val="autoZero"/>
        <c:auto val="1"/>
        <c:lblAlgn val="ctr"/>
        <c:lblOffset val="100"/>
        <c:noMultiLvlLbl val="0"/>
      </c:catAx>
      <c:valAx>
        <c:axId val="1877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3/1/2022</c:v>
                </c:pt>
                <c:pt idx="1">
                  <c:v>4/1/2022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51312"/>
        <c:axId val="2008741744"/>
      </c:barChart>
      <c:catAx>
        <c:axId val="200875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1744"/>
        <c:crosses val="autoZero"/>
        <c:auto val="1"/>
        <c:lblAlgn val="ctr"/>
        <c:lblOffset val="100"/>
        <c:noMultiLvlLbl val="0"/>
      </c:catAx>
      <c:valAx>
        <c:axId val="20087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5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10/1/2021</c:v>
                </c:pt>
                <c:pt idx="1">
                  <c:v>11/1/2021</c:v>
                </c:pt>
                <c:pt idx="2">
                  <c:v>12/1/2021</c:v>
                </c:pt>
                <c:pt idx="3">
                  <c:v>1/1/2022</c:v>
                </c:pt>
                <c:pt idx="4">
                  <c:v>2/1/2022</c:v>
                </c:pt>
                <c:pt idx="5">
                  <c:v>3/1/2022</c:v>
                </c:pt>
                <c:pt idx="6">
                  <c:v>4/1/2022</c:v>
                </c:pt>
                <c:pt idx="7">
                  <c:v>5/1/2022</c:v>
                </c:pt>
                <c:pt idx="8">
                  <c:v>6/1/2022</c:v>
                </c:pt>
                <c:pt idx="9">
                  <c:v>7/1/2022</c:v>
                </c:pt>
                <c:pt idx="10">
                  <c:v>8/1/2022</c:v>
                </c:pt>
                <c:pt idx="11">
                  <c:v>9/1/2022</c:v>
                </c:pt>
                <c:pt idx="12">
                  <c:v>10/1/2022</c:v>
                </c:pt>
                <c:pt idx="13">
                  <c:v>11/1/2022</c:v>
                </c:pt>
                <c:pt idx="14">
                  <c:v>12/1/2022</c:v>
                </c:pt>
                <c:pt idx="15">
                  <c:v>1/1/2023</c:v>
                </c:pt>
                <c:pt idx="16">
                  <c:v>2/1/2023</c:v>
                </c:pt>
                <c:pt idx="17">
                  <c:v>3/1/2023</c:v>
                </c:pt>
                <c:pt idx="18">
                  <c:v>4/1/2023</c:v>
                </c:pt>
                <c:pt idx="19">
                  <c:v>5/1/2023</c:v>
                </c:pt>
                <c:pt idx="20">
                  <c:v>6/1/2023</c:v>
                </c:pt>
                <c:pt idx="21">
                  <c:v>7/1/2023</c:v>
                </c:pt>
                <c:pt idx="22">
                  <c:v>8/1/2023</c:v>
                </c:pt>
                <c:pt idx="23">
                  <c:v>9/1/2023</c:v>
                </c:pt>
                <c:pt idx="24">
                  <c:v>10/1/2023</c:v>
                </c:pt>
                <c:pt idx="25">
                  <c:v>11/1/2023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432495"/>
        <c:axId val="124411695"/>
      </c:barChart>
      <c:catAx>
        <c:axId val="12443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11695"/>
        <c:crosses val="autoZero"/>
        <c:auto val="1"/>
        <c:lblAlgn val="ctr"/>
        <c:lblOffset val="100"/>
        <c:noMultiLvlLbl val="0"/>
      </c:catAx>
      <c:valAx>
        <c:axId val="12441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68239"/>
        <c:axId val="121186127"/>
      </c:barChart>
      <c:catAx>
        <c:axId val="12116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6127"/>
        <c:crosses val="autoZero"/>
        <c:auto val="1"/>
        <c:lblAlgn val="ctr"/>
        <c:lblOffset val="100"/>
        <c:noMultiLvlLbl val="0"/>
      </c:catAx>
      <c:valAx>
        <c:axId val="12118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6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73952"/>
        <c:axId val="931979776"/>
      </c:barChart>
      <c:catAx>
        <c:axId val="9319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9776"/>
        <c:crosses val="autoZero"/>
        <c:auto val="1"/>
        <c:lblAlgn val="ctr"/>
        <c:lblOffset val="100"/>
        <c:noMultiLvlLbl val="0"/>
      </c:catAx>
      <c:valAx>
        <c:axId val="9319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84047"/>
        <c:axId val="121189039"/>
      </c:barChart>
      <c:catAx>
        <c:axId val="12118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9039"/>
        <c:crosses val="autoZero"/>
        <c:auto val="1"/>
        <c:lblAlgn val="ctr"/>
        <c:lblOffset val="100"/>
        <c:noMultiLvlLbl val="0"/>
      </c:catAx>
      <c:valAx>
        <c:axId val="12118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63136"/>
        <c:axId val="931968544"/>
      </c:barChart>
      <c:catAx>
        <c:axId val="9319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8544"/>
        <c:crosses val="autoZero"/>
        <c:auto val="1"/>
        <c:lblAlgn val="ctr"/>
        <c:lblOffset val="100"/>
        <c:noMultiLvlLbl val="0"/>
      </c:catAx>
      <c:valAx>
        <c:axId val="9319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45488"/>
        <c:axId val="2008762960"/>
      </c:barChart>
      <c:catAx>
        <c:axId val="200874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2008762960"/>
        <c:crosses val="autoZero"/>
        <c:auto val="1"/>
        <c:lblAlgn val="ctr"/>
        <c:lblOffset val="100"/>
        <c:noMultiLvlLbl val="0"/>
      </c:catAx>
      <c:valAx>
        <c:axId val="20087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BEEA54-9CF3-4E28-846E-9580D04C49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2540FBAF-1720-46A9-AD65-BA5B4CA1BE1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FFA119A9-56DF-4626-A13E-29B0A88DD75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281C9E81-0135-446C-B590-252471D901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3E69A17B-E94A-4E30-A53B-DB59555C8F5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5A2C3D56-136C-403D-8812-1EE7D397355E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AC89A0E9-4B9E-40AD-BCB7-C8CD8B4EEAAD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B459C2E5-468A-4A11-B1D5-95A1E58760C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239BF9B2-B053-472E-9D82-B55BDD82568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48EA31F4-6861-46E1-8ACD-F4F3EFD1C9B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AA4405B2-0CD7-436E-AE26-F878DB7D6B0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A157CB70-EFCD-40F7-9135-549E2097B2F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1D807DA9-C54B-4496-B60B-DDB7A72F120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D9C2FAF7-08CF-460C-9F4D-72841DD9CF9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F334F0AB-5578-411E-B4CE-9D31DA11A8F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A830835C-D9BB-437E-96E3-79CEE8F182A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F51C8476-3758-4531-B2FA-48E4EC70953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89CF18C9-9670-41B8-9BF0-1683CB0C709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11178246-6509-4FF1-9DDE-D49069827372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1F0404E2-3DFB-4A77-BC03-BEBB4969147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66B32BE2-7DD4-416C-9C2C-B1F1F1CF28CC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198E65B9-ADD8-4970-9484-6A3CCF668B0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1210934E-3C52-45B5-8B34-CC370A8A276F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C3E41849-C99D-4440-BCD9-F54E9B7BFDD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C9EFC096-C20A-43A1-A67C-C09B2B8BE28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ED6A6-C181-4C80-90D5-DD8A4AB9350E}" name="PivotTable13" cacheId="30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0">
      <pivotArea field="0" type="button" dataOnly="0" labelOnly="1" outline="0" axis="axisRow" fieldPosition="0"/>
    </format>
    <format dxfId="229">
      <pivotArea dataOnly="0" labelOnly="1" fieldPosition="0">
        <references count="1">
          <reference field="0" count="0"/>
        </references>
      </pivotArea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45200-4176-4154-B52D-6FE3188176CA}" name="PivotTable12" cacheId="31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B40CA-28E6-4E5F-9217-A9AF79A66EF4}" name="PivotTable6" cacheId="32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44">
      <pivotArea field="0" type="button" dataOnly="0" labelOnly="1" outline="0" axis="axisRow" fieldPosition="0"/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F5D25D-368A-4D1A-A9E3-A674B55C5C9E}" name="PivotTable5" cacheId="33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0" type="button" dataOnly="0" labelOnly="1" outline="0" axis="axisRow" fieldPosition="0"/>
    </format>
    <format dxfId="249">
      <pivotArea dataOnly="0" labelOnly="1" fieldPosition="0">
        <references count="1">
          <reference field="0" count="0"/>
        </references>
      </pivotArea>
    </format>
    <format dxfId="248">
      <pivotArea dataOnly="0" labelOnly="1" grandRow="1" outline="0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8C6BC-F536-4142-8859-828438B432EA}" name="PivotTable14" cacheId="29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47EC81-2EC3-4937-8EBF-3F8D18493B60}" name="PivotTable17" cacheId="35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190">
      <pivotArea field="0" type="button" dataOnly="0" labelOnly="1" outline="0" axis="axisRow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Row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719AE-F67A-4F0B-AEF5-32508FBFBF3D}" name="PivotTable16" cacheId="36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E30838-5D48-41C4-B710-36FE1B600D34}" name="PivotTable15" cacheId="28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A094C-4479-4000-A6B7-79B791206D10}" name="PivotTable19" cacheId="37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4">
      <pivotArea type="all" dataOnly="0" outline="0" fieldPosition="0"/>
    </format>
    <format dxfId="213">
      <pivotArea outline="0" collapsedLevelsAreSubtotals="1" fieldPosition="0"/>
    </format>
    <format dxfId="212">
      <pivotArea field="0" type="button" dataOnly="0" labelOnly="1" outline="0" axis="axisRow" fieldPosition="0"/>
    </format>
    <format dxfId="211">
      <pivotArea dataOnly="0" labelOnly="1" fieldPosition="0">
        <references count="1">
          <reference field="0" count="0"/>
        </references>
      </pivotArea>
    </format>
    <format dxfId="210">
      <pivotArea dataOnly="0" labelOnly="1" grandRow="1" outline="0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F0BE5-B827-4959-9BC4-539C898CF99C}" name="PivotTable18" cacheId="34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9B5A6-3933-45EF-92AB-6BC616D31429}" name="PivotTable29" cacheId="39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49">
      <pivotArea field="0" type="button" dataOnly="0" labelOnly="1" outline="0" axis="axisRow" fieldPosition="0"/>
    </format>
    <format dxfId="148">
      <pivotArea dataOnly="0" labelOnly="1" fieldPosition="0">
        <references count="1">
          <reference field="0" count="0"/>
        </references>
      </pivotArea>
    </format>
    <format dxfId="147">
      <pivotArea dataOnly="0" labelOnly="1" grandRow="1" outline="0" fieldPosition="0"/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98889-B8F4-43A8-ADD0-891A5DCF4D69}" name="PivotTable28" cacheId="40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58A6C-BBAB-437D-877D-A21ABF333E93}" name="PivotTable27" cacheId="27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65">
      <pivotArea field="0" type="button" dataOnly="0" labelOnly="1" outline="0" axis="axisRow" fieldPosition="0"/>
    </format>
    <format dxfId="164">
      <pivotArea dataOnly="0" labelOnly="1" fieldPosition="0">
        <references count="1">
          <reference field="0" count="0"/>
        </references>
      </pivotArea>
    </format>
    <format dxfId="163">
      <pivotArea dataOnly="0" labelOnly="1" grandRow="1" outline="0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6118D-5A11-4C7A-B260-89A373939A89}" name="PivotTable26" cacheId="41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73">
      <pivotArea field="0" type="button" dataOnly="0" labelOnly="1" outline="0" axis="axisRow" fieldPosition="0"/>
    </format>
    <format dxfId="172">
      <pivotArea dataOnly="0" labelOnly="1" fieldPosition="0">
        <references count="1">
          <reference field="0" count="0"/>
        </references>
      </pivotArea>
    </format>
    <format dxfId="171">
      <pivotArea dataOnly="0" labelOnly="1" grandRow="1" outline="0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2B55F-FB40-47EA-BAAA-ED277AB5A48F}" name="PivotTable25" cacheId="38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38D2B-CF08-426B-84E9-B4C8995FF14F}" name="PivotTable31" cacheId="43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4AC9DC-902C-466A-AB96-7D1533D0950D}" name="PivotTable39" cacheId="44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0FA7EB-B1B4-4E70-8BC5-9B55CC17E3A3}" name="PivotTable38" cacheId="26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D6FE5-F967-4313-83F7-37D22C692EE6}" name="PivotTable36" cacheId="45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dataOnly="0" labelOnly="1" fieldPosition="0">
        <references count="1">
          <reference field="0" count="0"/>
        </references>
      </pivotArea>
    </format>
    <format dxfId="119">
      <pivotArea dataOnly="0" labelOnly="1" grandRow="1" outline="0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952BE-3E5D-4B90-8249-167D8ABC9967}" name="PivotTable35" cacheId="42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F244A-AB73-4CDF-A225-6EAD27F34C4A}" name="PivotTable50" cacheId="25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52F54-634E-4707-95A9-266B62C939CA}" name="PivotTable49" cacheId="48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25203F-9E91-47C0-B78F-34D353855CA6}" name="PivotTable48" cacheId="49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B2D5A-A08E-4EC7-8E3A-6E238429A471}" name="PivotTable47" cacheId="46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10AD9-EEE6-4FE2-8831-221C259B313F}" name="PivotTable46" cacheId="47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859DD36A-37C8-42FC-9E37-580A8736898D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13EF2BD-18CE-4B3B-8DA0-E77ABA493412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69A5EA-E63E-468F-9A22-BB836A942634}" name="Table1" displayName="Table1" ref="A1:BP27" totalsRowShown="0">
  <autoFilter ref="A1:BP27" xr:uid="{F769A5EA-E63E-468F-9A22-BB836A942634}"/>
  <tableColumns count="68">
    <tableColumn id="60" xr3:uid="{05AA2691-1AA3-41E5-A0B4-25CDFF14A1FC}" name="Date" dataDxfId="328"/>
    <tableColumn id="2" xr3:uid="{DAD3D0C3-73F3-4BD1-B640-00802B51EE91}" name="Verg_Energy_(kWh)" dataDxfId="327"/>
    <tableColumn id="3" xr3:uid="{D3FAD232-6C15-4FF3-8322-4D23C5D7CE45}" name="Verg_PR_(%)" dataDxfId="326">
      <calculatedColumnFormula>(Table1[[#This Row],[Verg_Energy_(kWh)]]/696.6)/(D2)</calculatedColumnFormula>
    </tableColumn>
    <tableColumn id="4" xr3:uid="{A1D18DFB-BDFD-4410-BBFE-132A7CFE67CD}" name="Verg_Irradiated_(kWh/m²)" dataDxfId="325"/>
    <tableColumn id="5" xr3:uid="{A6B39645-4834-4F49-BBD7-3FDFF19296EB}" name="Verg_Availability_(%)" dataDxfId="324"/>
    <tableColumn id="6" xr3:uid="{9C7090E9-C5FC-4EDD-9774-7992DDEF1A15}" name="Verg_P50_(kWh)" dataDxfId="323"/>
    <tableColumn id="62" xr3:uid="{C6A6B0DC-99A2-44AE-95B4-E97A9D9FEBCA}" name="unavailability days" dataDxfId="322"/>
    <tableColumn id="63" xr3:uid="{04B0680D-427D-4677-95BD-97DCD7107AFA}" name="Column6" dataDxfId="321"/>
    <tableColumn id="7" xr3:uid="{D3459A67-BAC3-4D32-A4DA-E43D9E0581BE}" name="Verg_estimatedPOA" dataDxfId="320"/>
    <tableColumn id="64" xr3:uid="{71104AF1-6A43-45C9-BE79-F136FFA40557}" name="Column7" dataDxfId="319"/>
    <tableColumn id="8" xr3:uid="{E20C1CB3-EC67-4D9F-9715-970E25FDE2F8}" name="Verg_PRP50" dataDxfId="318" dataCellStyle="Percent"/>
    <tableColumn id="9" xr3:uid="{9021CEBF-021B-48F4-860D-6CAD3E07E47F}" name="Mid_(kWh)2" dataDxfId="317"/>
    <tableColumn id="10" xr3:uid="{917F90FF-9A0A-45D8-B4F8-B5398975C58A}" name="Mid_PR_(%)" dataDxfId="316">
      <calculatedColumnFormula>(Table1[[#This Row],[Mid_(kWh)2]]/227.9)/(Table1[[#This Row],[Mid_Irradiated_(kWh/m²)]])</calculatedColumnFormula>
    </tableColumn>
    <tableColumn id="11" xr3:uid="{A93AF10E-1309-4EB3-A6A6-440667CEE520}" name="Mid_Irradiated_(kWh/m²)" dataDxfId="315"/>
    <tableColumn id="12" xr3:uid="{1068FF87-EEED-42C8-A740-CB72F2C0666A}" name="Mid_Availability_(%)" dataDxfId="314"/>
    <tableColumn id="13" xr3:uid="{DBBA2DBD-8F05-48CD-9047-13F38CAA533A}" name="Mid_P50_(kWh)" dataDxfId="313"/>
    <tableColumn id="35" xr3:uid="{43E4DBE3-2AEA-4F86-A281-EA83A6E8ADC7}" name="Unavailable days" dataDxfId="312"/>
    <tableColumn id="32" xr3:uid="{50E34207-E2D7-4A76-B27B-6A54F1AB7C53}" name="Column1" dataDxfId="311"/>
    <tableColumn id="14" xr3:uid="{A2628CE2-51DD-435F-B65E-C22EF66A8710}" name="Mid_estimatedPOA" dataDxfId="310"/>
    <tableColumn id="65" xr3:uid="{CCBC4A6F-53AB-4132-B7A4-CB3C1BC41307}" name="Column22" dataDxfId="309"/>
    <tableColumn id="15" xr3:uid="{2930054E-DB61-4F64-AC27-09512EA58C5B}" name="Mid_PRP50" dataDxfId="308" dataCellStyle="Percent"/>
    <tableColumn id="16" xr3:uid="{EF7C6914-F6D8-41D6-A65A-57AD48CE2B82}" name="Dur_Energy_produced_(kWh)" dataDxfId="307"/>
    <tableColumn id="17" xr3:uid="{DF5802BE-7DA4-4D21-8A21-8A7C4DD8C179}" name="Dur_PR_(%)" dataDxfId="306">
      <calculatedColumnFormula>(Table1[[#This Row],[Dur_Energy_produced_(kWh)]]/705.6)/X2</calculatedColumnFormula>
    </tableColumn>
    <tableColumn id="18" xr3:uid="{B5916E02-F8D1-4065-AB44-243EE9DF41F6}" name="Dur_Energy_Irradiated_(kWh/m²)" dataDxfId="305"/>
    <tableColumn id="19" xr3:uid="{57D7D46B-41E6-446F-A51C-6083E3C6DE58}" name="Dur_Availability_(%)" dataDxfId="304"/>
    <tableColumn id="20" xr3:uid="{661270DB-6EDC-4A0B-A9BC-D032C7963828}" name="Dur_P50_(kWh)" dataDxfId="303"/>
    <tableColumn id="55" xr3:uid="{C6123E69-E461-4422-9D4B-3FC5D7246D30}" name="unavailability days3" dataDxfId="302"/>
    <tableColumn id="56" xr3:uid="{851B6EBC-3C3D-48E8-935D-B66B3FB8737E}" name="Column3" dataDxfId="301"/>
    <tableColumn id="21" xr3:uid="{53136D83-3073-4B8C-BA8B-E8C4F199B567}" name="Dur_estimatedPOA" dataDxfId="300"/>
    <tableColumn id="66" xr3:uid="{6B266BC8-1F00-4DB0-B402-AA054971C11C}" name="Column8" dataDxfId="299"/>
    <tableColumn id="22" xr3:uid="{59C7747C-2822-4DB2-B545-A5B0515300B9}" name="Dur_PRP50" dataDxfId="298" dataCellStyle="Percent"/>
    <tableColumn id="23" xr3:uid="{8ED6A383-89FD-43E6-AC0C-F237939E7E03}" name="Her_Energy_produced_(kWh)" dataDxfId="297"/>
    <tableColumn id="24" xr3:uid="{CEC75B02-E31B-4060-9F14-1D18BF7C512A}" name="Her_PR_(%)" dataDxfId="296"/>
    <tableColumn id="25" xr3:uid="{9F3748EA-5BA2-4F24-AEBA-D77971012B07}" name="Her_Energy_Irradiated_(kWh/m²)" dataDxfId="295"/>
    <tableColumn id="26" xr3:uid="{573C398B-EC5C-46CF-89BE-4F38112C31AA}" name="Her_Availability_(%)" dataDxfId="294"/>
    <tableColumn id="27" xr3:uid="{A17E2E56-124F-426E-A76F-BC06C0A92B3A}" name="Her_P50_(kWh)" dataDxfId="293"/>
    <tableColumn id="59" xr3:uid="{02DB7F4F-D05F-4A72-8090-1F1C5F14CD2E}" name="Column5" dataDxfId="292"/>
    <tableColumn id="28" xr3:uid="{C5517AE7-E2BC-4147-BF18-C01A9B4C02FF}" name="Her_estimatedPOA" dataDxfId="291"/>
    <tableColumn id="67" xr3:uid="{D00FE002-FD5B-488C-8485-E19366E51276}" name="Column9" dataDxfId="290"/>
    <tableColumn id="29" xr3:uid="{75323523-6F43-462E-BF68-243EF6A84783}" name="Her_PRP50" dataDxfId="289" dataCellStyle="Percent"/>
    <tableColumn id="43" xr3:uid="{38C49E49-BF6E-4E12-B043-AE6C9C169EAE}" name="TZA kWh" dataDxfId="288" dataCellStyle="Percent"/>
    <tableColumn id="1" xr3:uid="{4A286F4D-4CD0-42D9-AED1-2C31390D8733}" name="Hig_Energy_produced_(kWh)2" dataDxfId="287"/>
    <tableColumn id="31" xr3:uid="{90CAB387-AB95-4CE8-9A6C-6EDD80E78AFA}" name="Hig_PR_(%)" dataDxfId="286"/>
    <tableColumn id="38" xr3:uid="{623E8F66-5DFE-4297-924D-50109F587FC3}" name="Hig_Energy_Irradiated_(kWh/m²)" dataDxfId="285"/>
    <tableColumn id="33" xr3:uid="{EF5AADDF-EE62-4945-BFC3-35CEF4AA3FB8}" name="Hig_Availability_(%)" dataDxfId="284"/>
    <tableColumn id="34" xr3:uid="{BBD7491C-3871-4C84-84D4-44CA3A336F21}" name="Hig_P50_(kWh)" dataDxfId="283"/>
    <tableColumn id="57" xr3:uid="{F57F3401-782F-4FB7-94AC-74F281BDB9B4}" name="Unavailability days2" dataDxfId="282"/>
    <tableColumn id="58" xr3:uid="{4B00936F-2E3E-401D-A80C-B050471BEFA4}" name="Column4" dataDxfId="281"/>
    <tableColumn id="36" xr3:uid="{00B8B451-C5B4-420D-A0FF-EE381687081F}" name="Hig_estimatedPOA" dataDxfId="280"/>
    <tableColumn id="68" xr3:uid="{A50A08BD-CFDE-474B-A600-EEF128851691}" name="Column10" dataDxfId="279"/>
    <tableColumn id="61" xr3:uid="{ED624F32-470A-4983-B6A7-D006755CD005}" name="Hig_PRP50" dataDxfId="278" dataCellStyle="Percent"/>
    <tableColumn id="37" xr3:uid="{F1C3DFE2-589A-4025-93BC-8D97DB200F25}" name="Mid_ZAR/kWh" dataDxfId="277" dataCellStyle="Percent"/>
    <tableColumn id="40" xr3:uid="{7D9A6349-9A6B-4216-B42A-B1683DE06EF2}" name="HIG_ZAR/kWh" dataDxfId="276" dataCellStyle="Percent"/>
    <tableColumn id="42" xr3:uid="{150127D4-DB1C-49F0-9AFC-883F7F8D1A5F}" name="VER_ZAR/kWh" dataDxfId="275" dataCellStyle="Percent"/>
    <tableColumn id="41" xr3:uid="{A4856C50-F212-4E89-971E-EA8A7339EDA4}" name="DUR_ZAR/kWh" dataDxfId="274" dataCellStyle="Percent"/>
    <tableColumn id="39" xr3:uid="{4668EDCA-A88F-4B2A-A700-0A455B40E662}" name="HER_ZAR/kWh2" dataDxfId="273" dataCellStyle="Percent"/>
    <tableColumn id="30" xr3:uid="{6570D9E2-F4A3-4F6F-85EE-8891CCE1607A}" name="TZA ZAR/kWh" dataDxfId="272" dataCellStyle="Percent"/>
    <tableColumn id="44" xr3:uid="{F7197D94-5952-4348-9E7F-A00AE280F686}" name="Vat_" dataDxfId="271" dataCellStyle="Percent">
      <calculatedColumnFormula>0.15</calculatedColumnFormula>
    </tableColumn>
    <tableColumn id="45" xr3:uid="{916A219B-1582-49BB-8BF9-A9067E199834}" name="MID_Total_(ZAR)" dataDxfId="270" dataCellStyle="Percent">
      <calculatedColumnFormula>Table1[[#This Row],[Mid_ZAR/kWh]]*Table1[[#This Row],[Mid_(kWh)2]]*(1+0.15)</calculatedColumnFormula>
    </tableColumn>
    <tableColumn id="46" xr3:uid="{EF953A17-3320-4F6F-B3DE-E87B850730C6}" name="HIG_Total_(ZAR)" dataDxfId="269" dataCellStyle="Percent">
      <calculatedColumnFormula>Table1[[#This Row],[HIG_ZAR/kWh]]*Table1[[#This Row],[Hig_Energy_produced_(kWh)2]]*(1+0.15)</calculatedColumnFormula>
    </tableColumn>
    <tableColumn id="47" xr3:uid="{DEA8A669-B7EA-4CC7-85B5-128120E17ADB}" name="VER_Total_(ZAR)" dataDxfId="268" dataCellStyle="Percent">
      <calculatedColumnFormula>Table1[[#This Row],[VER_ZAR/kWh]]*Table1[[#This Row],[Verg_Energy_(kWh)]]*(1+0.15)</calculatedColumnFormula>
    </tableColumn>
    <tableColumn id="49" xr3:uid="{8E45BEE5-461A-45FF-9765-3187030081B5}" name="DUR_Total_(ZAR)" dataDxfId="267" dataCellStyle="Percent">
      <calculatedColumnFormula>Table1[[#This Row],[DUR_ZAR/kWh]]*Table1[[#This Row],[Dur_Energy_produced_(kWh)]]*(1+0.15)</calculatedColumnFormula>
    </tableColumn>
    <tableColumn id="48" xr3:uid="{1653291A-1F35-4C22-9AB2-680BEBAFA2A0}" name="HER__Total__(ZAR)" dataDxfId="266" dataCellStyle="Percent">
      <calculatedColumnFormula>Table1[[#This Row],[HER_ZAR/kWh2]]*Table1[[#This Row],[Her_Energy_produced_(kWh)]]*(1+0.15)</calculatedColumnFormula>
    </tableColumn>
    <tableColumn id="50" xr3:uid="{285E48E4-10F2-4B9E-B4AE-48AE1F977545}" name="_Forecast_MID_Total_ZAR2" dataDxfId="265" dataCellStyle="Percent">
      <calculatedColumnFormula>Table1[[#This Row],[Mid_ZAR/kWh]]*Table1[[#This Row],[Mid_P50_(kWh)]]*(1+0.15)</calculatedColumnFormula>
    </tableColumn>
    <tableColumn id="51" xr3:uid="{B1D1CD16-D231-44C8-852A-4A439A05D338}" name="Forecast_HIG_Total_ZAR3" dataDxfId="264" dataCellStyle="Percent">
      <calculatedColumnFormula>Table1[[#This Row],[HIG_ZAR/kWh]]*Table1[[#This Row],[Hig_P50_(kWh)]]*(1+0.15)</calculatedColumnFormula>
    </tableColumn>
    <tableColumn id="52" xr3:uid="{64F2C3D0-9F1B-49D4-AB8D-FF8D0C2109AE}" name="Forecast__VER_Total_ZAR4" dataDxfId="263" dataCellStyle="Percent">
      <calculatedColumnFormula>Table1[[#This Row],[VER_ZAR/kWh]]*Table1[[#This Row],[Verg_P50_(kWh)]]*(1+0.15)</calculatedColumnFormula>
    </tableColumn>
    <tableColumn id="53" xr3:uid="{322C6869-8429-4C05-85B7-8C327AEE7DCB}" name="Forecast__DUR_Total_ZAR5" dataDxfId="262" dataCellStyle="Percent">
      <calculatedColumnFormula>Table1[[#This Row],[DUR_ZAR/kWh]]*Table1[[#This Row],[Dur_P50_(kWh)]]*(1+0.15)</calculatedColumnFormula>
    </tableColumn>
    <tableColumn id="54" xr3:uid="{6E6FA969-FC6B-4BC6-A593-5F87F906CB0A}" name="Forecast_HER__Total__ZAR6" dataDxfId="261" dataCellStyle="Percent">
      <calculatedColumnFormula>Table1[[#This Row],[HER_ZAR/kWh2]]*Table1[[#This Row],[Her_P50_(kWh)]]*(1+0.15)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478E70-A5D9-4303-AA60-4BCBC814D0AC}" name="Table_ExternalData_1" displayName="Table_ExternalData_1" ref="A3:BI4" tableType="queryTable" totalsRowShown="0">
  <autoFilter ref="A3:BI4" xr:uid="{81478E70-A5D9-4303-AA60-4BCBC814D0AC}"/>
  <tableColumns count="61">
    <tableColumn id="1" xr3:uid="{3D5FA64B-BB06-4C1D-A343-1655632CC52C}" uniqueName="1" name="Table1[Date]" queryTableFieldId="1" dataDxfId="91"/>
    <tableColumn id="2" xr3:uid="{3C1B7943-BCA5-4937-AD68-FA1AF1360B18}" uniqueName="2" name="Table1[Aces - Mediclinic Vergelegen Energy produced (kWh)]" queryTableFieldId="2"/>
    <tableColumn id="3" xr3:uid="{50658EBE-0A2A-4544-847B-B02B05692885}" uniqueName="3" name="Table1[Aces - Mediclinic Vergelegen PR (%)]" queryTableFieldId="3"/>
    <tableColumn id="4" xr3:uid="{DD800EA3-F86B-4FB5-8500-91D8E1F11CED}" uniqueName="4" name="Table1[Aces - Mediclinic Vergelegen Energy Irradiated (kWh/m²)]" queryTableFieldId="4"/>
    <tableColumn id="5" xr3:uid="{FA757AF2-9493-4596-B8E2-4AED14ADE724}" uniqueName="5" name="Table1[Aces - Mediclinic Vergelegen Availability (%)]" queryTableFieldId="5"/>
    <tableColumn id="6" xr3:uid="{E163EA0D-F72F-4FC7-933B-FD0E1E166C29}" uniqueName="6" name="Table1[Aces - Mediclinic Vergelegen P50 (kWh)]" queryTableFieldId="6"/>
    <tableColumn id="7" xr3:uid="{5D58BB8C-76EE-44F3-94D4-593D14DD8C0B}" uniqueName="7" name="Table1[Aces - Mediclinic Vergelegen estimatedPOA]" queryTableFieldId="7"/>
    <tableColumn id="8" xr3:uid="{4D117B5E-389A-472D-8E89-231B5D4AE19A}" uniqueName="8" name="Table1[Aces - Mediclinic Vergelegen PRP50]" queryTableFieldId="8"/>
    <tableColumn id="9" xr3:uid="{8466C00A-9F28-4E80-9D25-530F5AE1C3BC}" uniqueName="9" name="Table1[Aces - Mediclinic Midstream Energy produced (kWh)2]" queryTableFieldId="9"/>
    <tableColumn id="10" xr3:uid="{2BD7ADE9-B03D-46FE-9918-6B897E35E057}" uniqueName="10" name="Table1[Aces - Mediclinic Midstream PR (%)]" queryTableFieldId="10"/>
    <tableColumn id="11" xr3:uid="{29E8CC4F-EF69-4C07-835F-4B606D7A6A27}" uniqueName="11" name="Table1[Aces - Mediclinic Midstream Energy Irradiated (kWh/m²)]" queryTableFieldId="11"/>
    <tableColumn id="12" xr3:uid="{0FD03D0B-2C92-478E-BEB8-CA7637829BCB}" uniqueName="12" name="Table1[Aces - Mediclinic Midstream Availability (%)]" queryTableFieldId="12"/>
    <tableColumn id="13" xr3:uid="{0EFC5996-7AF2-4D40-B91A-2E3A4420B63D}" uniqueName="13" name="Table1[Aces - Mediclinic Midstream P50 (kWh)]" queryTableFieldId="13"/>
    <tableColumn id="14" xr3:uid="{F3A14BAB-8ED7-4D14-81F9-4E8CFB0384DE}" uniqueName="14" name="Table1[Aces - Mediclinic Midstream estimatedPOA]" queryTableFieldId="14"/>
    <tableColumn id="15" xr3:uid="{1D50918C-A979-4A93-B1D9-137FEFAC706C}" uniqueName="15" name="Table1[Aces - Mediclinic Midstream PRP508]" queryTableFieldId="15"/>
    <tableColumn id="16" xr3:uid="{B5E91365-6314-4323-A13C-B5F33D0540AE}" uniqueName="16" name="Table1[Aces - Mediclinic Durbanville Energy produced (kWh)]" queryTableFieldId="16"/>
    <tableColumn id="17" xr3:uid="{D4FA9540-F1ED-49CA-A75C-7E2B903D0E26}" uniqueName="17" name="Table1[Aces - Mediclinic Durbanville PR (%)]" queryTableFieldId="17"/>
    <tableColumn id="18" xr3:uid="{AB54C44C-575F-4F3D-BFC7-F657F09B9A84}" uniqueName="18" name="Table1[Aces - Mediclinic Durbanville Energy Irradiated (kWh/m²)11]" queryTableFieldId="18"/>
    <tableColumn id="19" xr3:uid="{823E50DE-E7CF-4179-A272-8BA85940AEE7}" uniqueName="19" name="Table1[Aces - Mediclinic Durbanville Availability (%)]" queryTableFieldId="19"/>
    <tableColumn id="20" xr3:uid="{1F55F425-3081-49F6-A299-9D5C25B87AED}" uniqueName="20" name="Table1[Aces - Mediclinic Durbanville P50 (kWh)]" queryTableFieldId="20"/>
    <tableColumn id="21" xr3:uid="{CD0292FA-D252-42E2-B6D2-E280ABD621FF}" uniqueName="21" name="Table1[Aces - Mediclinic Durbanville estimatedPOA]" queryTableFieldId="21"/>
    <tableColumn id="22" xr3:uid="{DAA20DD8-59FC-4872-BE27-FF8D000257DD}" uniqueName="22" name="Table1[Aces - Mediclinic Durbanville PRP50]" queryTableFieldId="22"/>
    <tableColumn id="23" xr3:uid="{090B8AC8-4FDC-4081-941B-4F6CCFB8839E}" uniqueName="23" name="Table1[Aces - Mediclinic Hermanus Energy produced (kWh)]" queryTableFieldId="23"/>
    <tableColumn id="24" xr3:uid="{609D2A53-637B-4E01-81F1-56C45E77DE6F}" uniqueName="24" name="Table1[Aces - Mediclinic Hermanus PR (%)]" queryTableFieldId="24"/>
    <tableColumn id="25" xr3:uid="{9B9C04E7-3017-4263-B6B1-42CED86248F6}" uniqueName="25" name="Table1[Aces - Mediclinic Hermanus Energy Irradiated (kWh/m²)]" queryTableFieldId="25"/>
    <tableColumn id="26" xr3:uid="{A83A14CF-5F82-49D3-966A-849EC492DF01}" uniqueName="26" name="Table1[Aces - Mediclinic Hermanus Availability (%)]" queryTableFieldId="26"/>
    <tableColumn id="27" xr3:uid="{D6225C43-A7CC-4379-BB16-16B949B5D1CD}" uniqueName="27" name="Table1[Aces - Mediclinic HermanusP50 (kWh)]" queryTableFieldId="27"/>
    <tableColumn id="28" xr3:uid="{CCD9FBFB-57EB-4E70-B13D-875993E3C204}" uniqueName="28" name="Table1[Aces - Mediclinic Hermanus estimatedPOA]" queryTableFieldId="28"/>
    <tableColumn id="29" xr3:uid="{9C61E79F-7A1D-4411-84D7-DFA9800D071D}" uniqueName="29" name="Table1[Aces - Mediclinic Hermanus PRP50]" queryTableFieldId="29"/>
    <tableColumn id="30" xr3:uid="{BC884302-D9CB-4573-900C-BA2AFC590537}" uniqueName="30" name="Table1[Aces - Mediclinic Highveld Energy produced (kWh)]" queryTableFieldId="30"/>
    <tableColumn id="31" xr3:uid="{A12D683D-81DC-4669-84BD-4E5562311E03}" uniqueName="31" name="Table1[Aces - Mediclinic Highveld PR (%)]" queryTableFieldId="31"/>
    <tableColumn id="32" xr3:uid="{90C97D5D-BE10-408B-99AF-804114844900}" uniqueName="32" name="Table1[Aces - Mediclinic Highveld Energy Irradiated (kWh/m²)]" queryTableFieldId="32"/>
    <tableColumn id="33" xr3:uid="{4B77B08A-D4F8-4D6A-A7C3-BF35103295A3}" uniqueName="33" name="Table1[Aces - Mediclinic Highveld Availability (%)]" queryTableFieldId="33"/>
    <tableColumn id="34" xr3:uid="{C292F2E4-9EC6-4124-8454-76BE3BB4CFE4}" uniqueName="34" name="Table1[Aces - Mediclinic Highveld P50 (kWh)]" queryTableFieldId="34"/>
    <tableColumn id="35" xr3:uid="{3F59996F-28EE-42EC-969E-1C8089EC51DE}" uniqueName="35" name="Table1[Aces - Mediclinic Highveld estimatedPOA]" queryTableFieldId="35"/>
    <tableColumn id="36" xr3:uid="{C1B20527-C39F-4FB1-BA6B-46223413E0FD}" uniqueName="36" name="Table1[Aces - Mediclinic Highveld PRP50]" queryTableFieldId="36"/>
    <tableColumn id="37" xr3:uid="{0B9001E1-6991-43AC-AB2F-142680D5506B}" uniqueName="37" name="Table1[Veregelegen production Varriance]" queryTableFieldId="37"/>
    <tableColumn id="38" xr3:uid="{1344EF1E-9F4B-4B9A-8DF5-47C8771D1450}" uniqueName="38" name="Table1[Midstream Production Variance]" queryTableFieldId="38"/>
    <tableColumn id="39" xr3:uid="{EC8F74E8-997A-40D6-8729-AFD74425BBF4}" uniqueName="39" name="Table1[Durbanville Production variance]" queryTableFieldId="39"/>
    <tableColumn id="40" xr3:uid="{837A3FA1-D28E-49CB-8860-1E67683B01C0}" uniqueName="40" name="Table1[Hermanus production variance]" queryTableFieldId="40"/>
    <tableColumn id="41" xr3:uid="{65E5D831-142E-4A8D-BE90-C0686563FF6A}" uniqueName="41" name="Table1[Highveld  production Variance]" queryTableFieldId="41"/>
    <tableColumn id="42" xr3:uid="{89C1E580-F2B5-4F47-B68C-103C5A617CB2}" uniqueName="42" name="Table1[Vergelegen  PR variance]" queryTableFieldId="42"/>
    <tableColumn id="43" xr3:uid="{9E2DE620-52DA-4DCE-8C95-940C3F303B9E}" uniqueName="43" name="Table1[Midstream PR Variance]" queryTableFieldId="43"/>
    <tableColumn id="44" xr3:uid="{08003F5F-20B8-44BA-8F09-ED25FACA1EFC}" uniqueName="44" name="Table1[Durbanville]" queryTableFieldId="44"/>
    <tableColumn id="45" xr3:uid="{10CB21C4-6FED-4628-980E-8AA25594BDEB}" uniqueName="45" name="Table1[Mid ZAR/kWh]" queryTableFieldId="45"/>
    <tableColumn id="46" xr3:uid="{DA704C1A-59C8-4170-AA27-FE852DAAED9C}" uniqueName="46" name="Table1[HIG ZAR/kWh]" queryTableFieldId="46"/>
    <tableColumn id="47" xr3:uid="{E749DDFB-B951-42AF-8DA7-5435F2E246E2}" uniqueName="47" name="Table1[VER ZAR/kWh]" queryTableFieldId="47"/>
    <tableColumn id="48" xr3:uid="{50F8F032-6391-4C61-9799-3CEDA858CE09}" uniqueName="48" name="Table1[DUR ZAR/kWh]" queryTableFieldId="48"/>
    <tableColumn id="49" xr3:uid="{C25DFE96-E982-41DF-BAD2-E4A4B409B469}" uniqueName="49" name="Table1[HER ZAR/kWh2]" queryTableFieldId="49"/>
    <tableColumn id="50" xr3:uid="{06723AE7-07B3-473E-A7E6-E16F57835332}" uniqueName="50" name="Table1[Vat]" queryTableFieldId="50"/>
    <tableColumn id="51" xr3:uid="{D76F731B-16FB-406C-A692-2438FC9C51F2}" uniqueName="51" name="Table1[MID Total ZAR]" queryTableFieldId="51"/>
    <tableColumn id="52" xr3:uid="{9CD2B0EA-FF66-4C86-B3BA-70B1A7538ADE}" uniqueName="52" name="Table1[HIG Total ZAR]" queryTableFieldId="52"/>
    <tableColumn id="53" xr3:uid="{CFED6BB7-7822-4079-AE4E-8B466264C86D}" uniqueName="53" name="Table1[VER Total ZAR]" queryTableFieldId="53"/>
    <tableColumn id="54" xr3:uid="{E83B2203-38BC-45F8-B0AD-8D447B12BD4E}" uniqueName="54" name="Table1[DUR Total ZAR]" queryTableFieldId="54"/>
    <tableColumn id="55" xr3:uid="{C09914C6-1104-4F49-8063-91FA081812F3}" uniqueName="55" name="Table1[HER  Total  ZAR]" queryTableFieldId="55"/>
    <tableColumn id="56" xr3:uid="{FEB2DE15-2AA9-4579-B750-9E0F7C12887C}" uniqueName="56" name="Table1[Forecast MID Total ZAR2]" queryTableFieldId="56"/>
    <tableColumn id="57" xr3:uid="{0030E93D-2E08-48DF-B2D8-47D206D0113F}" uniqueName="57" name="Table1[Forecast HIG Total ZAR3]" queryTableFieldId="57"/>
    <tableColumn id="58" xr3:uid="{5BBEA9BD-29D2-498F-BF36-F7A513DD6B70}" uniqueName="58" name="Table1[Forecast  VER Total ZAR4]" queryTableFieldId="58"/>
    <tableColumn id="59" xr3:uid="{D0941AAD-F42B-4D08-9117-3FBCCFDC9F6A}" uniqueName="59" name="Table1[Forecast  DUR Total ZAR5]" queryTableFieldId="59"/>
    <tableColumn id="60" xr3:uid="{E58704E9-AB06-418C-B428-010684DDB938}" uniqueName="60" name="Table1[Forecast HER  Total  ZAR6]" queryTableFieldId="60"/>
    <tableColumn id="61" xr3:uid="{CDD0E512-853C-49B0-B4B7-AD61A52581EE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A2B6EA-AD41-434D-BCD8-5998326396BA}" name="Table_ExternalData_16" displayName="Table_ExternalData_16" ref="A3:BI4" tableType="queryTable" totalsRowShown="0">
  <autoFilter ref="A3:BI4" xr:uid="{22A2B6EA-AD41-434D-BCD8-5998326396BA}"/>
  <tableColumns count="61">
    <tableColumn id="1" xr3:uid="{10B856C9-BE9C-4DAD-9FF4-3B7768D85094}" uniqueName="1" name="Table1[Date]" queryTableFieldId="1" dataDxfId="90"/>
    <tableColumn id="2" xr3:uid="{E2612125-6484-4471-9DB6-56D5B7FDB028}" uniqueName="2" name="Table1[Aces - Mediclinic Vergelegen Energy produced (kWh)]" queryTableFieldId="2"/>
    <tableColumn id="3" xr3:uid="{8A5114C8-8173-4EDB-A7E6-0D53FBA6272D}" uniqueName="3" name="Table1[Aces - Mediclinic Vergelegen PR (%)]" queryTableFieldId="3"/>
    <tableColumn id="4" xr3:uid="{1915B0D2-4AC2-4A0A-8998-24615E1CFFA0}" uniqueName="4" name="Table1[Aces - Mediclinic Vergelegen Energy Irradiated (kWh/m²)]" queryTableFieldId="4"/>
    <tableColumn id="5" xr3:uid="{0664B786-2D4B-4482-B16A-765E3D1D3CED}" uniqueName="5" name="Table1[Aces - Mediclinic Vergelegen Availability (%)]" queryTableFieldId="5"/>
    <tableColumn id="6" xr3:uid="{5F33FC89-33A5-4AA1-AB35-649B9DBAE2A8}" uniqueName="6" name="Table1[Aces - Mediclinic Vergelegen P50 (kWh)]" queryTableFieldId="6"/>
    <tableColumn id="7" xr3:uid="{A79769AC-6CC2-4D50-B25D-B92F5A4F47BA}" uniqueName="7" name="Table1[Aces - Mediclinic Vergelegen estimatedPOA]" queryTableFieldId="7"/>
    <tableColumn id="8" xr3:uid="{FA5FEE88-1683-4FB2-B829-399671C22EE1}" uniqueName="8" name="Table1[Aces - Mediclinic Vergelegen PRP50]" queryTableFieldId="8"/>
    <tableColumn id="9" xr3:uid="{2C2F7DFF-4F31-492B-93DD-0663ACAE29A1}" uniqueName="9" name="Table1[Aces - Mediclinic Midstream Energy produced (kWh)2]" queryTableFieldId="9"/>
    <tableColumn id="10" xr3:uid="{DEEB18A6-888E-48C1-989F-E9C8CBA09517}" uniqueName="10" name="Table1[Aces - Mediclinic Midstream PR (%)]" queryTableFieldId="10"/>
    <tableColumn id="11" xr3:uid="{5553B147-2193-43C4-B29B-3FF0AE6E5E5E}" uniqueName="11" name="Table1[Aces - Mediclinic Midstream Energy Irradiated (kWh/m²)]" queryTableFieldId="11"/>
    <tableColumn id="12" xr3:uid="{10186981-2A0B-471C-BA4F-D8FA0BC53DCA}" uniqueName="12" name="Table1[Aces - Mediclinic Midstream Availability (%)]" queryTableFieldId="12"/>
    <tableColumn id="13" xr3:uid="{489DC07D-1694-4352-BBDF-674EEDA9DB6E}" uniqueName="13" name="Table1[Aces - Mediclinic Midstream P50 (kWh)]" queryTableFieldId="13"/>
    <tableColumn id="14" xr3:uid="{5218D997-48EE-455C-8A76-7B97C499B9DF}" uniqueName="14" name="Table1[Aces - Mediclinic Midstream estimatedPOA]" queryTableFieldId="14"/>
    <tableColumn id="15" xr3:uid="{FBB953B2-EC4C-41E9-ADFA-3819961D27EB}" uniqueName="15" name="Table1[Aces - Mediclinic Midstream PRP508]" queryTableFieldId="15"/>
    <tableColumn id="16" xr3:uid="{B505A1F1-1667-4AA3-B071-E812BBE4C352}" uniqueName="16" name="Table1[Aces - Mediclinic Durbanville Energy produced (kWh)]" queryTableFieldId="16"/>
    <tableColumn id="17" xr3:uid="{0433559E-686E-4A76-A691-DE1E179B8112}" uniqueName="17" name="Table1[Aces - Mediclinic Durbanville PR (%)]" queryTableFieldId="17"/>
    <tableColumn id="18" xr3:uid="{60B29F7A-0A73-43C5-98E7-F83F6EAB39DC}" uniqueName="18" name="Table1[Aces - Mediclinic Durbanville Energy Irradiated (kWh/m²)11]" queryTableFieldId="18"/>
    <tableColumn id="19" xr3:uid="{08DB2203-B5D0-4F0D-B0E9-414E10C98DF5}" uniqueName="19" name="Table1[Aces - Mediclinic Durbanville Availability (%)]" queryTableFieldId="19"/>
    <tableColumn id="20" xr3:uid="{3654E77C-C962-4265-80CB-0FD1CA8EB618}" uniqueName="20" name="Table1[Aces - Mediclinic Durbanville P50 (kWh)]" queryTableFieldId="20"/>
    <tableColumn id="21" xr3:uid="{6B75868D-C28B-419E-A624-0493F3BED4F7}" uniqueName="21" name="Table1[Aces - Mediclinic Durbanville estimatedPOA]" queryTableFieldId="21"/>
    <tableColumn id="22" xr3:uid="{99E54D39-3D69-4A51-8549-A87E8798F5FA}" uniqueName="22" name="Table1[Aces - Mediclinic Durbanville PRP50]" queryTableFieldId="22"/>
    <tableColumn id="23" xr3:uid="{23529F4B-026A-4F9C-BB5B-EAD34002D2B0}" uniqueName="23" name="Table1[Aces - Mediclinic Hermanus Energy produced (kWh)]" queryTableFieldId="23"/>
    <tableColumn id="24" xr3:uid="{51F02785-4BF7-478C-91CC-9C3AF0FEE480}" uniqueName="24" name="Table1[Aces - Mediclinic Hermanus PR (%)]" queryTableFieldId="24"/>
    <tableColumn id="25" xr3:uid="{97235F7D-29F7-4FD2-B9FC-A9397A111B0A}" uniqueName="25" name="Table1[Aces - Mediclinic Hermanus Energy Irradiated (kWh/m²)]" queryTableFieldId="25"/>
    <tableColumn id="26" xr3:uid="{28718022-45FE-4AC4-91E0-D1DB233A605F}" uniqueName="26" name="Table1[Aces - Mediclinic Hermanus Availability (%)]" queryTableFieldId="26"/>
    <tableColumn id="27" xr3:uid="{A8698972-0B56-4EF7-B116-D39E83CD2BA4}" uniqueName="27" name="Table1[Aces - Mediclinic HermanusP50 (kWh)]" queryTableFieldId="27"/>
    <tableColumn id="28" xr3:uid="{6258D76E-2893-4D11-904A-FD2E7F453FE3}" uniqueName="28" name="Table1[Aces - Mediclinic Hermanus estimatedPOA]" queryTableFieldId="28"/>
    <tableColumn id="29" xr3:uid="{C75875B0-06BA-44BE-8831-DBC9FE3147E1}" uniqueName="29" name="Table1[Aces - Mediclinic Hermanus PRP50]" queryTableFieldId="29"/>
    <tableColumn id="30" xr3:uid="{F6B71969-3359-4C1C-8B78-6548B706036F}" uniqueName="30" name="Table1[Aces - Mediclinic Highveld Energy produced (kWh)]" queryTableFieldId="30"/>
    <tableColumn id="31" xr3:uid="{B3759ADF-0FAA-49BD-B222-DC58D0AFE211}" uniqueName="31" name="Table1[Aces - Mediclinic Highveld PR (%)]" queryTableFieldId="31"/>
    <tableColumn id="32" xr3:uid="{2152C044-77AD-4A20-AD2B-EC3EB2036DD6}" uniqueName="32" name="Table1[Aces - Mediclinic Highveld Energy Irradiated (kWh/m²)]" queryTableFieldId="32"/>
    <tableColumn id="33" xr3:uid="{B004663B-09B7-44A6-A8C9-96826FE54285}" uniqueName="33" name="Table1[Aces - Mediclinic Highveld Availability (%)]" queryTableFieldId="33"/>
    <tableColumn id="34" xr3:uid="{50896BDA-6947-4D4F-8452-D80B6ECE351E}" uniqueName="34" name="Table1[Aces - Mediclinic Highveld P50 (kWh)]" queryTableFieldId="34"/>
    <tableColumn id="35" xr3:uid="{D664076C-09C5-4EEE-B8DE-C53E1600BCA9}" uniqueName="35" name="Table1[Aces - Mediclinic Highveld estimatedPOA]" queryTableFieldId="35"/>
    <tableColumn id="36" xr3:uid="{B3424138-635B-4A03-AEAA-9E3E020FBD7E}" uniqueName="36" name="Table1[Aces - Mediclinic Highveld PRP50]" queryTableFieldId="36"/>
    <tableColumn id="37" xr3:uid="{35A842ED-B049-4D99-AE2C-7D378F8CB385}" uniqueName="37" name="Table1[Veregelegen production Varriance]" queryTableFieldId="37"/>
    <tableColumn id="38" xr3:uid="{B95DA6FE-F95D-4CD1-A74E-E493FFBF3008}" uniqueName="38" name="Table1[Midstream Production Variance]" queryTableFieldId="38"/>
    <tableColumn id="39" xr3:uid="{357E78D7-B76C-405F-8E72-6D46CE881A89}" uniqueName="39" name="Table1[Durbanville Production variance]" queryTableFieldId="39"/>
    <tableColumn id="40" xr3:uid="{89EC18D3-86A9-42F2-B95D-84C94D9C6A6C}" uniqueName="40" name="Table1[Hermanus production variance]" queryTableFieldId="40"/>
    <tableColumn id="41" xr3:uid="{9F1AAF32-78D2-45CC-A046-898B1AAAB062}" uniqueName="41" name="Table1[Highveld  production Variance]" queryTableFieldId="41"/>
    <tableColumn id="42" xr3:uid="{8874C8DB-CC94-4469-978B-2565881DFDB3}" uniqueName="42" name="Table1[Vergelegen  PR variance]" queryTableFieldId="42"/>
    <tableColumn id="43" xr3:uid="{1E7F07C0-6AD6-429D-A70D-492849836C4F}" uniqueName="43" name="Table1[Midstream PR Variance]" queryTableFieldId="43"/>
    <tableColumn id="44" xr3:uid="{8984E64C-6648-4F98-8284-EA1ED611B623}" uniqueName="44" name="Table1[Durbanville]" queryTableFieldId="44"/>
    <tableColumn id="45" xr3:uid="{1F48BE49-5DC5-4E1F-AD8F-278C5F3872D1}" uniqueName="45" name="Table1[Mid ZAR/kWh]" queryTableFieldId="45"/>
    <tableColumn id="46" xr3:uid="{2B5F2C61-C648-487E-AE55-EF953E9CB577}" uniqueName="46" name="Table1[HIG ZAR/kWh]" queryTableFieldId="46"/>
    <tableColumn id="47" xr3:uid="{0EB166FB-2D2E-4D4D-BA41-6BD0F54A1C3B}" uniqueName="47" name="Table1[VER ZAR/kWh]" queryTableFieldId="47"/>
    <tableColumn id="48" xr3:uid="{1444F8E7-9F4D-4751-9C1B-925597C5154B}" uniqueName="48" name="Table1[DUR ZAR/kWh]" queryTableFieldId="48"/>
    <tableColumn id="49" xr3:uid="{EC2296CB-8A92-4854-B42F-D18E7F3CEACF}" uniqueName="49" name="Table1[HER ZAR/kWh2]" queryTableFieldId="49"/>
    <tableColumn id="50" xr3:uid="{6CD79FA0-1F67-431B-B339-AC4E040CEB1F}" uniqueName="50" name="Table1[Vat]" queryTableFieldId="50"/>
    <tableColumn id="51" xr3:uid="{FD7E3DC2-654C-485E-8149-9CF63705C4A1}" uniqueName="51" name="Table1[MID Total ZAR]" queryTableFieldId="51"/>
    <tableColumn id="52" xr3:uid="{EBDD896C-D2A5-4602-A186-4C9BF142D6F7}" uniqueName="52" name="Table1[HIG Total ZAR]" queryTableFieldId="52"/>
    <tableColumn id="53" xr3:uid="{8C791CBD-4227-4B95-B064-E4531683F4CF}" uniqueName="53" name="Table1[VER Total ZAR]" queryTableFieldId="53"/>
    <tableColumn id="54" xr3:uid="{7E0EEE8C-4068-4CB2-A5F5-3E73C829BC17}" uniqueName="54" name="Table1[DUR Total ZAR]" queryTableFieldId="54"/>
    <tableColumn id="55" xr3:uid="{DAA8A062-3EEF-4E18-A50E-1D71384B994C}" uniqueName="55" name="Table1[HER  Total  ZAR]" queryTableFieldId="55"/>
    <tableColumn id="56" xr3:uid="{82B4937D-864A-41D0-B38C-9A7AE1A5F579}" uniqueName="56" name="Table1[Forecast MID Total ZAR2]" queryTableFieldId="56"/>
    <tableColumn id="57" xr3:uid="{6096E394-FBA6-40FD-B027-F8A036980C47}" uniqueName="57" name="Table1[Forecast HIG Total ZAR3]" queryTableFieldId="57"/>
    <tableColumn id="58" xr3:uid="{077FAB3B-FCF3-4B03-915E-5EFDEB4877A1}" uniqueName="58" name="Table1[Forecast  VER Total ZAR4]" queryTableFieldId="58"/>
    <tableColumn id="59" xr3:uid="{0AB4E853-F2FC-4ECB-A027-71EB002588D2}" uniqueName="59" name="Table1[Forecast  DUR Total ZAR5]" queryTableFieldId="59"/>
    <tableColumn id="60" xr3:uid="{4A0D8D74-1011-435C-AA08-E5219F229720}" uniqueName="60" name="Table1[Forecast HER  Total  ZAR6]" queryTableFieldId="60"/>
    <tableColumn id="61" xr3:uid="{64A824D1-F95B-4ABB-A16E-58D998FFBC4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CA0B-9697-4740-9029-474C4BE5F215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86" t="s">
        <v>2</v>
      </c>
      <c r="B1" s="186"/>
      <c r="C1" s="186"/>
      <c r="D1" s="186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86" t="s">
        <v>3</v>
      </c>
      <c r="B18" s="186"/>
      <c r="C18" s="186"/>
      <c r="D18" s="186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611C-0D88-4C78-A45B-93AFB139F334}">
  <dimension ref="A1:AK18"/>
  <sheetViews>
    <sheetView topLeftCell="D1" workbookViewId="0">
      <selection activeCell="C3" sqref="C3:J5"/>
    </sheetView>
  </sheetViews>
  <sheetFormatPr defaultRowHeight="15" x14ac:dyDescent="0.25"/>
  <cols>
    <col min="1" max="1" width="9.42578125" style="162" bestFit="1" customWidth="1"/>
    <col min="2" max="2" width="29.140625" customWidth="1"/>
    <col min="3" max="3" width="22.42578125" customWidth="1"/>
    <col min="4" max="4" width="21.140625" customWidth="1"/>
    <col min="5" max="5" width="15.85546875" customWidth="1"/>
    <col min="37" max="37" width="15" customWidth="1"/>
  </cols>
  <sheetData>
    <row r="1" spans="1:37" ht="34.5" customHeight="1" x14ac:dyDescent="0.25">
      <c r="A1" s="179" t="s">
        <v>21</v>
      </c>
      <c r="B1" s="180" t="s">
        <v>113</v>
      </c>
      <c r="C1" s="180" t="s">
        <v>112</v>
      </c>
      <c r="D1" s="180" t="s">
        <v>114</v>
      </c>
      <c r="E1" s="180" t="s">
        <v>115</v>
      </c>
      <c r="F1" s="180" t="s">
        <v>116</v>
      </c>
      <c r="G1" s="180" t="s">
        <v>117</v>
      </c>
      <c r="H1" s="180" t="s">
        <v>118</v>
      </c>
      <c r="I1" s="181" t="s">
        <v>119</v>
      </c>
      <c r="J1" s="181" t="s">
        <v>120</v>
      </c>
      <c r="K1" s="181" t="s">
        <v>121</v>
      </c>
      <c r="L1" s="181" t="s">
        <v>122</v>
      </c>
      <c r="M1" s="181" t="s">
        <v>123</v>
      </c>
      <c r="N1" s="181" t="s">
        <v>124</v>
      </c>
      <c r="O1" s="181" t="s">
        <v>148</v>
      </c>
      <c r="P1" s="182" t="s">
        <v>125</v>
      </c>
      <c r="Q1" s="182" t="s">
        <v>126</v>
      </c>
      <c r="R1" s="182" t="s">
        <v>149</v>
      </c>
      <c r="S1" s="182" t="s">
        <v>127</v>
      </c>
      <c r="T1" s="182" t="s">
        <v>128</v>
      </c>
      <c r="U1" s="182" t="s">
        <v>129</v>
      </c>
      <c r="V1" s="182" t="s">
        <v>130</v>
      </c>
      <c r="W1" s="183" t="s">
        <v>131</v>
      </c>
      <c r="X1" s="183" t="s">
        <v>132</v>
      </c>
      <c r="Y1" s="183" t="s">
        <v>133</v>
      </c>
      <c r="Z1" s="183" t="s">
        <v>135</v>
      </c>
      <c r="AA1" s="183" t="s">
        <v>134</v>
      </c>
      <c r="AB1" s="183" t="s">
        <v>143</v>
      </c>
      <c r="AC1" s="183" t="s">
        <v>136</v>
      </c>
      <c r="AD1" s="184" t="s">
        <v>150</v>
      </c>
      <c r="AE1" s="184" t="s">
        <v>137</v>
      </c>
      <c r="AF1" s="184" t="s">
        <v>138</v>
      </c>
      <c r="AG1" s="184" t="s">
        <v>139</v>
      </c>
      <c r="AH1" s="184" t="s">
        <v>140</v>
      </c>
      <c r="AI1" s="184" t="s">
        <v>141</v>
      </c>
      <c r="AJ1" s="184" t="s">
        <v>142</v>
      </c>
      <c r="AK1" s="185" t="s">
        <v>187</v>
      </c>
    </row>
    <row r="2" spans="1:37" x14ac:dyDescent="0.25">
      <c r="A2" s="162">
        <f>Data!A13</f>
        <v>44805</v>
      </c>
      <c r="B2" s="164">
        <v>73642.7</v>
      </c>
      <c r="C2" s="164">
        <v>73.381460323998994</v>
      </c>
      <c r="D2" s="164">
        <v>136.08871483134999</v>
      </c>
      <c r="E2" s="164">
        <v>93.43</v>
      </c>
      <c r="F2" s="164">
        <v>82459.520000000004</v>
      </c>
      <c r="G2" s="164">
        <v>145.1</v>
      </c>
      <c r="H2" s="164">
        <v>0.81520000000000004</v>
      </c>
      <c r="I2" s="171">
        <v>24112.812000000002</v>
      </c>
      <c r="J2" s="171">
        <v>55.778812894300998</v>
      </c>
      <c r="K2" s="171">
        <v>179.79227360601999</v>
      </c>
      <c r="L2" s="171">
        <v>83.92</v>
      </c>
      <c r="M2" s="171">
        <v>33234.25</v>
      </c>
      <c r="N2" s="171">
        <v>184.8</v>
      </c>
      <c r="O2" s="171">
        <v>0.78910000000000002</v>
      </c>
      <c r="P2" s="165">
        <v>58368.3</v>
      </c>
      <c r="Q2" s="165">
        <v>54.520171259251001</v>
      </c>
      <c r="R2" s="165">
        <v>143.47797588540001</v>
      </c>
      <c r="S2" s="165">
        <v>96.24</v>
      </c>
      <c r="T2" s="165">
        <v>93478.78</v>
      </c>
      <c r="U2" s="165">
        <v>168</v>
      </c>
      <c r="V2" s="165">
        <v>0.78969999999999996</v>
      </c>
      <c r="W2" s="166">
        <v>23105.905999999999</v>
      </c>
      <c r="X2" s="166">
        <v>69.509371496029004</v>
      </c>
      <c r="Y2" s="166">
        <v>153.14681898115001</v>
      </c>
      <c r="Z2" s="166">
        <v>80.150000000000006</v>
      </c>
      <c r="AA2" s="166">
        <v>27916.55</v>
      </c>
      <c r="AB2" s="166">
        <v>151.5</v>
      </c>
      <c r="AC2" s="166">
        <v>0.87039999999999995</v>
      </c>
      <c r="AD2" s="176">
        <v>27096.681</v>
      </c>
      <c r="AE2" s="176">
        <v>52.233015222683001</v>
      </c>
      <c r="AF2" s="176">
        <v>198.28419754706999</v>
      </c>
      <c r="AG2" s="176">
        <v>80.59</v>
      </c>
      <c r="AH2" s="176">
        <v>39413.870000000003</v>
      </c>
      <c r="AI2" s="176">
        <v>189.4</v>
      </c>
      <c r="AJ2" s="176">
        <v>0.79220000000000002</v>
      </c>
      <c r="AK2" s="177">
        <f ca="1">Data!AO13</f>
        <v>0</v>
      </c>
    </row>
    <row r="3" spans="1:37" x14ac:dyDescent="0.25">
      <c r="A3" s="162">
        <f>Data!A14</f>
        <v>44835</v>
      </c>
      <c r="B3" s="164">
        <v>107657.60000000001</v>
      </c>
      <c r="C3" s="164"/>
      <c r="D3" s="164"/>
      <c r="E3" s="164"/>
      <c r="F3" s="164"/>
      <c r="G3" s="164"/>
      <c r="H3" s="164"/>
      <c r="I3" s="171">
        <v>29329.406999999999</v>
      </c>
      <c r="J3" s="171"/>
      <c r="K3" s="171"/>
      <c r="L3" s="171"/>
      <c r="M3" s="171"/>
      <c r="N3" s="171"/>
      <c r="O3" s="171"/>
      <c r="P3" s="165">
        <v>75269.999999999898</v>
      </c>
      <c r="Q3" s="165"/>
      <c r="R3" s="165"/>
      <c r="S3" s="165"/>
      <c r="T3" s="165"/>
      <c r="U3" s="165"/>
      <c r="V3" s="165"/>
      <c r="W3" s="166">
        <v>28616.094000000001</v>
      </c>
      <c r="X3" s="166"/>
      <c r="Y3" s="166"/>
      <c r="Z3" s="166"/>
      <c r="AA3" s="166"/>
      <c r="AB3" s="166"/>
      <c r="AC3" s="166"/>
      <c r="AD3" s="176">
        <v>28967.987000000001</v>
      </c>
      <c r="AE3" s="176"/>
      <c r="AF3" s="176"/>
      <c r="AG3" s="176"/>
      <c r="AH3" s="176"/>
      <c r="AI3" s="176"/>
      <c r="AJ3" s="176"/>
      <c r="AK3" s="178">
        <v>33499.800999999999</v>
      </c>
    </row>
    <row r="4" spans="1:37" x14ac:dyDescent="0.25">
      <c r="A4" s="162">
        <f>Data!A16</f>
        <v>44896</v>
      </c>
      <c r="B4" s="164"/>
      <c r="C4" s="164"/>
      <c r="D4" s="164"/>
      <c r="E4" s="164"/>
      <c r="F4" s="164"/>
      <c r="G4" s="164"/>
      <c r="H4" s="164"/>
      <c r="I4" s="171"/>
      <c r="J4" s="171"/>
      <c r="K4" s="171"/>
      <c r="L4" s="171"/>
      <c r="M4" s="171"/>
      <c r="N4" s="171"/>
      <c r="O4" s="171"/>
      <c r="P4" s="165"/>
      <c r="Q4" s="165"/>
      <c r="R4" s="165"/>
      <c r="S4" s="165"/>
      <c r="T4" s="165"/>
      <c r="U4" s="165"/>
      <c r="V4" s="165"/>
      <c r="W4" s="166"/>
      <c r="X4" s="166"/>
      <c r="Y4" s="166"/>
      <c r="Z4" s="166"/>
      <c r="AA4" s="166"/>
      <c r="AB4" s="166"/>
      <c r="AC4" s="166"/>
      <c r="AD4" s="176"/>
      <c r="AE4" s="176"/>
      <c r="AF4" s="176"/>
      <c r="AG4" s="176"/>
      <c r="AH4" s="176"/>
      <c r="AI4" s="176"/>
      <c r="AJ4" s="176"/>
      <c r="AK4" s="178"/>
    </row>
    <row r="5" spans="1:37" x14ac:dyDescent="0.25">
      <c r="A5" s="162">
        <f>Data!A17</f>
        <v>44927</v>
      </c>
      <c r="B5" s="164"/>
      <c r="C5" s="164"/>
      <c r="D5" s="164"/>
      <c r="E5" s="164"/>
      <c r="F5" s="164"/>
      <c r="G5" s="164"/>
      <c r="H5" s="164"/>
      <c r="I5" s="171"/>
      <c r="J5" s="171"/>
      <c r="K5" s="171"/>
      <c r="L5" s="171"/>
      <c r="M5" s="171"/>
      <c r="N5" s="171"/>
      <c r="O5" s="171"/>
      <c r="P5" s="165"/>
      <c r="Q5" s="165"/>
      <c r="R5" s="165"/>
      <c r="S5" s="165"/>
      <c r="T5" s="165"/>
      <c r="U5" s="165"/>
      <c r="V5" s="165"/>
      <c r="W5" s="166"/>
      <c r="X5" s="166"/>
      <c r="Y5" s="166"/>
      <c r="Z5" s="166"/>
      <c r="AA5" s="166"/>
      <c r="AB5" s="166"/>
      <c r="AC5" s="166"/>
      <c r="AD5" s="176"/>
      <c r="AE5" s="176"/>
      <c r="AF5" s="176"/>
      <c r="AG5" s="176"/>
      <c r="AH5" s="176"/>
      <c r="AI5" s="176"/>
      <c r="AJ5" s="176"/>
      <c r="AK5" s="178"/>
    </row>
    <row r="6" spans="1:37" x14ac:dyDescent="0.25">
      <c r="A6" s="162">
        <f>Data!A18</f>
        <v>44958</v>
      </c>
      <c r="B6" s="164"/>
      <c r="C6" s="164"/>
      <c r="D6" s="164"/>
      <c r="E6" s="164"/>
      <c r="F6" s="164"/>
      <c r="G6" s="164"/>
      <c r="H6" s="164"/>
      <c r="I6" s="171"/>
      <c r="J6" s="171"/>
      <c r="K6" s="171"/>
      <c r="L6" s="171"/>
      <c r="M6" s="171"/>
      <c r="N6" s="171"/>
      <c r="O6" s="171"/>
      <c r="P6" s="165"/>
      <c r="Q6" s="165"/>
      <c r="R6" s="165"/>
      <c r="S6" s="165"/>
      <c r="T6" s="165"/>
      <c r="U6" s="165"/>
      <c r="V6" s="165"/>
      <c r="W6" s="166"/>
      <c r="X6" s="166"/>
      <c r="Y6" s="166"/>
      <c r="Z6" s="166"/>
      <c r="AA6" s="166"/>
      <c r="AB6" s="166"/>
      <c r="AC6" s="166"/>
      <c r="AD6" s="176"/>
      <c r="AE6" s="176"/>
      <c r="AF6" s="176"/>
      <c r="AG6" s="176"/>
      <c r="AH6" s="176"/>
      <c r="AI6" s="176"/>
      <c r="AJ6" s="176"/>
      <c r="AK6" s="178"/>
    </row>
    <row r="7" spans="1:37" x14ac:dyDescent="0.25">
      <c r="A7" s="162">
        <f>Data!A19</f>
        <v>44986</v>
      </c>
      <c r="B7" s="164"/>
      <c r="C7" s="164"/>
      <c r="D7" s="164"/>
      <c r="E7" s="164"/>
      <c r="F7" s="164"/>
      <c r="G7" s="164"/>
      <c r="H7" s="164"/>
      <c r="I7" s="171"/>
      <c r="J7" s="171"/>
      <c r="K7" s="171"/>
      <c r="L7" s="171"/>
      <c r="M7" s="171"/>
      <c r="N7" s="171"/>
      <c r="O7" s="171"/>
      <c r="P7" s="165"/>
      <c r="Q7" s="165"/>
      <c r="R7" s="165"/>
      <c r="S7" s="165"/>
      <c r="T7" s="165"/>
      <c r="U7" s="165"/>
      <c r="V7" s="165"/>
      <c r="W7" s="166"/>
      <c r="X7" s="166"/>
      <c r="Y7" s="166"/>
      <c r="Z7" s="166"/>
      <c r="AA7" s="166"/>
      <c r="AB7" s="166"/>
      <c r="AC7" s="166"/>
      <c r="AD7" s="176"/>
      <c r="AE7" s="176"/>
      <c r="AF7" s="176"/>
      <c r="AG7" s="176"/>
      <c r="AH7" s="176"/>
      <c r="AI7" s="176"/>
      <c r="AJ7" s="176"/>
      <c r="AK7" s="178"/>
    </row>
    <row r="8" spans="1:37" x14ac:dyDescent="0.25">
      <c r="A8" s="162">
        <f>Data!A20</f>
        <v>45017</v>
      </c>
      <c r="B8" s="164"/>
      <c r="C8" s="164"/>
      <c r="D8" s="164"/>
      <c r="E8" s="164"/>
      <c r="F8" s="164"/>
      <c r="G8" s="164"/>
      <c r="H8" s="164"/>
      <c r="I8" s="171"/>
      <c r="J8" s="171"/>
      <c r="K8" s="171"/>
      <c r="L8" s="171"/>
      <c r="M8" s="171"/>
      <c r="N8" s="171"/>
      <c r="O8" s="171"/>
      <c r="P8" s="165"/>
      <c r="Q8" s="165"/>
      <c r="R8" s="165"/>
      <c r="S8" s="165"/>
      <c r="T8" s="165"/>
      <c r="U8" s="165"/>
      <c r="V8" s="165"/>
      <c r="W8" s="166"/>
      <c r="X8" s="166"/>
      <c r="Y8" s="166"/>
      <c r="Z8" s="166"/>
      <c r="AA8" s="166"/>
      <c r="AB8" s="166"/>
      <c r="AC8" s="166"/>
      <c r="AD8" s="176"/>
      <c r="AE8" s="176"/>
      <c r="AF8" s="176"/>
      <c r="AG8" s="176"/>
      <c r="AH8" s="176"/>
      <c r="AI8" s="176"/>
      <c r="AJ8" s="176"/>
      <c r="AK8" s="178"/>
    </row>
    <row r="9" spans="1:37" x14ac:dyDescent="0.25">
      <c r="A9" s="162">
        <f>Data!A21</f>
        <v>45047</v>
      </c>
      <c r="B9" s="164"/>
      <c r="C9" s="164"/>
      <c r="D9" s="164"/>
      <c r="E9" s="164"/>
      <c r="F9" s="164"/>
      <c r="G9" s="164"/>
      <c r="H9" s="164"/>
      <c r="I9" s="171"/>
      <c r="J9" s="171"/>
      <c r="K9" s="171"/>
      <c r="L9" s="171"/>
      <c r="M9" s="171"/>
      <c r="N9" s="171"/>
      <c r="O9" s="171"/>
      <c r="P9" s="165"/>
      <c r="Q9" s="165"/>
      <c r="R9" s="165"/>
      <c r="S9" s="165"/>
      <c r="T9" s="165"/>
      <c r="U9" s="165"/>
      <c r="V9" s="165"/>
      <c r="W9" s="166"/>
      <c r="X9" s="166"/>
      <c r="Y9" s="166"/>
      <c r="Z9" s="166"/>
      <c r="AA9" s="166"/>
      <c r="AB9" s="166"/>
      <c r="AC9" s="166"/>
      <c r="AD9" s="176"/>
      <c r="AE9" s="176"/>
      <c r="AF9" s="176"/>
      <c r="AG9" s="176"/>
      <c r="AH9" s="176"/>
      <c r="AI9" s="176"/>
      <c r="AJ9" s="176"/>
      <c r="AK9" s="178"/>
    </row>
    <row r="10" spans="1:37" x14ac:dyDescent="0.25">
      <c r="A10" s="162">
        <f>Data!A22</f>
        <v>45078</v>
      </c>
      <c r="B10" s="164"/>
      <c r="C10" s="164"/>
      <c r="D10" s="164"/>
      <c r="E10" s="164"/>
      <c r="F10" s="164"/>
      <c r="G10" s="164"/>
      <c r="H10" s="164"/>
      <c r="I10" s="171"/>
      <c r="J10" s="171"/>
      <c r="K10" s="171"/>
      <c r="L10" s="171"/>
      <c r="M10" s="171"/>
      <c r="N10" s="171"/>
      <c r="O10" s="171"/>
      <c r="P10" s="165"/>
      <c r="Q10" s="165"/>
      <c r="R10" s="165"/>
      <c r="S10" s="165"/>
      <c r="T10" s="165"/>
      <c r="U10" s="165"/>
      <c r="V10" s="165"/>
      <c r="W10" s="166"/>
      <c r="X10" s="166"/>
      <c r="Y10" s="166"/>
      <c r="Z10" s="166"/>
      <c r="AA10" s="166"/>
      <c r="AB10" s="166"/>
      <c r="AC10" s="166"/>
      <c r="AD10" s="176"/>
      <c r="AE10" s="176"/>
      <c r="AF10" s="176"/>
      <c r="AG10" s="176"/>
      <c r="AH10" s="176"/>
      <c r="AI10" s="176"/>
      <c r="AJ10" s="176"/>
      <c r="AK10" s="178"/>
    </row>
    <row r="11" spans="1:37" x14ac:dyDescent="0.25">
      <c r="A11" s="162">
        <f>Data!A23</f>
        <v>45108</v>
      </c>
      <c r="B11" s="164"/>
      <c r="C11" s="164"/>
      <c r="D11" s="164"/>
      <c r="E11" s="164"/>
      <c r="F11" s="164"/>
      <c r="G11" s="164"/>
      <c r="H11" s="164"/>
      <c r="I11" s="171"/>
      <c r="J11" s="171"/>
      <c r="K11" s="171"/>
      <c r="L11" s="171"/>
      <c r="M11" s="171"/>
      <c r="N11" s="171"/>
      <c r="O11" s="171"/>
      <c r="P11" s="165"/>
      <c r="Q11" s="165"/>
      <c r="R11" s="165"/>
      <c r="S11" s="165"/>
      <c r="T11" s="165"/>
      <c r="U11" s="165"/>
      <c r="V11" s="165"/>
      <c r="W11" s="166"/>
      <c r="X11" s="166"/>
      <c r="Y11" s="166"/>
      <c r="Z11" s="166"/>
      <c r="AA11" s="166"/>
      <c r="AB11" s="166"/>
      <c r="AC11" s="166"/>
      <c r="AD11" s="176"/>
      <c r="AE11" s="176"/>
      <c r="AF11" s="176"/>
      <c r="AG11" s="176"/>
      <c r="AH11" s="176"/>
      <c r="AI11" s="176"/>
      <c r="AJ11" s="176"/>
      <c r="AK11" s="178"/>
    </row>
    <row r="12" spans="1:37" x14ac:dyDescent="0.25">
      <c r="A12" s="162">
        <f>Data!A24</f>
        <v>45139</v>
      </c>
      <c r="B12" s="164"/>
      <c r="C12" s="164"/>
      <c r="D12" s="164"/>
      <c r="E12" s="164"/>
      <c r="F12" s="164"/>
      <c r="G12" s="164"/>
      <c r="H12" s="164"/>
      <c r="I12" s="171"/>
      <c r="J12" s="171"/>
      <c r="K12" s="171"/>
      <c r="L12" s="171"/>
      <c r="M12" s="171"/>
      <c r="N12" s="171"/>
      <c r="O12" s="171"/>
      <c r="P12" s="165"/>
      <c r="Q12" s="165"/>
      <c r="R12" s="165"/>
      <c r="S12" s="165"/>
      <c r="T12" s="165"/>
      <c r="U12" s="165"/>
      <c r="V12" s="165"/>
      <c r="W12" s="166"/>
      <c r="X12" s="166"/>
      <c r="Y12" s="166"/>
      <c r="Z12" s="166"/>
      <c r="AA12" s="166"/>
      <c r="AB12" s="166"/>
      <c r="AC12" s="166"/>
      <c r="AD12" s="176"/>
      <c r="AE12" s="176"/>
      <c r="AF12" s="176"/>
      <c r="AG12" s="176"/>
      <c r="AH12" s="176"/>
      <c r="AI12" s="176"/>
      <c r="AJ12" s="176"/>
      <c r="AK12" s="178"/>
    </row>
    <row r="13" spans="1:37" x14ac:dyDescent="0.25">
      <c r="A13" s="162">
        <f>Data!A25</f>
        <v>45170</v>
      </c>
      <c r="B13" s="164"/>
      <c r="C13" s="164"/>
      <c r="D13" s="164"/>
      <c r="E13" s="164"/>
      <c r="F13" s="164"/>
      <c r="G13" s="164"/>
      <c r="H13" s="164"/>
      <c r="I13" s="171"/>
      <c r="J13" s="171"/>
      <c r="K13" s="171"/>
      <c r="L13" s="171"/>
      <c r="M13" s="171"/>
      <c r="N13" s="171"/>
      <c r="O13" s="171"/>
      <c r="P13" s="165"/>
      <c r="Q13" s="165"/>
      <c r="R13" s="165"/>
      <c r="S13" s="165"/>
      <c r="T13" s="165"/>
      <c r="U13" s="165"/>
      <c r="V13" s="165"/>
      <c r="W13" s="166"/>
      <c r="X13" s="166"/>
      <c r="Y13" s="166"/>
      <c r="Z13" s="166"/>
      <c r="AA13" s="166"/>
      <c r="AB13" s="166"/>
      <c r="AC13" s="166"/>
      <c r="AD13" s="176"/>
      <c r="AE13" s="176"/>
      <c r="AF13" s="176"/>
      <c r="AG13" s="176"/>
      <c r="AH13" s="176"/>
      <c r="AI13" s="176"/>
      <c r="AJ13" s="176"/>
      <c r="AK13" s="178"/>
    </row>
    <row r="14" spans="1:37" x14ac:dyDescent="0.25">
      <c r="A14" s="162">
        <f>Data!A26</f>
        <v>45200</v>
      </c>
      <c r="B14" s="164"/>
      <c r="C14" s="164"/>
      <c r="D14" s="164"/>
      <c r="E14" s="164"/>
      <c r="F14" s="164"/>
      <c r="G14" s="164"/>
      <c r="H14" s="164"/>
      <c r="I14" s="171"/>
      <c r="J14" s="171"/>
      <c r="K14" s="171"/>
      <c r="L14" s="171"/>
      <c r="M14" s="171"/>
      <c r="N14" s="171"/>
      <c r="O14" s="171"/>
      <c r="P14" s="165"/>
      <c r="Q14" s="165"/>
      <c r="R14" s="165"/>
      <c r="S14" s="165"/>
      <c r="T14" s="165"/>
      <c r="U14" s="165"/>
      <c r="V14" s="165"/>
      <c r="W14" s="166"/>
      <c r="X14" s="166"/>
      <c r="Y14" s="166"/>
      <c r="Z14" s="166"/>
      <c r="AA14" s="166"/>
      <c r="AB14" s="166"/>
      <c r="AC14" s="166"/>
      <c r="AD14" s="176"/>
      <c r="AE14" s="176"/>
      <c r="AF14" s="176"/>
      <c r="AG14" s="176"/>
      <c r="AH14" s="176"/>
      <c r="AI14" s="176"/>
      <c r="AJ14" s="176"/>
      <c r="AK14" s="178"/>
    </row>
    <row r="15" spans="1:37" x14ac:dyDescent="0.25">
      <c r="A15" s="162">
        <f>Data!A27</f>
        <v>45231</v>
      </c>
      <c r="B15" s="164"/>
      <c r="C15" s="164"/>
      <c r="D15" s="164"/>
      <c r="E15" s="164"/>
      <c r="F15" s="164"/>
      <c r="G15" s="164"/>
      <c r="H15" s="164"/>
      <c r="I15" s="171"/>
      <c r="J15" s="171"/>
      <c r="K15" s="171"/>
      <c r="L15" s="171"/>
      <c r="M15" s="171"/>
      <c r="N15" s="171"/>
      <c r="O15" s="171"/>
      <c r="P15" s="165"/>
      <c r="Q15" s="165"/>
      <c r="R15" s="165"/>
      <c r="S15" s="165"/>
      <c r="T15" s="165"/>
      <c r="U15" s="165"/>
      <c r="V15" s="165"/>
      <c r="W15" s="166"/>
      <c r="X15" s="166"/>
      <c r="Y15" s="166"/>
      <c r="Z15" s="166"/>
      <c r="AA15" s="166"/>
      <c r="AB15" s="166"/>
      <c r="AC15" s="166"/>
      <c r="AD15" s="176"/>
      <c r="AE15" s="176"/>
      <c r="AF15" s="176"/>
      <c r="AG15" s="176"/>
      <c r="AH15" s="176"/>
      <c r="AI15" s="176"/>
      <c r="AJ15" s="176"/>
      <c r="AK15" s="178"/>
    </row>
    <row r="16" spans="1:37" x14ac:dyDescent="0.25">
      <c r="A16" s="162">
        <f>Data!A28</f>
        <v>0</v>
      </c>
      <c r="B16" s="164"/>
      <c r="C16" s="164"/>
      <c r="D16" s="164"/>
      <c r="E16" s="164"/>
      <c r="F16" s="164"/>
      <c r="G16" s="164"/>
      <c r="H16" s="164"/>
      <c r="I16" s="171"/>
      <c r="J16" s="171"/>
      <c r="K16" s="171"/>
      <c r="L16" s="171"/>
      <c r="M16" s="171"/>
      <c r="N16" s="171"/>
      <c r="O16" s="171"/>
      <c r="P16" s="165"/>
      <c r="Q16" s="165"/>
      <c r="R16" s="165"/>
      <c r="S16" s="165"/>
      <c r="T16" s="165"/>
      <c r="U16" s="165"/>
      <c r="V16" s="165"/>
      <c r="W16" s="166"/>
      <c r="X16" s="166"/>
      <c r="Y16" s="166"/>
      <c r="Z16" s="166"/>
      <c r="AA16" s="166"/>
      <c r="AB16" s="166"/>
      <c r="AC16" s="166"/>
      <c r="AD16" s="176"/>
      <c r="AE16" s="176"/>
      <c r="AF16" s="176"/>
      <c r="AG16" s="176"/>
      <c r="AH16" s="176"/>
      <c r="AI16" s="176"/>
      <c r="AJ16" s="176"/>
      <c r="AK16" s="178"/>
    </row>
    <row r="17" spans="1:37" x14ac:dyDescent="0.25">
      <c r="A17" s="162">
        <f>Data!A29</f>
        <v>0</v>
      </c>
      <c r="B17" s="164"/>
      <c r="C17" s="164"/>
      <c r="D17" s="164"/>
      <c r="E17" s="164"/>
      <c r="F17" s="164"/>
      <c r="G17" s="164"/>
      <c r="H17" s="164"/>
      <c r="I17" s="171"/>
      <c r="J17" s="171"/>
      <c r="K17" s="171"/>
      <c r="L17" s="171"/>
      <c r="M17" s="171"/>
      <c r="N17" s="171"/>
      <c r="O17" s="171"/>
      <c r="P17" s="165"/>
      <c r="Q17" s="165"/>
      <c r="R17" s="165"/>
      <c r="S17" s="165"/>
      <c r="T17" s="165"/>
      <c r="U17" s="165"/>
      <c r="V17" s="165"/>
      <c r="W17" s="166"/>
      <c r="X17" s="166"/>
      <c r="Y17" s="166"/>
      <c r="Z17" s="166"/>
      <c r="AA17" s="166"/>
      <c r="AB17" s="166"/>
      <c r="AC17" s="166"/>
      <c r="AD17" s="176"/>
      <c r="AE17" s="176"/>
      <c r="AF17" s="176"/>
      <c r="AG17" s="176"/>
      <c r="AH17" s="176"/>
      <c r="AI17" s="176"/>
      <c r="AJ17" s="176"/>
      <c r="AK17" s="178"/>
    </row>
    <row r="18" spans="1:37" x14ac:dyDescent="0.25">
      <c r="A18" s="162">
        <f>Data!A30</f>
        <v>0</v>
      </c>
      <c r="B18" s="164"/>
      <c r="C18" s="164"/>
      <c r="D18" s="164"/>
      <c r="E18" s="164"/>
      <c r="F18" s="164"/>
      <c r="G18" s="164"/>
      <c r="H18" s="164"/>
      <c r="I18" s="171"/>
      <c r="J18" s="171"/>
      <c r="K18" s="171"/>
      <c r="L18" s="171"/>
      <c r="M18" s="171"/>
      <c r="N18" s="171"/>
      <c r="O18" s="171"/>
      <c r="P18" s="165"/>
      <c r="Q18" s="165"/>
      <c r="R18" s="165"/>
      <c r="S18" s="165"/>
      <c r="T18" s="165"/>
      <c r="U18" s="165"/>
      <c r="V18" s="165"/>
      <c r="W18" s="166"/>
      <c r="X18" s="166"/>
      <c r="Y18" s="166"/>
      <c r="Z18" s="166"/>
      <c r="AA18" s="166"/>
      <c r="AB18" s="166"/>
      <c r="AC18" s="166"/>
      <c r="AD18" s="176"/>
      <c r="AE18" s="176"/>
      <c r="AF18" s="176"/>
      <c r="AG18" s="176"/>
      <c r="AH18" s="176"/>
      <c r="AI18" s="176"/>
      <c r="AJ18" s="176"/>
      <c r="AK18" s="17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B42E7-56AC-4FAC-BEA1-C3289EA700DB}">
  <dimension ref="A1:C5"/>
  <sheetViews>
    <sheetView workbookViewId="0">
      <selection activeCell="D11" sqref="D11"/>
    </sheetView>
  </sheetViews>
  <sheetFormatPr defaultRowHeight="15" x14ac:dyDescent="0.25"/>
  <cols>
    <col min="3" max="3" width="12.140625" style="119" customWidth="1"/>
  </cols>
  <sheetData>
    <row r="1" spans="1:3" ht="15.75" thickBot="1" x14ac:dyDescent="0.3">
      <c r="A1" s="113">
        <v>506061.85</v>
      </c>
      <c r="B1" s="114">
        <v>642983.18999999994</v>
      </c>
      <c r="C1" s="119">
        <f>(A1-B1)/B1</f>
        <v>-0.21294699788341276</v>
      </c>
    </row>
    <row r="2" spans="1:3" ht="15.75" thickBot="1" x14ac:dyDescent="0.3">
      <c r="A2" s="115">
        <v>594582.4</v>
      </c>
      <c r="B2" s="116">
        <v>627296.02</v>
      </c>
      <c r="C2" s="119">
        <f>(A2-B2)/B2</f>
        <v>-5.215021131490679E-2</v>
      </c>
    </row>
    <row r="3" spans="1:3" ht="15.75" thickBot="1" x14ac:dyDescent="0.3">
      <c r="A3" s="115">
        <v>90797.14</v>
      </c>
      <c r="B3" s="116">
        <v>123041.36</v>
      </c>
      <c r="C3" s="119">
        <f>(A3-B3)/B3</f>
        <v>-0.2620600097398143</v>
      </c>
    </row>
    <row r="4" spans="1:3" x14ac:dyDescent="0.25">
      <c r="A4" s="117">
        <v>222184.45</v>
      </c>
      <c r="B4" s="118">
        <v>241974.39999999999</v>
      </c>
      <c r="C4" s="119">
        <f>(A4-B4)/B4</f>
        <v>-8.1785304561143593E-2</v>
      </c>
    </row>
    <row r="5" spans="1:3" ht="15.75" thickBot="1" x14ac:dyDescent="0.3">
      <c r="A5" s="115">
        <v>102448.17</v>
      </c>
      <c r="B5" s="116">
        <v>109552.03</v>
      </c>
      <c r="C5" s="119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CC27"/>
  <sheetViews>
    <sheetView tabSelected="1" topLeftCell="A4" workbookViewId="0">
      <pane xSplit="1" topLeftCell="AI1" activePane="topRight" state="frozen"/>
      <selection pane="topRight" activeCell="AO17" sqref="AO17"/>
    </sheetView>
  </sheetViews>
  <sheetFormatPr defaultRowHeight="15" x14ac:dyDescent="0.25"/>
  <cols>
    <col min="1" max="1" width="23.85546875" style="13" customWidth="1"/>
    <col min="2" max="2" width="30.140625" style="21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22.28515625" customWidth="1"/>
    <col min="20" max="20" width="11.7109375" hidden="1" customWidth="1"/>
    <col min="21" max="21" width="18.5703125" style="6" customWidth="1"/>
    <col min="22" max="22" width="25" customWidth="1"/>
    <col min="23" max="23" width="10.8554687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18" customWidth="1"/>
    <col min="30" max="30" width="18" hidden="1" customWidth="1"/>
    <col min="31" max="31" width="12.42578125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26" customWidth="1"/>
    <col min="42" max="42" width="13.28515625" customWidth="1"/>
    <col min="43" max="43" width="29.5703125" customWidth="1"/>
    <col min="44" max="44" width="18.5703125" customWidth="1"/>
    <col min="45" max="45" width="13.140625" customWidth="1"/>
    <col min="46" max="46" width="10.85546875" hidden="1" customWidth="1"/>
    <col min="47" max="47" width="11" hidden="1" customWidth="1"/>
    <col min="48" max="49" width="18" hidden="1" customWidth="1"/>
    <col min="50" max="50" width="36.85546875" style="18" hidden="1" customWidth="1"/>
    <col min="51" max="51" width="20.5703125" style="8" customWidth="1"/>
    <col min="52" max="52" width="18.7109375" customWidth="1"/>
    <col min="53" max="53" width="14.7109375" customWidth="1"/>
    <col min="54" max="54" width="16.140625" customWidth="1"/>
    <col min="55" max="56" width="11.42578125" customWidth="1"/>
    <col min="57" max="57" width="20.42578125" customWidth="1"/>
    <col min="58" max="58" width="21.42578125" customWidth="1"/>
    <col min="59" max="59" width="14.5703125" customWidth="1"/>
    <col min="60" max="60" width="13.85546875" customWidth="1"/>
    <col min="61" max="61" width="20.140625" customWidth="1"/>
    <col min="62" max="62" width="12.5703125" customWidth="1"/>
    <col min="63" max="63" width="29.42578125" customWidth="1"/>
    <col min="64" max="64" width="18.28515625" customWidth="1"/>
    <col min="65" max="65" width="17.42578125" customWidth="1"/>
    <col min="66" max="66" width="18.28515625" customWidth="1"/>
    <col min="67" max="67" width="50.85546875" customWidth="1"/>
    <col min="68" max="68" width="24.5703125" customWidth="1"/>
    <col min="69" max="69" width="16.85546875" customWidth="1"/>
    <col min="70" max="70" width="16.140625" customWidth="1"/>
    <col min="71" max="72" width="26.85546875" hidden="1" customWidth="1"/>
    <col min="73" max="73" width="27.85546875" customWidth="1"/>
    <col min="74" max="74" width="24.42578125" customWidth="1"/>
    <col min="75" max="75" width="23.140625" style="14" customWidth="1"/>
    <col min="76" max="76" width="12.85546875" style="14" customWidth="1"/>
    <col min="77" max="77" width="3.140625" style="14" hidden="1" customWidth="1"/>
    <col min="78" max="78" width="18.42578125" style="6" customWidth="1"/>
    <col min="79" max="79" width="15.5703125" style="6" customWidth="1"/>
    <col min="80" max="81" width="12.42578125" customWidth="1"/>
    <col min="82" max="82" width="23.42578125" customWidth="1"/>
    <col min="83" max="84" width="12.42578125" customWidth="1"/>
    <col min="85" max="85" width="17.7109375" customWidth="1"/>
  </cols>
  <sheetData>
    <row r="1" spans="1:81" x14ac:dyDescent="0.25">
      <c r="A1" s="20" t="s">
        <v>21</v>
      </c>
      <c r="B1" s="22" t="s">
        <v>113</v>
      </c>
      <c r="C1" s="22" t="s">
        <v>112</v>
      </c>
      <c r="D1" s="22" t="s">
        <v>114</v>
      </c>
      <c r="E1" s="22" t="s">
        <v>115</v>
      </c>
      <c r="F1" s="22" t="s">
        <v>116</v>
      </c>
      <c r="G1" s="22" t="s">
        <v>176</v>
      </c>
      <c r="H1" s="22" t="s">
        <v>180</v>
      </c>
      <c r="I1" s="22" t="s">
        <v>117</v>
      </c>
      <c r="J1" s="22" t="s">
        <v>182</v>
      </c>
      <c r="K1" s="23" t="s">
        <v>118</v>
      </c>
      <c r="L1" s="24" t="s">
        <v>119</v>
      </c>
      <c r="M1" s="24" t="s">
        <v>120</v>
      </c>
      <c r="N1" s="24" t="s">
        <v>121</v>
      </c>
      <c r="O1" s="24" t="s">
        <v>122</v>
      </c>
      <c r="P1" s="24" t="s">
        <v>123</v>
      </c>
      <c r="Q1" s="24" t="s">
        <v>174</v>
      </c>
      <c r="R1" s="24" t="s">
        <v>173</v>
      </c>
      <c r="S1" s="24" t="s">
        <v>124</v>
      </c>
      <c r="T1" s="24" t="s">
        <v>183</v>
      </c>
      <c r="U1" s="25" t="s">
        <v>148</v>
      </c>
      <c r="V1" s="26" t="s">
        <v>125</v>
      </c>
      <c r="W1" s="26" t="s">
        <v>126</v>
      </c>
      <c r="X1" s="26" t="s">
        <v>149</v>
      </c>
      <c r="Y1" s="26" t="s">
        <v>127</v>
      </c>
      <c r="Z1" s="26" t="s">
        <v>128</v>
      </c>
      <c r="AA1" s="26" t="s">
        <v>181</v>
      </c>
      <c r="AB1" s="26" t="s">
        <v>175</v>
      </c>
      <c r="AC1" s="26" t="s">
        <v>129</v>
      </c>
      <c r="AD1" s="26" t="s">
        <v>184</v>
      </c>
      <c r="AE1" s="27" t="s">
        <v>130</v>
      </c>
      <c r="AF1" s="168" t="s">
        <v>131</v>
      </c>
      <c r="AG1" s="168" t="s">
        <v>132</v>
      </c>
      <c r="AH1" s="168" t="s">
        <v>133</v>
      </c>
      <c r="AI1" s="168" t="s">
        <v>135</v>
      </c>
      <c r="AJ1" s="168" t="s">
        <v>134</v>
      </c>
      <c r="AK1" s="168" t="s">
        <v>179</v>
      </c>
      <c r="AL1" s="168" t="s">
        <v>143</v>
      </c>
      <c r="AM1" s="168" t="s">
        <v>185</v>
      </c>
      <c r="AN1" s="169" t="s">
        <v>136</v>
      </c>
      <c r="AO1" s="169" t="s">
        <v>188</v>
      </c>
      <c r="AP1" s="174" t="s">
        <v>150</v>
      </c>
      <c r="AQ1" s="174" t="s">
        <v>137</v>
      </c>
      <c r="AR1" s="174" t="s">
        <v>138</v>
      </c>
      <c r="AS1" s="174" t="s">
        <v>139</v>
      </c>
      <c r="AT1" s="174" t="s">
        <v>140</v>
      </c>
      <c r="AU1" s="174" t="s">
        <v>178</v>
      </c>
      <c r="AV1" s="174" t="s">
        <v>177</v>
      </c>
      <c r="AW1" s="174" t="s">
        <v>141</v>
      </c>
      <c r="AX1" s="174" t="s">
        <v>186</v>
      </c>
      <c r="AY1" s="175" t="s">
        <v>142</v>
      </c>
      <c r="AZ1" s="30" t="s">
        <v>96</v>
      </c>
      <c r="BA1" s="30" t="s">
        <v>97</v>
      </c>
      <c r="BB1" s="30" t="s">
        <v>98</v>
      </c>
      <c r="BC1" s="30" t="s">
        <v>99</v>
      </c>
      <c r="BD1" s="30" t="s">
        <v>100</v>
      </c>
      <c r="BE1" s="30" t="s">
        <v>189</v>
      </c>
      <c r="BF1" s="30" t="s">
        <v>101</v>
      </c>
      <c r="BG1" s="30" t="s">
        <v>102</v>
      </c>
      <c r="BH1" s="30" t="s">
        <v>103</v>
      </c>
      <c r="BI1" s="30" t="s">
        <v>104</v>
      </c>
      <c r="BJ1" s="30" t="s">
        <v>105</v>
      </c>
      <c r="BK1" s="30" t="s">
        <v>106</v>
      </c>
      <c r="BL1" s="15" t="s">
        <v>107</v>
      </c>
      <c r="BM1" s="15" t="s">
        <v>108</v>
      </c>
      <c r="BN1" s="15" t="s">
        <v>109</v>
      </c>
      <c r="BO1" s="15" t="s">
        <v>110</v>
      </c>
      <c r="BP1" s="15" t="s">
        <v>111</v>
      </c>
      <c r="BQ1" s="15"/>
      <c r="BR1" s="23" t="s">
        <v>145</v>
      </c>
      <c r="BS1" s="23" t="s">
        <v>161</v>
      </c>
      <c r="BT1" s="23"/>
      <c r="BU1" s="23"/>
      <c r="BV1" s="25" t="s">
        <v>172</v>
      </c>
      <c r="BW1" s="25" t="s">
        <v>162</v>
      </c>
      <c r="BX1" s="27" t="s">
        <v>144</v>
      </c>
      <c r="BY1" s="27" t="s">
        <v>163</v>
      </c>
      <c r="BZ1" s="29" t="s">
        <v>147</v>
      </c>
      <c r="CA1" s="29" t="s">
        <v>164</v>
      </c>
      <c r="CB1" s="29" t="s">
        <v>165</v>
      </c>
      <c r="CC1" s="28" t="s">
        <v>146</v>
      </c>
    </row>
    <row r="2" spans="1:81" x14ac:dyDescent="0.25">
      <c r="A2" s="13">
        <v>44470</v>
      </c>
      <c r="B2" s="31">
        <v>15875.7</v>
      </c>
      <c r="C2" s="31" t="e">
        <f>(Table1[[#This Row],[Verg_Energy_(kWh)]]/696.6)/(D2)</f>
        <v>#DIV/0!</v>
      </c>
      <c r="D2" s="31">
        <v>0</v>
      </c>
      <c r="E2" s="31">
        <v>15.83</v>
      </c>
      <c r="F2" s="22">
        <f>106909*3/31</f>
        <v>10346.032258064517</v>
      </c>
      <c r="G2" s="22"/>
      <c r="H2" s="22"/>
      <c r="I2" s="31">
        <v>0</v>
      </c>
      <c r="J2" s="32">
        <v>0</v>
      </c>
      <c r="K2" s="32">
        <v>0</v>
      </c>
      <c r="L2" s="33">
        <v>4349.6000000000004</v>
      </c>
      <c r="M2" s="33" t="e">
        <f>(Table1[[#This Row],[Mid_(kWh)2]]/227.9)/(Table1[[#This Row],[Mid_Irradiated_(kWh/m²)]])</f>
        <v>#DIV/0!</v>
      </c>
      <c r="N2" s="33">
        <v>0</v>
      </c>
      <c r="O2" s="33">
        <v>100</v>
      </c>
      <c r="P2" s="33">
        <f>35710*(4/31)</f>
        <v>4607.7419354838712</v>
      </c>
      <c r="Q2" s="33">
        <v>0</v>
      </c>
      <c r="R2" s="33">
        <v>0</v>
      </c>
      <c r="S2" s="33">
        <v>0</v>
      </c>
      <c r="T2" s="34">
        <v>0</v>
      </c>
      <c r="U2" s="34">
        <v>0</v>
      </c>
      <c r="V2" s="35">
        <v>0</v>
      </c>
      <c r="W2" s="35" t="e">
        <f>(Table1[[#This Row],[Dur_Energy_produced_(kWh)]]/705.6)/X2</f>
        <v>#DIV/0!</v>
      </c>
      <c r="X2" s="35">
        <v>0</v>
      </c>
      <c r="Y2" s="35">
        <v>-0.01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167">
        <v>0</v>
      </c>
      <c r="AG2" s="167">
        <v>0</v>
      </c>
      <c r="AH2" s="167">
        <v>0</v>
      </c>
      <c r="AI2" s="167">
        <v>0</v>
      </c>
      <c r="AJ2" s="167">
        <v>0</v>
      </c>
      <c r="AK2" s="167"/>
      <c r="AL2" s="167">
        <v>0</v>
      </c>
      <c r="AM2" s="170">
        <v>0</v>
      </c>
      <c r="AN2" s="170">
        <v>0</v>
      </c>
      <c r="AO2" s="170"/>
      <c r="AP2" s="172">
        <v>0</v>
      </c>
      <c r="AQ2" s="172">
        <v>0</v>
      </c>
      <c r="AR2" s="172">
        <v>0</v>
      </c>
      <c r="AS2" s="172">
        <v>0</v>
      </c>
      <c r="AT2" s="172">
        <v>0</v>
      </c>
      <c r="AU2" s="172">
        <v>0</v>
      </c>
      <c r="AV2" s="172"/>
      <c r="AW2" s="172">
        <v>0</v>
      </c>
      <c r="AX2" s="172">
        <v>0</v>
      </c>
      <c r="AY2" s="173">
        <v>0</v>
      </c>
      <c r="AZ2" s="39">
        <v>0.67410000000000003</v>
      </c>
      <c r="BA2" s="39">
        <v>0.65890000000000004</v>
      </c>
      <c r="BB2" s="39">
        <v>0.61480000000000001</v>
      </c>
      <c r="BC2" s="39">
        <v>0.60660000000000003</v>
      </c>
      <c r="BD2" s="39">
        <v>0.7944</v>
      </c>
      <c r="BE2" s="39">
        <v>0.79339999999999999</v>
      </c>
      <c r="BF2" s="30">
        <f t="shared" ref="BF2:BF10" si="0">0.15</f>
        <v>0.15</v>
      </c>
      <c r="BG2" s="30">
        <f>Table1[[#This Row],[Mid_ZAR/kWh]]*Table1[[#This Row],[Mid_(kWh)2]]*(1+0.15)</f>
        <v>3371.8751640000005</v>
      </c>
      <c r="BH2" s="30">
        <f>Table1[[#This Row],[HIG_ZAR/kWh]]*Table1[[#This Row],[Hig_Energy_produced_(kWh)2]]*(1+0.15)</f>
        <v>0</v>
      </c>
      <c r="BI2" s="30">
        <f>Table1[[#This Row],[VER_ZAR/kWh]]*Table1[[#This Row],[Verg_Energy_(kWh)]]*(1+0.15)</f>
        <v>11224.437414</v>
      </c>
      <c r="BJ2" s="30">
        <f>Table1[[#This Row],[DUR_ZAR/kWh]]*Table1[[#This Row],[Dur_Energy_produced_(kWh)]]*(1+0.15)</f>
        <v>0</v>
      </c>
      <c r="BK2" s="30">
        <f>Table1[[#This Row],[HER_ZAR/kWh2]]*Table1[[#This Row],[Her_Energy_produced_(kWh)]]*(1+0.15)</f>
        <v>0</v>
      </c>
      <c r="BL2" s="17">
        <f>Table1[[#This Row],[Mid_ZAR/kWh]]*Table1[[#This Row],[Mid_P50_(kWh)]]*(1+0.15)</f>
        <v>3571.9906645161291</v>
      </c>
      <c r="BM2" s="17">
        <f>Table1[[#This Row],[HIG_ZAR/kWh]]*Table1[[#This Row],[Hig_P50_(kWh)]]*(1+0.15)</f>
        <v>0</v>
      </c>
      <c r="BN2" s="17">
        <f>Table1[[#This Row],[VER_ZAR/kWh]]*Table1[[#This Row],[Verg_P50_(kWh)]]*(1+0.15)</f>
        <v>7314.851727096775</v>
      </c>
      <c r="BO2" s="17">
        <f>Table1[[#This Row],[DUR_ZAR/kWh]]*Table1[[#This Row],[Dur_P50_(kWh)]]*(1+0.15)</f>
        <v>0</v>
      </c>
      <c r="BP2" s="17">
        <f>Table1[[#This Row],[HER_ZAR/kWh2]]*Table1[[#This Row],[Her_P50_(kWh)]]*(1+0.15)</f>
        <v>0</v>
      </c>
      <c r="BQ2" s="17"/>
      <c r="BR2" s="23">
        <f>95*(3/31)</f>
        <v>9.193548387096774</v>
      </c>
      <c r="BS2" s="32">
        <f>Table1[[#This Row],[Verg_P50_(kWh)]]</f>
        <v>10346.032258064517</v>
      </c>
      <c r="BT2" s="32">
        <v>0</v>
      </c>
      <c r="BU2" s="32"/>
      <c r="BV2" s="34">
        <f>95*(4/31)</f>
        <v>12.258064516129032</v>
      </c>
      <c r="BW2" s="34">
        <f>Table1[[#This Row],[Mid_P50_(kWh)]]</f>
        <v>4607.7419354838712</v>
      </c>
      <c r="BX2" s="36">
        <v>0</v>
      </c>
      <c r="BY2" s="36">
        <f>Table1[[#This Row],[Dur_P50_(kWh)]]</f>
        <v>0</v>
      </c>
      <c r="BZ2" s="38">
        <v>0</v>
      </c>
      <c r="CA2" s="38">
        <v>0</v>
      </c>
      <c r="CB2" s="38">
        <v>0</v>
      </c>
      <c r="CC2" s="38">
        <v>0</v>
      </c>
    </row>
    <row r="3" spans="1:81" x14ac:dyDescent="0.25">
      <c r="A3" s="13">
        <v>44501</v>
      </c>
      <c r="B3" s="31">
        <v>114666.79999999999</v>
      </c>
      <c r="C3" s="31">
        <f>(Table1[[#This Row],[Verg_Energy_(kWh)]]/696.6)/(D3)</f>
        <v>0.79561347200438159</v>
      </c>
      <c r="D3" s="31">
        <v>206.89599999999999</v>
      </c>
      <c r="E3" s="31">
        <v>92.2</v>
      </c>
      <c r="F3" s="31">
        <v>124191.3</v>
      </c>
      <c r="G3" s="31"/>
      <c r="H3" s="31"/>
      <c r="I3" s="31">
        <v>0</v>
      </c>
      <c r="J3" s="32">
        <v>0</v>
      </c>
      <c r="K3" s="32">
        <v>0</v>
      </c>
      <c r="L3" s="33">
        <v>18453.8</v>
      </c>
      <c r="M3" s="33">
        <f>(Table1[[#This Row],[Mid_(kWh)2]]/227.9)/(Table1[[#This Row],[Mid_Irradiated_(kWh/m²)]])</f>
        <v>0.41257513578466831</v>
      </c>
      <c r="N3" s="33">
        <v>196.26300000000001</v>
      </c>
      <c r="O3" s="33">
        <v>100</v>
      </c>
      <c r="P3" s="33">
        <v>35427.199999999997</v>
      </c>
      <c r="Q3" s="33">
        <v>0</v>
      </c>
      <c r="R3" s="33">
        <v>0</v>
      </c>
      <c r="S3" s="33">
        <v>0</v>
      </c>
      <c r="T3" s="34">
        <v>0</v>
      </c>
      <c r="U3" s="34">
        <v>0</v>
      </c>
      <c r="V3" s="35">
        <v>67694.7</v>
      </c>
      <c r="W3" s="35" t="e">
        <f>(Table1[[#This Row],[Dur_Energy_produced_(kWh)]]/705.6)/X3</f>
        <v>#DIV/0!</v>
      </c>
      <c r="X3" s="35">
        <v>0</v>
      </c>
      <c r="Y3" s="35">
        <v>68.81</v>
      </c>
      <c r="Z3" s="35">
        <f>122450*(20/30)</f>
        <v>81633.333333333328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167">
        <v>0</v>
      </c>
      <c r="AG3" s="167">
        <v>0</v>
      </c>
      <c r="AH3" s="167">
        <v>0</v>
      </c>
      <c r="AI3" s="167">
        <v>0</v>
      </c>
      <c r="AJ3" s="167">
        <v>0</v>
      </c>
      <c r="AK3" s="167"/>
      <c r="AL3" s="167">
        <v>0</v>
      </c>
      <c r="AM3" s="170">
        <v>0</v>
      </c>
      <c r="AN3" s="170">
        <v>0</v>
      </c>
      <c r="AO3" s="170"/>
      <c r="AP3" s="172">
        <v>0</v>
      </c>
      <c r="AQ3" s="172">
        <v>0</v>
      </c>
      <c r="AR3" s="172">
        <v>0</v>
      </c>
      <c r="AS3" s="172">
        <v>0</v>
      </c>
      <c r="AT3" s="172">
        <v>0</v>
      </c>
      <c r="AU3" s="172">
        <v>0</v>
      </c>
      <c r="AV3" s="172"/>
      <c r="AW3" s="172">
        <v>0</v>
      </c>
      <c r="AX3" s="172">
        <v>0</v>
      </c>
      <c r="AY3" s="173">
        <v>0</v>
      </c>
      <c r="AZ3" s="39">
        <v>0.67410000000000003</v>
      </c>
      <c r="BA3" s="39">
        <v>0.65890000000000004</v>
      </c>
      <c r="BB3" s="39">
        <v>0.61480000000000001</v>
      </c>
      <c r="BC3" s="39">
        <v>0.60660000000000003</v>
      </c>
      <c r="BD3" s="39">
        <v>0.7944</v>
      </c>
      <c r="BE3" s="39">
        <v>0.79339999999999999</v>
      </c>
      <c r="BF3" s="30">
        <f t="shared" si="0"/>
        <v>0.15</v>
      </c>
      <c r="BG3" s="30">
        <f>Table1[[#This Row],[Mid_ZAR/kWh]]*Table1[[#This Row],[Mid_(kWh)2]]*(1+0.15)</f>
        <v>14305.662566999999</v>
      </c>
      <c r="BH3" s="30">
        <f>Table1[[#This Row],[HIG_ZAR/kWh]]*Table1[[#This Row],[Hig_Energy_produced_(kWh)2]]*(1+0.15)</f>
        <v>0</v>
      </c>
      <c r="BI3" s="30">
        <f>Table1[[#This Row],[VER_ZAR/kWh]]*Table1[[#This Row],[Verg_Energy_(kWh)]]*(1+0.15)</f>
        <v>81071.720935999998</v>
      </c>
      <c r="BJ3" s="30">
        <f>Table1[[#This Row],[DUR_ZAR/kWh]]*Table1[[#This Row],[Dur_Energy_produced_(kWh)]]*(1+0.15)</f>
        <v>47223.145772999997</v>
      </c>
      <c r="BK3" s="30">
        <f>Table1[[#This Row],[HER_ZAR/kWh2]]*Table1[[#This Row],[Her_Energy_produced_(kWh)]]*(1+0.15)</f>
        <v>0</v>
      </c>
      <c r="BL3" s="17">
        <f>Table1[[#This Row],[Mid_ZAR/kWh]]*Table1[[#This Row],[Mid_P50_(kWh)]]*(1+0.15)</f>
        <v>27463.696848</v>
      </c>
      <c r="BM3" s="17">
        <f>Table1[[#This Row],[HIG_ZAR/kWh]]*Table1[[#This Row],[Hig_P50_(kWh)]]*(1+0.15)</f>
        <v>0</v>
      </c>
      <c r="BN3" s="17">
        <f>Table1[[#This Row],[VER_ZAR/kWh]]*Table1[[#This Row],[Verg_P50_(kWh)]]*(1+0.15)</f>
        <v>87805.732926000012</v>
      </c>
      <c r="BO3" s="17">
        <f>Table1[[#This Row],[DUR_ZAR/kWh]]*Table1[[#This Row],[Dur_P50_(kWh)]]*(1+0.15)</f>
        <v>56946.596999999994</v>
      </c>
      <c r="BP3" s="17">
        <f>Table1[[#This Row],[HER_ZAR/kWh2]]*Table1[[#This Row],[Her_P50_(kWh)]]*(1+0.15)</f>
        <v>0</v>
      </c>
      <c r="BQ3" s="17"/>
      <c r="BR3" s="32">
        <v>95</v>
      </c>
      <c r="BS3" s="32">
        <f>Table1[[#This Row],[Verg_P50_(kWh)]]</f>
        <v>124191.3</v>
      </c>
      <c r="BT3" s="32">
        <v>0</v>
      </c>
      <c r="BU3" s="32"/>
      <c r="BV3" s="34">
        <v>95</v>
      </c>
      <c r="BW3" s="34">
        <f>Table1[[#This Row],[Mid_P50_(kWh)]]</f>
        <v>35427.199999999997</v>
      </c>
      <c r="BX3" s="27">
        <f>95*(20/30)</f>
        <v>63.333333333333329</v>
      </c>
      <c r="BY3" s="36">
        <f>Table1[[#This Row],[Dur_P50_(kWh)]]</f>
        <v>81633.333333333328</v>
      </c>
      <c r="BZ3" s="36">
        <f>Table1[[#This Row],[unavailability days3]]</f>
        <v>0</v>
      </c>
      <c r="CA3" s="38">
        <v>0</v>
      </c>
      <c r="CB3" s="38">
        <v>0</v>
      </c>
      <c r="CC3" s="38">
        <v>0</v>
      </c>
    </row>
    <row r="4" spans="1:81" x14ac:dyDescent="0.25">
      <c r="A4" s="13">
        <v>44531</v>
      </c>
      <c r="B4" s="31">
        <v>126249.60000000002</v>
      </c>
      <c r="C4" s="31">
        <f>(Table1[[#This Row],[Verg_Energy_(kWh)]]/696.6)/(D4)</f>
        <v>0.81427689115417123</v>
      </c>
      <c r="D4" s="31">
        <v>222.57400000000001</v>
      </c>
      <c r="E4" s="31">
        <v>100</v>
      </c>
      <c r="F4" s="31">
        <v>135649</v>
      </c>
      <c r="G4" s="31"/>
      <c r="H4" s="31"/>
      <c r="I4" s="31">
        <v>0</v>
      </c>
      <c r="J4" s="32">
        <v>0</v>
      </c>
      <c r="K4" s="32">
        <v>0</v>
      </c>
      <c r="L4" s="33">
        <v>48330.803</v>
      </c>
      <c r="M4" s="33">
        <f>(Table1[[#This Row],[Mid_(kWh)2]]/227.9)/(Table1[[#This Row],[Mid_Irradiated_(kWh/m²)]])</f>
        <v>1.1542367110490892</v>
      </c>
      <c r="N4" s="33">
        <v>183.732</v>
      </c>
      <c r="O4" s="33">
        <v>100</v>
      </c>
      <c r="P4" s="33">
        <v>37840</v>
      </c>
      <c r="Q4" s="33">
        <v>0</v>
      </c>
      <c r="R4" s="33">
        <v>0</v>
      </c>
      <c r="S4" s="33">
        <v>0</v>
      </c>
      <c r="T4" s="34">
        <v>0</v>
      </c>
      <c r="U4" s="34">
        <v>0</v>
      </c>
      <c r="V4" s="35">
        <v>94632.700000000026</v>
      </c>
      <c r="W4" s="35">
        <f>(Table1[[#This Row],[Dur_Energy_produced_(kWh)]]/705.6)/X4</f>
        <v>0.56795632369915816</v>
      </c>
      <c r="X4" s="35">
        <v>236.13900000000001</v>
      </c>
      <c r="Y4" s="35">
        <v>100</v>
      </c>
      <c r="Z4" s="35">
        <v>130720.8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167">
        <v>0</v>
      </c>
      <c r="AG4" s="167">
        <v>0</v>
      </c>
      <c r="AH4" s="167">
        <v>0</v>
      </c>
      <c r="AI4" s="167">
        <v>0</v>
      </c>
      <c r="AJ4" s="167">
        <v>0</v>
      </c>
      <c r="AK4" s="167"/>
      <c r="AL4" s="167">
        <v>0</v>
      </c>
      <c r="AM4" s="170">
        <v>0</v>
      </c>
      <c r="AN4" s="170">
        <v>0</v>
      </c>
      <c r="AO4" s="170"/>
      <c r="AP4" s="172">
        <v>0</v>
      </c>
      <c r="AQ4" s="172">
        <v>0</v>
      </c>
      <c r="AR4" s="172">
        <v>0</v>
      </c>
      <c r="AS4" s="172">
        <v>0</v>
      </c>
      <c r="AT4" s="172">
        <v>0</v>
      </c>
      <c r="AU4" s="172">
        <v>0</v>
      </c>
      <c r="AV4" s="172"/>
      <c r="AW4" s="172">
        <v>0</v>
      </c>
      <c r="AX4" s="172">
        <v>0</v>
      </c>
      <c r="AY4" s="173">
        <v>0</v>
      </c>
      <c r="AZ4" s="39">
        <v>0.67410000000000003</v>
      </c>
      <c r="BA4" s="39">
        <v>0.65890000000000004</v>
      </c>
      <c r="BB4" s="39">
        <v>0.61480000000000001</v>
      </c>
      <c r="BC4" s="39">
        <v>0.60660000000000003</v>
      </c>
      <c r="BD4" s="39">
        <v>0.7944</v>
      </c>
      <c r="BE4" s="39">
        <v>0.79339999999999999</v>
      </c>
      <c r="BF4" s="30">
        <f t="shared" si="0"/>
        <v>0.15</v>
      </c>
      <c r="BG4" s="30">
        <f>Table1[[#This Row],[Mid_ZAR/kWh]]*Table1[[#This Row],[Mid_(kWh)2]]*(1+0.15)</f>
        <v>37466.763447644997</v>
      </c>
      <c r="BH4" s="30">
        <f>Table1[[#This Row],[HIG_ZAR/kWh]]*Table1[[#This Row],[Hig_Energy_produced_(kWh)2]]*(1+0.15)</f>
        <v>0</v>
      </c>
      <c r="BI4" s="30">
        <f>Table1[[#This Row],[VER_ZAR/kWh]]*Table1[[#This Row],[Verg_Energy_(kWh)]]*(1+0.15)</f>
        <v>89260.992192000005</v>
      </c>
      <c r="BJ4" s="30">
        <f>Table1[[#This Row],[DUR_ZAR/kWh]]*Table1[[#This Row],[Dur_Energy_produced_(kWh)]]*(1+0.15)</f>
        <v>66014.825193000011</v>
      </c>
      <c r="BK4" s="30">
        <f>Table1[[#This Row],[HER_ZAR/kWh2]]*Table1[[#This Row],[Her_Energy_produced_(kWh)]]*(1+0.15)</f>
        <v>0</v>
      </c>
      <c r="BL4" s="17">
        <f>Table1[[#This Row],[Mid_ZAR/kWh]]*Table1[[#This Row],[Mid_P50_(kWh)]]*(1+0.15)</f>
        <v>29334.135599999998</v>
      </c>
      <c r="BM4" s="17">
        <f>Table1[[#This Row],[HIG_ZAR/kWh]]*Table1[[#This Row],[Hig_P50_(kWh)]]*(1+0.15)</f>
        <v>0</v>
      </c>
      <c r="BN4" s="17">
        <f>Table1[[#This Row],[VER_ZAR/kWh]]*Table1[[#This Row],[Verg_P50_(kWh)]]*(1+0.15)</f>
        <v>95906.55597999999</v>
      </c>
      <c r="BO4" s="17">
        <f>Table1[[#This Row],[DUR_ZAR/kWh]]*Table1[[#This Row],[Dur_P50_(kWh)]]*(1+0.15)</f>
        <v>91189.522872000001</v>
      </c>
      <c r="BP4" s="17">
        <f>Table1[[#This Row],[HER_ZAR/kWh2]]*Table1[[#This Row],[Her_P50_(kWh)]]*(1+0.15)</f>
        <v>0</v>
      </c>
      <c r="BQ4" s="17"/>
      <c r="BR4" s="32">
        <v>95</v>
      </c>
      <c r="BS4" s="32">
        <f>Table1[[#This Row],[Verg_P50_(kWh)]]</f>
        <v>135649</v>
      </c>
      <c r="BT4" s="32">
        <v>0</v>
      </c>
      <c r="BU4" s="32"/>
      <c r="BV4" s="34">
        <v>95</v>
      </c>
      <c r="BW4" s="34">
        <f>Table1[[#This Row],[Mid_P50_(kWh)]]</f>
        <v>37840</v>
      </c>
      <c r="BX4" s="36">
        <v>95</v>
      </c>
      <c r="BY4" s="36">
        <f>Table1[[#This Row],[Dur_P50_(kWh)]]</f>
        <v>130720.8</v>
      </c>
      <c r="BZ4" s="38">
        <v>0</v>
      </c>
      <c r="CA4" s="38">
        <v>0</v>
      </c>
      <c r="CB4" s="38">
        <v>0</v>
      </c>
      <c r="CC4" s="38">
        <v>0</v>
      </c>
    </row>
    <row r="5" spans="1:81" x14ac:dyDescent="0.25">
      <c r="A5" s="13">
        <v>44562</v>
      </c>
      <c r="B5" s="31">
        <v>127624.6</v>
      </c>
      <c r="C5" s="31">
        <f>(Table1[[#This Row],[Verg_Energy_(kWh)]]/696.6)/(D5)</f>
        <v>0.74243220584936076</v>
      </c>
      <c r="D5" s="31">
        <v>246.77099999999999</v>
      </c>
      <c r="E5" s="31">
        <v>98.83</v>
      </c>
      <c r="F5" s="31">
        <v>134331.04</v>
      </c>
      <c r="G5" s="31"/>
      <c r="H5" s="31"/>
      <c r="I5" s="31">
        <v>0</v>
      </c>
      <c r="J5" s="32">
        <v>0</v>
      </c>
      <c r="K5" s="32">
        <v>0</v>
      </c>
      <c r="L5" s="33">
        <v>34169.195000000007</v>
      </c>
      <c r="M5" s="33">
        <f>(Table1[[#This Row],[Mid_(kWh)2]]/227.9)/(Table1[[#This Row],[Mid_Irradiated_(kWh/m²)]])</f>
        <v>0.82177645786247477</v>
      </c>
      <c r="N5" s="33">
        <v>182.447</v>
      </c>
      <c r="O5" s="33">
        <v>0</v>
      </c>
      <c r="P5" s="33">
        <v>36357.19</v>
      </c>
      <c r="Q5" s="33">
        <v>0</v>
      </c>
      <c r="R5" s="33">
        <v>0</v>
      </c>
      <c r="S5" s="33">
        <v>0</v>
      </c>
      <c r="T5" s="34">
        <v>0</v>
      </c>
      <c r="U5" s="34">
        <v>0</v>
      </c>
      <c r="V5" s="35">
        <v>100806.39999999998</v>
      </c>
      <c r="W5" s="35">
        <f>(Table1[[#This Row],[Dur_Energy_produced_(kWh)]]/705.6)/X5</f>
        <v>0.56995106258548267</v>
      </c>
      <c r="X5" s="35">
        <v>250.66399999999999</v>
      </c>
      <c r="Y5" s="35">
        <v>88.6</v>
      </c>
      <c r="Z5" s="35">
        <v>130944.06</v>
      </c>
      <c r="AA5" s="35">
        <v>0</v>
      </c>
      <c r="AB5" s="35">
        <v>0</v>
      </c>
      <c r="AC5" s="35">
        <v>0</v>
      </c>
      <c r="AD5" s="35">
        <v>0</v>
      </c>
      <c r="AE5" s="35">
        <v>0</v>
      </c>
      <c r="AF5" s="167">
        <v>0</v>
      </c>
      <c r="AG5" s="167">
        <v>0</v>
      </c>
      <c r="AH5" s="167">
        <v>0</v>
      </c>
      <c r="AI5" s="167">
        <v>0</v>
      </c>
      <c r="AJ5" s="167">
        <v>0</v>
      </c>
      <c r="AK5" s="167"/>
      <c r="AL5" s="167">
        <v>0</v>
      </c>
      <c r="AM5" s="170">
        <v>0</v>
      </c>
      <c r="AN5" s="170">
        <v>0</v>
      </c>
      <c r="AO5" s="170"/>
      <c r="AP5" s="172">
        <v>0</v>
      </c>
      <c r="AQ5" s="172">
        <v>0</v>
      </c>
      <c r="AR5" s="172">
        <v>0</v>
      </c>
      <c r="AS5" s="172">
        <v>0</v>
      </c>
      <c r="AT5" s="172">
        <v>0</v>
      </c>
      <c r="AU5" s="172">
        <v>0</v>
      </c>
      <c r="AV5" s="172"/>
      <c r="AW5" s="172">
        <v>0</v>
      </c>
      <c r="AX5" s="172">
        <v>0</v>
      </c>
      <c r="AY5" s="173">
        <v>0</v>
      </c>
      <c r="AZ5" s="39">
        <v>0.67410000000000003</v>
      </c>
      <c r="BA5" s="39">
        <v>0.65890000000000004</v>
      </c>
      <c r="BB5" s="39">
        <v>0.61480000000000001</v>
      </c>
      <c r="BC5" s="39">
        <v>0.60660000000000003</v>
      </c>
      <c r="BD5" s="39">
        <v>0.7944</v>
      </c>
      <c r="BE5" s="39">
        <v>0.79339999999999999</v>
      </c>
      <c r="BF5" s="30">
        <f t="shared" si="0"/>
        <v>0.15</v>
      </c>
      <c r="BG5" s="30">
        <f>Table1[[#This Row],[Mid_ZAR/kWh]]*Table1[[#This Row],[Mid_(kWh)2]]*(1+0.15)</f>
        <v>26488.472501925007</v>
      </c>
      <c r="BH5" s="30">
        <f>Table1[[#This Row],[HIG_ZAR/kWh]]*Table1[[#This Row],[Hig_Energy_produced_(kWh)2]]*(1+0.15)</f>
        <v>0</v>
      </c>
      <c r="BI5" s="30">
        <f>Table1[[#This Row],[VER_ZAR/kWh]]*Table1[[#This Row],[Verg_Energy_(kWh)]]*(1+0.15)</f>
        <v>90233.144692000002</v>
      </c>
      <c r="BJ5" s="30">
        <f>Table1[[#This Row],[DUR_ZAR/kWh]]*Table1[[#This Row],[Dur_Energy_produced_(kWh)]]*(1+0.15)</f>
        <v>70321.536575999984</v>
      </c>
      <c r="BK5" s="30">
        <f>Table1[[#This Row],[HER_ZAR/kWh2]]*Table1[[#This Row],[Her_Energy_produced_(kWh)]]*(1+0.15)</f>
        <v>0</v>
      </c>
      <c r="BL5" s="17">
        <f>Table1[[#This Row],[Mid_ZAR/kWh]]*Table1[[#This Row],[Mid_P50_(kWh)]]*(1+0.15)</f>
        <v>28184.639045850003</v>
      </c>
      <c r="BM5" s="17">
        <f>Table1[[#This Row],[HIG_ZAR/kWh]]*Table1[[#This Row],[Hig_P50_(kWh)]]*(1+0.15)</f>
        <v>0</v>
      </c>
      <c r="BN5" s="17">
        <f>Table1[[#This Row],[VER_ZAR/kWh]]*Table1[[#This Row],[Verg_P50_(kWh)]]*(1+0.15)</f>
        <v>94974.73190079999</v>
      </c>
      <c r="BO5" s="17">
        <f>Table1[[#This Row],[DUR_ZAR/kWh]]*Table1[[#This Row],[Dur_P50_(kWh)]]*(1+0.15)</f>
        <v>91345.266815399998</v>
      </c>
      <c r="BP5" s="17">
        <f>Table1[[#This Row],[HER_ZAR/kWh2]]*Table1[[#This Row],[Her_P50_(kWh)]]*(1+0.15)</f>
        <v>0</v>
      </c>
      <c r="BQ5" s="17"/>
      <c r="BR5" s="32">
        <v>95</v>
      </c>
      <c r="BS5" s="32">
        <f>Table1[[#This Row],[Verg_P50_(kWh)]]</f>
        <v>134331.04</v>
      </c>
      <c r="BT5" s="32">
        <v>0</v>
      </c>
      <c r="BU5" s="32"/>
      <c r="BV5" s="34">
        <v>95</v>
      </c>
      <c r="BW5" s="34">
        <f>Table1[[#This Row],[Mid_P50_(kWh)]]</f>
        <v>36357.19</v>
      </c>
      <c r="BX5" s="36">
        <v>95</v>
      </c>
      <c r="BY5" s="36">
        <f>Table1[[#This Row],[Dur_P50_(kWh)]]</f>
        <v>130944.06</v>
      </c>
      <c r="BZ5" s="38">
        <v>0</v>
      </c>
      <c r="CA5" s="38">
        <v>0</v>
      </c>
      <c r="CB5" s="38">
        <v>0</v>
      </c>
      <c r="CC5" s="38">
        <v>0</v>
      </c>
    </row>
    <row r="6" spans="1:81" x14ac:dyDescent="0.25">
      <c r="A6" s="13">
        <v>44593</v>
      </c>
      <c r="B6" s="31">
        <v>96946.4</v>
      </c>
      <c r="C6" s="31">
        <f>(Table1[[#This Row],[Verg_Energy_(kWh)]]/696.6)/(D6)</f>
        <v>0.70051255722793149</v>
      </c>
      <c r="D6" s="31">
        <v>198.67</v>
      </c>
      <c r="E6" s="31">
        <v>99.29</v>
      </c>
      <c r="F6" s="31">
        <v>108571.18</v>
      </c>
      <c r="G6" s="31"/>
      <c r="H6" s="31"/>
      <c r="I6" s="31">
        <v>0</v>
      </c>
      <c r="J6" s="32">
        <v>0</v>
      </c>
      <c r="K6" s="32">
        <v>0</v>
      </c>
      <c r="L6" s="33">
        <v>32936.601999999999</v>
      </c>
      <c r="M6" s="33">
        <f>(Table1[[#This Row],[Mid_(kWh)2]]/227.9)/(Table1[[#This Row],[Mid_Irradiated_(kWh/m²)]])</f>
        <v>0.78514786558035543</v>
      </c>
      <c r="N6" s="33">
        <v>184.07</v>
      </c>
      <c r="O6" s="33">
        <v>64.27</v>
      </c>
      <c r="P6" s="33">
        <v>31490.67</v>
      </c>
      <c r="Q6" s="33">
        <v>0</v>
      </c>
      <c r="R6" s="33">
        <v>0</v>
      </c>
      <c r="S6" s="33">
        <v>0</v>
      </c>
      <c r="T6" s="34">
        <v>0</v>
      </c>
      <c r="U6" s="34">
        <v>0</v>
      </c>
      <c r="V6" s="35">
        <v>91369.8</v>
      </c>
      <c r="W6" s="35">
        <f>(Table1[[#This Row],[Dur_Energy_produced_(kWh)]]/705.6)/X6</f>
        <v>0.64824935766343861</v>
      </c>
      <c r="X6" s="35">
        <v>199.75700000000001</v>
      </c>
      <c r="Y6" s="35">
        <v>99.05</v>
      </c>
      <c r="Z6" s="35">
        <v>111813.67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167">
        <v>0</v>
      </c>
      <c r="AG6" s="167">
        <v>0</v>
      </c>
      <c r="AH6" s="167">
        <v>0</v>
      </c>
      <c r="AI6" s="167">
        <v>0</v>
      </c>
      <c r="AJ6" s="167">
        <v>0</v>
      </c>
      <c r="AK6" s="167"/>
      <c r="AL6" s="167">
        <v>0</v>
      </c>
      <c r="AM6" s="170">
        <v>0</v>
      </c>
      <c r="AN6" s="170">
        <v>0</v>
      </c>
      <c r="AO6" s="170"/>
      <c r="AP6" s="172">
        <v>0</v>
      </c>
      <c r="AQ6" s="172">
        <v>0</v>
      </c>
      <c r="AR6" s="172">
        <v>0</v>
      </c>
      <c r="AS6" s="172">
        <v>0</v>
      </c>
      <c r="AT6" s="172">
        <v>0</v>
      </c>
      <c r="AU6" s="172">
        <v>0</v>
      </c>
      <c r="AV6" s="172"/>
      <c r="AW6" s="172">
        <v>0</v>
      </c>
      <c r="AX6" s="172">
        <v>0</v>
      </c>
      <c r="AY6" s="173">
        <v>0</v>
      </c>
      <c r="AZ6" s="39">
        <v>0.67410000000000003</v>
      </c>
      <c r="BA6" s="39">
        <v>0.65890000000000004</v>
      </c>
      <c r="BB6" s="39">
        <v>0.61480000000000001</v>
      </c>
      <c r="BC6" s="39">
        <v>0.60660000000000003</v>
      </c>
      <c r="BD6" s="39">
        <v>0.7944</v>
      </c>
      <c r="BE6" s="39">
        <v>0.79339999999999999</v>
      </c>
      <c r="BF6" s="30">
        <f t="shared" si="0"/>
        <v>0.15</v>
      </c>
      <c r="BG6" s="30">
        <f>Table1[[#This Row],[Mid_ZAR/kWh]]*Table1[[#This Row],[Mid_(kWh)2]]*(1+0.15)</f>
        <v>25532.947919429997</v>
      </c>
      <c r="BH6" s="30">
        <f>Table1[[#This Row],[HIG_ZAR/kWh]]*Table1[[#This Row],[Hig_Energy_produced_(kWh)2]]*(1+0.15)</f>
        <v>0</v>
      </c>
      <c r="BI6" s="30">
        <f>Table1[[#This Row],[VER_ZAR/kWh]]*Table1[[#This Row],[Verg_Energy_(kWh)]]*(1+0.15)</f>
        <v>68543.04372799999</v>
      </c>
      <c r="BJ6" s="30">
        <f>Table1[[#This Row],[DUR_ZAR/kWh]]*Table1[[#This Row],[Dur_Energy_produced_(kWh)]]*(1+0.15)</f>
        <v>63738.658781999999</v>
      </c>
      <c r="BK6" s="30">
        <f>Table1[[#This Row],[HER_ZAR/kWh2]]*Table1[[#This Row],[Her_Energy_produced_(kWh)]]*(1+0.15)</f>
        <v>0</v>
      </c>
      <c r="BL6" s="17">
        <f>Table1[[#This Row],[Mid_ZAR/kWh]]*Table1[[#This Row],[Mid_P50_(kWh)]]*(1+0.15)</f>
        <v>24412.039744049998</v>
      </c>
      <c r="BM6" s="17">
        <f>Table1[[#This Row],[HIG_ZAR/kWh]]*Table1[[#This Row],[Hig_P50_(kWh)]]*(1+0.15)</f>
        <v>0</v>
      </c>
      <c r="BN6" s="17">
        <f>Table1[[#This Row],[VER_ZAR/kWh]]*Table1[[#This Row],[Verg_P50_(kWh)]]*(1+0.15)</f>
        <v>76761.995683599991</v>
      </c>
      <c r="BO6" s="17">
        <f>Table1[[#This Row],[DUR_ZAR/kWh]]*Table1[[#This Row],[Dur_P50_(kWh)]]*(1+0.15)</f>
        <v>78000.098055299997</v>
      </c>
      <c r="BP6" s="17">
        <f>Table1[[#This Row],[HER_ZAR/kWh2]]*Table1[[#This Row],[Her_P50_(kWh)]]*(1+0.15)</f>
        <v>0</v>
      </c>
      <c r="BQ6" s="17"/>
      <c r="BR6" s="32">
        <v>95</v>
      </c>
      <c r="BS6" s="32">
        <f>Table1[[#This Row],[Verg_P50_(kWh)]]</f>
        <v>108571.18</v>
      </c>
      <c r="BT6" s="32">
        <v>0</v>
      </c>
      <c r="BU6" s="32"/>
      <c r="BV6" s="34">
        <v>95</v>
      </c>
      <c r="BW6" s="34">
        <f>Table1[[#This Row],[Mid_P50_(kWh)]]</f>
        <v>31490.67</v>
      </c>
      <c r="BX6" s="36">
        <v>95</v>
      </c>
      <c r="BY6" s="36">
        <f>Table1[[#This Row],[Dur_P50_(kWh)]]</f>
        <v>111813.67</v>
      </c>
      <c r="BZ6" s="38">
        <v>0</v>
      </c>
      <c r="CA6" s="38">
        <v>0</v>
      </c>
      <c r="CB6" s="38">
        <v>0</v>
      </c>
      <c r="CC6" s="38">
        <v>0</v>
      </c>
    </row>
    <row r="7" spans="1:81" x14ac:dyDescent="0.25">
      <c r="A7" s="13">
        <v>44621</v>
      </c>
      <c r="B7" s="31">
        <v>94648.1</v>
      </c>
      <c r="C7" s="31">
        <f>(Table1[[#This Row],[Verg_Energy_(kWh)]]/696.6)/(D7)</f>
        <v>0.78726848530951143</v>
      </c>
      <c r="D7" s="31">
        <v>172.58600000000001</v>
      </c>
      <c r="E7" s="31">
        <v>100</v>
      </c>
      <c r="F7" s="31">
        <v>100729.11</v>
      </c>
      <c r="G7" s="31"/>
      <c r="H7" s="31"/>
      <c r="I7" s="31">
        <v>0</v>
      </c>
      <c r="J7" s="32">
        <v>0</v>
      </c>
      <c r="K7" s="32">
        <v>0</v>
      </c>
      <c r="L7" s="33">
        <v>29032.3</v>
      </c>
      <c r="M7" s="33">
        <f>(Table1[[#This Row],[Mid_(kWh)2]]/227.9)/(Table1[[#This Row],[Mid_Irradiated_(kWh/m²)]])</f>
        <v>0.81086746460205716</v>
      </c>
      <c r="N7" s="33">
        <v>157.10400000000001</v>
      </c>
      <c r="O7" s="33">
        <v>100</v>
      </c>
      <c r="P7" s="33">
        <v>32436.400000000001</v>
      </c>
      <c r="Q7" s="33">
        <v>0</v>
      </c>
      <c r="R7" s="33">
        <v>0</v>
      </c>
      <c r="S7" s="33">
        <v>0</v>
      </c>
      <c r="T7" s="34">
        <v>0</v>
      </c>
      <c r="U7" s="34">
        <v>0</v>
      </c>
      <c r="V7" s="35">
        <v>89806.300000000017</v>
      </c>
      <c r="W7" s="35">
        <f>(Table1[[#This Row],[Dur_Energy_produced_(kWh)]]/705.6)/X7</f>
        <v>0.70710739276191537</v>
      </c>
      <c r="X7" s="35">
        <v>179.99600000000001</v>
      </c>
      <c r="Y7" s="35">
        <v>100</v>
      </c>
      <c r="Z7" s="35">
        <v>111969.25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167">
        <v>17949.203000000001</v>
      </c>
      <c r="AG7" s="167">
        <v>0</v>
      </c>
      <c r="AH7" s="167">
        <v>0</v>
      </c>
      <c r="AI7" s="167">
        <v>100</v>
      </c>
      <c r="AJ7" s="167">
        <f>33133.54*(20/31)</f>
        <v>21376.47741935484</v>
      </c>
      <c r="AK7" s="167"/>
      <c r="AL7" s="167">
        <v>0</v>
      </c>
      <c r="AM7" s="170">
        <v>0</v>
      </c>
      <c r="AN7" s="170">
        <v>0</v>
      </c>
      <c r="AO7" s="170"/>
      <c r="AP7" s="172">
        <v>0</v>
      </c>
      <c r="AQ7" s="172">
        <v>0</v>
      </c>
      <c r="AR7" s="172">
        <v>0</v>
      </c>
      <c r="AS7" s="172">
        <v>0</v>
      </c>
      <c r="AT7" s="172">
        <v>0</v>
      </c>
      <c r="AU7" s="172">
        <v>0</v>
      </c>
      <c r="AV7" s="172"/>
      <c r="AW7" s="172">
        <v>0</v>
      </c>
      <c r="AX7" s="172">
        <v>0</v>
      </c>
      <c r="AY7" s="173">
        <v>0</v>
      </c>
      <c r="AZ7" s="39">
        <v>0.67410000000000003</v>
      </c>
      <c r="BA7" s="39">
        <v>0.65890000000000004</v>
      </c>
      <c r="BB7" s="39">
        <v>0.61480000000000001</v>
      </c>
      <c r="BC7" s="39">
        <v>0.60660000000000003</v>
      </c>
      <c r="BD7" s="39">
        <v>0.7944</v>
      </c>
      <c r="BE7" s="39">
        <v>0.79339999999999999</v>
      </c>
      <c r="BF7" s="30">
        <f t="shared" si="0"/>
        <v>0.15</v>
      </c>
      <c r="BG7" s="30">
        <f>Table1[[#This Row],[Mid_ZAR/kWh]]*Table1[[#This Row],[Mid_(kWh)2]]*(1+0.15)</f>
        <v>22506.274444499995</v>
      </c>
      <c r="BH7" s="30">
        <f>Table1[[#This Row],[HIG_ZAR/kWh]]*Table1[[#This Row],[Hig_Energy_produced_(kWh)2]]*(1+0.15)</f>
        <v>0</v>
      </c>
      <c r="BI7" s="30">
        <f>Table1[[#This Row],[VER_ZAR/kWh]]*Table1[[#This Row],[Verg_Energy_(kWh)]]*(1+0.15)</f>
        <v>66918.099661999993</v>
      </c>
      <c r="BJ7" s="30">
        <f>Table1[[#This Row],[DUR_ZAR/kWh]]*Table1[[#This Row],[Dur_Energy_produced_(kWh)]]*(1+0.15)</f>
        <v>62647.97681700001</v>
      </c>
      <c r="BK7" s="30">
        <f>Table1[[#This Row],[HER_ZAR/kWh2]]*Table1[[#This Row],[Her_Energy_produced_(kWh)]]*(1+0.15)</f>
        <v>16397.673892679999</v>
      </c>
      <c r="BL7" s="17">
        <f>Table1[[#This Row],[Mid_ZAR/kWh]]*Table1[[#This Row],[Mid_P50_(kWh)]]*(1+0.15)</f>
        <v>25145.183826</v>
      </c>
      <c r="BM7" s="17">
        <f>Table1[[#This Row],[HIG_ZAR/kWh]]*Table1[[#This Row],[Hig_P50_(kWh)]]*(1+0.15)</f>
        <v>0</v>
      </c>
      <c r="BN7" s="17">
        <f>Table1[[#This Row],[VER_ZAR/kWh]]*Table1[[#This Row],[Verg_P50_(kWh)]]*(1+0.15)</f>
        <v>71217.4953522</v>
      </c>
      <c r="BO7" s="17">
        <f>Table1[[#This Row],[DUR_ZAR/kWh]]*Table1[[#This Row],[Dur_P50_(kWh)]]*(1+0.15)</f>
        <v>78108.629107500004</v>
      </c>
      <c r="BP7" s="17">
        <f>Table1[[#This Row],[HER_ZAR/kWh2]]*Table1[[#This Row],[Her_P50_(kWh)]]*(1+0.15)</f>
        <v>19528.694711225806</v>
      </c>
      <c r="BQ7" s="17"/>
      <c r="BR7" s="32">
        <v>95</v>
      </c>
      <c r="BS7" s="32">
        <f>Table1[[#This Row],[Verg_P50_(kWh)]]</f>
        <v>100729.11</v>
      </c>
      <c r="BT7" s="32">
        <v>0</v>
      </c>
      <c r="BU7" s="32"/>
      <c r="BV7" s="34">
        <v>95</v>
      </c>
      <c r="BW7" s="34">
        <f>Table1[[#This Row],[Mid_P50_(kWh)]]</f>
        <v>32436.400000000001</v>
      </c>
      <c r="BX7" s="36">
        <v>95</v>
      </c>
      <c r="BY7" s="36">
        <f>Table1[[#This Row],[Dur_P50_(kWh)]]</f>
        <v>111969.25</v>
      </c>
      <c r="BZ7" s="38">
        <v>0</v>
      </c>
      <c r="CA7" s="38">
        <v>0</v>
      </c>
      <c r="CB7" s="38">
        <f>Table1[[#This Row],[Her_P50_(kWh)]]</f>
        <v>21376.47741935484</v>
      </c>
      <c r="CC7" s="37">
        <v>95</v>
      </c>
    </row>
    <row r="8" spans="1:81" x14ac:dyDescent="0.25">
      <c r="A8" s="13">
        <v>44653</v>
      </c>
      <c r="B8" s="31">
        <v>70139.100000000006</v>
      </c>
      <c r="C8" s="31">
        <f>(Table1[[#This Row],[Verg_Energy_(kWh)]]/696.6)/(D8)</f>
        <v>0.76382191884838802</v>
      </c>
      <c r="D8" s="31">
        <v>131.821</v>
      </c>
      <c r="E8" s="31">
        <v>96.83</v>
      </c>
      <c r="F8" s="31">
        <v>70910.55</v>
      </c>
      <c r="G8" s="31">
        <v>4</v>
      </c>
      <c r="H8" s="31">
        <v>127.1</v>
      </c>
      <c r="I8" s="31">
        <f>Table1[[#This Row],[Column6]]*(1-(Table1[[#This Row],[unavailability days]]/30))</f>
        <v>110.15333333333334</v>
      </c>
      <c r="J8" s="32">
        <v>0.80030000000000001</v>
      </c>
      <c r="K8" s="32">
        <f>J8*(1-(G8/30))</f>
        <v>0.69359333333333339</v>
      </c>
      <c r="L8" s="33">
        <v>23635.79700000002</v>
      </c>
      <c r="M8" s="33">
        <f>(Table1[[#This Row],[Mid_(kWh)2]]/227.9)/(Table1[[#This Row],[Mid_Irradiated_(kWh/m²)]])</f>
        <v>0.81949558462450744</v>
      </c>
      <c r="N8" s="33">
        <v>126.55500000000001</v>
      </c>
      <c r="O8" s="33">
        <v>96.69</v>
      </c>
      <c r="P8" s="33">
        <v>27151.55</v>
      </c>
      <c r="Q8" s="33">
        <v>2</v>
      </c>
      <c r="R8" s="33">
        <v>149.1</v>
      </c>
      <c r="S8" s="33">
        <f>Table1[[#This Row],[Column1]]*(1-(Table1[[#This Row],[Unavailable days]]/30))</f>
        <v>139.16</v>
      </c>
      <c r="T8" s="34">
        <v>0.79900000000000004</v>
      </c>
      <c r="U8" s="33">
        <f>Table1[[#This Row],[Column22]]*(1-(Table1[[#This Row],[Unavailable days]]/30))</f>
        <v>0.74573333333333336</v>
      </c>
      <c r="V8" s="35">
        <v>70141.499999999971</v>
      </c>
      <c r="W8" s="35">
        <f>(Table1[[#This Row],[Dur_Energy_produced_(kWh)]]/705.6)/X8</f>
        <v>0.72539122260890698</v>
      </c>
      <c r="X8" s="35">
        <v>137.03899999999999</v>
      </c>
      <c r="Y8" s="35">
        <v>96.77</v>
      </c>
      <c r="Z8" s="35">
        <v>85867.72</v>
      </c>
      <c r="AA8" s="35">
        <v>6</v>
      </c>
      <c r="AB8" s="35">
        <v>156.9</v>
      </c>
      <c r="AC8" s="35">
        <f>Table1[[#This Row],[Column3]]*(1-(Table1[[#This Row],[unavailability days3]]/30))</f>
        <v>125.52000000000001</v>
      </c>
      <c r="AD8" s="35">
        <v>0.77669999999999995</v>
      </c>
      <c r="AE8" s="36">
        <f>Table1[[#This Row],[Column8]]*(1-(Table1[[#This Row],[unavailability days3]]/30))</f>
        <v>0.62136000000000002</v>
      </c>
      <c r="AF8" s="167">
        <v>21947</v>
      </c>
      <c r="AG8" s="167">
        <v>78.077173129494994</v>
      </c>
      <c r="AH8" s="167">
        <v>125.57036794905</v>
      </c>
      <c r="AI8" s="167">
        <v>93.46</v>
      </c>
      <c r="AJ8" s="167">
        <v>24642.89</v>
      </c>
      <c r="AK8" s="167">
        <v>135.30000000000001</v>
      </c>
      <c r="AL8" s="167">
        <f>Table1[[#This Row],[Column5]]*(1-(2/30))</f>
        <v>126.28000000000002</v>
      </c>
      <c r="AM8" s="170">
        <v>0.86029999999999995</v>
      </c>
      <c r="AN8" s="170">
        <f>Table1[[#This Row],[Column9]]*(1-(2/30))</f>
        <v>0.80294666666666659</v>
      </c>
      <c r="AO8" s="170"/>
      <c r="AP8" s="172">
        <v>21643.97</v>
      </c>
      <c r="AQ8" s="172">
        <v>69.850753753484994</v>
      </c>
      <c r="AR8" s="172">
        <v>51.630656604854003</v>
      </c>
      <c r="AS8" s="172">
        <v>95</v>
      </c>
      <c r="AT8" s="172">
        <v>32408.21</v>
      </c>
      <c r="AU8" s="172">
        <v>19</v>
      </c>
      <c r="AV8" s="172">
        <v>156.19999999999999</v>
      </c>
      <c r="AW8" s="172">
        <f>Table1[[#This Row],[Column4]]*(1-(Table1[[#This Row],[Unavailability days2]]/30))</f>
        <v>57.273333333333333</v>
      </c>
      <c r="AX8" s="172">
        <v>0.78979999999999995</v>
      </c>
      <c r="AY8" s="173">
        <f>Table1[[#This Row],[Column10]]*(1-(Table1[[#This Row],[Unavailability days2]]/30))</f>
        <v>0.28959333333333331</v>
      </c>
      <c r="AZ8" s="39">
        <v>0.67410000000000003</v>
      </c>
      <c r="BA8" s="39">
        <v>0.65890000000000004</v>
      </c>
      <c r="BB8" s="39">
        <v>0.61480000000000001</v>
      </c>
      <c r="BC8" s="39">
        <v>0.60660000000000003</v>
      </c>
      <c r="BD8" s="39">
        <v>0.7944</v>
      </c>
      <c r="BE8" s="39">
        <v>0.79339999999999999</v>
      </c>
      <c r="BF8" s="30">
        <f t="shared" si="0"/>
        <v>0.15</v>
      </c>
      <c r="BG8" s="30">
        <f>Table1[[#This Row],[Mid_ZAR/kWh]]*Table1[[#This Row],[Mid_(kWh)2]]*(1+0.15)</f>
        <v>18322.824371355015</v>
      </c>
      <c r="BH8" s="30">
        <f>Table1[[#This Row],[HIG_ZAR/kWh]]*Table1[[#This Row],[Hig_Energy_produced_(kWh)2]]*(1+0.15)</f>
        <v>16400.393607950002</v>
      </c>
      <c r="BI8" s="30">
        <f>Table1[[#This Row],[VER_ZAR/kWh]]*Table1[[#This Row],[Verg_Energy_(kWh)]]*(1+0.15)</f>
        <v>49589.746481999995</v>
      </c>
      <c r="BJ8" s="30">
        <f>Table1[[#This Row],[DUR_ZAR/kWh]]*Table1[[#This Row],[Dur_Energy_produced_(kWh)]]*(1+0.15)</f>
        <v>48930.008984999979</v>
      </c>
      <c r="BK8" s="30">
        <f>Table1[[#This Row],[HER_ZAR/kWh2]]*Table1[[#This Row],[Her_Energy_produced_(kWh)]]*(1+0.15)</f>
        <v>20049.901320000001</v>
      </c>
      <c r="BL8" s="17">
        <f>Table1[[#This Row],[Mid_ZAR/kWh]]*Table1[[#This Row],[Mid_P50_(kWh)]]*(1+0.15)</f>
        <v>21048.288833249997</v>
      </c>
      <c r="BM8" s="17">
        <f>Table1[[#This Row],[HIG_ZAR/kWh]]*Table1[[#This Row],[Hig_P50_(kWh)]]*(1+0.15)</f>
        <v>24556.83500435</v>
      </c>
      <c r="BN8" s="17">
        <f>Table1[[#This Row],[VER_ZAR/kWh]]*Table1[[#This Row],[Verg_P50_(kWh)]]*(1+0.15)</f>
        <v>50135.177060999995</v>
      </c>
      <c r="BO8" s="17">
        <f>Table1[[#This Row],[DUR_ZAR/kWh]]*Table1[[#This Row],[Dur_P50_(kWh)]]*(1+0.15)</f>
        <v>59900.462794799998</v>
      </c>
      <c r="BP8" s="17">
        <f>Table1[[#This Row],[HER_ZAR/kWh2]]*Table1[[#This Row],[Her_P50_(kWh)]]*(1+0.15)</f>
        <v>22512.758588399996</v>
      </c>
      <c r="BQ8" s="17"/>
      <c r="BR8" s="32">
        <v>95</v>
      </c>
      <c r="BS8" s="110">
        <f>Table1[[#This Row],[Verg_P50_(kWh)]]*(Table1[[#This Row],[Verg_Irradiated_(kWh/m²)]]/Table1[[#This Row],[Verg_estimatedPOA]])</f>
        <v>84858.980919475885</v>
      </c>
      <c r="BT8" s="32">
        <f>(Table1[[#This Row],[Verg_Energy_(kWh)]]*100)/Table1[[#This Row],[Verg_PR_(%)]]</f>
        <v>9182650.8600000013</v>
      </c>
      <c r="BU8" s="32">
        <f>Table1[[#This Row],[Verg_P50_(kWh)]]*(Table1[[#This Row],[Verg_Irradiated_(kWh/m²)]]/Table1[[#This Row],[Verg_estimatedPOA]])</f>
        <v>84858.980919475885</v>
      </c>
      <c r="BV8" s="34">
        <v>95</v>
      </c>
      <c r="BW8" s="111">
        <f>Table1[[#This Row],[Mid_P50_(kWh)]]*(Table1[[#This Row],[Mid_Irradiated_(kWh/m²)]]/Table1[[#This Row],[Mid_estimatedPOA]])</f>
        <v>24692.184609442367</v>
      </c>
      <c r="BX8" s="36">
        <v>95</v>
      </c>
      <c r="BY8" s="112">
        <f>Table1[[#This Row],[Dur_P50_(kWh)]]*(Table1[[#This Row],[Dur_Energy_Irradiated_(kWh/m²)]]/Table1[[#This Row],[Dur_estimatedPOA]])</f>
        <v>93747.820913639254</v>
      </c>
      <c r="BZ8" s="38">
        <v>95</v>
      </c>
      <c r="CA8" s="14">
        <f>Table1[[#This Row],[Hig_P50_(kWh)]]*(Table1[[#This Row],[Hig_Energy_Irradiated_(kWh/m²)]]/Table1[[#This Row],[Hig_estimatedPOA]])</f>
        <v>29215.292079292205</v>
      </c>
      <c r="CB8" s="14">
        <f>Table1[[#This Row],[Her_P50_(kWh)]]*(Table1[[#This Row],[Her_Energy_Irradiated_(kWh/m²)]]/Table1[[#This Row],[Her_estimatedPOA]])</f>
        <v>24504.408969179316</v>
      </c>
      <c r="CC8" s="37">
        <v>95</v>
      </c>
    </row>
    <row r="9" spans="1:81" x14ac:dyDescent="0.25">
      <c r="A9" s="13">
        <v>44684</v>
      </c>
      <c r="B9" s="31">
        <v>52487.9</v>
      </c>
      <c r="C9" s="31">
        <f>(Table1[[#This Row],[Verg_Energy_(kWh)]]/696.6)/(D9)</f>
        <v>0.81980952730818413</v>
      </c>
      <c r="D9" s="31">
        <v>91.91</v>
      </c>
      <c r="E9" s="31">
        <v>99.26</v>
      </c>
      <c r="F9" s="31">
        <v>51576.41</v>
      </c>
      <c r="G9" s="31">
        <v>0</v>
      </c>
      <c r="H9" s="31">
        <v>90.9</v>
      </c>
      <c r="I9" s="31">
        <f>Table1[[#This Row],[Column6]]*(1-(Table1[[#This Row],[unavailability days]]/31))</f>
        <v>90.9</v>
      </c>
      <c r="J9" s="32">
        <v>0.81389999999999996</v>
      </c>
      <c r="K9" s="32">
        <f>J9*(1-(G9/31))</f>
        <v>0.81389999999999996</v>
      </c>
      <c r="L9" s="33">
        <v>23406.5</v>
      </c>
      <c r="M9" s="33">
        <f>(Table1[[#This Row],[Mid_(kWh)2]]/227.9)/(Table1[[#This Row],[Mid_Irradiated_(kWh/m²)]])</f>
        <v>0.78622328414103437</v>
      </c>
      <c r="N9" s="33">
        <v>130.631</v>
      </c>
      <c r="O9" s="33">
        <v>95.94</v>
      </c>
      <c r="P9" s="33">
        <v>26286.34</v>
      </c>
      <c r="Q9" s="33">
        <v>3</v>
      </c>
      <c r="R9" s="33">
        <v>141.69999999999999</v>
      </c>
      <c r="S9" s="33">
        <f>Table1[[#This Row],[Column1]]*(1-(Table1[[#This Row],[Unavailable days]]/31))</f>
        <v>127.98709677419353</v>
      </c>
      <c r="T9" s="34">
        <v>0.81399999999999995</v>
      </c>
      <c r="U9" s="33">
        <f>Table1[[#This Row],[Column22]]*(1-(Table1[[#This Row],[Unavailable days]]/31))</f>
        <v>0.73522580645161284</v>
      </c>
      <c r="V9" s="35">
        <v>60420.899999999994</v>
      </c>
      <c r="W9" s="35">
        <f>(Table1[[#This Row],[Dur_Energy_produced_(kWh)]]/705.6)/X9</f>
        <v>0.92350902376847532</v>
      </c>
      <c r="X9" s="35">
        <v>92.722999999999999</v>
      </c>
      <c r="Y9" s="35">
        <v>90.56</v>
      </c>
      <c r="Z9" s="35">
        <v>68401.09</v>
      </c>
      <c r="AA9" s="35">
        <v>1</v>
      </c>
      <c r="AB9" s="35">
        <v>122.1</v>
      </c>
      <c r="AC9" s="35">
        <f>Table1[[#This Row],[Column3]]*(1-(Table1[[#This Row],[unavailability days3]]/31))</f>
        <v>118.16129032258064</v>
      </c>
      <c r="AD9" s="35">
        <v>0.79510000000000003</v>
      </c>
      <c r="AE9" s="36">
        <f>Table1[[#This Row],[Column8]]*(1-(Table1[[#This Row],[unavailability days3]]/31))</f>
        <v>0.76945161290322583</v>
      </c>
      <c r="AF9" s="167">
        <v>19453</v>
      </c>
      <c r="AG9" s="167">
        <v>81.527601748501993</v>
      </c>
      <c r="AH9" s="167">
        <v>111.22573763131</v>
      </c>
      <c r="AI9" s="167">
        <v>95.92</v>
      </c>
      <c r="AJ9" s="167">
        <v>18855.060000000001</v>
      </c>
      <c r="AK9" s="167"/>
      <c r="AL9" s="167">
        <v>102.9</v>
      </c>
      <c r="AM9" s="170"/>
      <c r="AN9" s="170">
        <v>0.86550000000000005</v>
      </c>
      <c r="AO9" s="170"/>
      <c r="AP9" s="172">
        <v>28195.21</v>
      </c>
      <c r="AQ9" s="172">
        <v>66.896162571583005</v>
      </c>
      <c r="AR9" s="172">
        <v>138.66206939935</v>
      </c>
      <c r="AS9" s="172">
        <v>97.61</v>
      </c>
      <c r="AT9" s="172">
        <v>32007.52</v>
      </c>
      <c r="AU9" s="172">
        <v>2</v>
      </c>
      <c r="AV9" s="172">
        <v>155.19999999999999</v>
      </c>
      <c r="AW9" s="172">
        <f>Table1[[#This Row],[Column4]]*(1-(Table1[[#This Row],[Unavailability days2]]/31))</f>
        <v>145.18709677419355</v>
      </c>
      <c r="AX9" s="172">
        <v>0.78510000000000002</v>
      </c>
      <c r="AY9" s="173">
        <f>Table1[[#This Row],[Column10]]*(1-(Table1[[#This Row],[Unavailability days2]]/31))</f>
        <v>0.73444838709677429</v>
      </c>
      <c r="AZ9" s="39">
        <v>0.67410000000000003</v>
      </c>
      <c r="BA9" s="39">
        <v>0.65890000000000004</v>
      </c>
      <c r="BB9" s="39">
        <v>0.61480000000000001</v>
      </c>
      <c r="BC9" s="39">
        <v>0.60660000000000003</v>
      </c>
      <c r="BD9" s="39">
        <v>0.7944</v>
      </c>
      <c r="BE9" s="39">
        <v>0.79339999999999999</v>
      </c>
      <c r="BF9" s="30">
        <f t="shared" si="0"/>
        <v>0.15</v>
      </c>
      <c r="BG9" s="30">
        <f>Table1[[#This Row],[Mid_ZAR/kWh]]*Table1[[#This Row],[Mid_(kWh)2]]*(1+0.15)</f>
        <v>18145.069897499998</v>
      </c>
      <c r="BH9" s="30">
        <f>Table1[[#This Row],[HIG_ZAR/kWh]]*Table1[[#This Row],[Hig_Energy_produced_(kWh)2]]*(1+0.15)</f>
        <v>21364.497449349998</v>
      </c>
      <c r="BI9" s="30">
        <f>Table1[[#This Row],[VER_ZAR/kWh]]*Table1[[#This Row],[Verg_Energy_(kWh)]]*(1+0.15)</f>
        <v>37109.995058</v>
      </c>
      <c r="BJ9" s="30">
        <f>Table1[[#This Row],[DUR_ZAR/kWh]]*Table1[[#This Row],[Dur_Energy_produced_(kWh)]]*(1+0.15)</f>
        <v>42149.015630999995</v>
      </c>
      <c r="BK9" s="30">
        <f>Table1[[#This Row],[HER_ZAR/kWh2]]*Table1[[#This Row],[Her_Energy_produced_(kWh)]]*(1+0.15)</f>
        <v>17771.482679999997</v>
      </c>
      <c r="BL9" s="17">
        <f>Table1[[#This Row],[Mid_ZAR/kWh]]*Table1[[#This Row],[Mid_P50_(kWh)]]*(1+0.15)</f>
        <v>20377.565063100003</v>
      </c>
      <c r="BM9" s="17">
        <f>Table1[[#This Row],[HIG_ZAR/kWh]]*Table1[[#This Row],[Hig_P50_(kWh)]]*(1+0.15)</f>
        <v>24253.218167200001</v>
      </c>
      <c r="BN9" s="17">
        <f>Table1[[#This Row],[VER_ZAR/kWh]]*Table1[[#This Row],[Verg_P50_(kWh)]]*(1+0.15)</f>
        <v>36465.553398199998</v>
      </c>
      <c r="BO9" s="17">
        <f>Table1[[#This Row],[DUR_ZAR/kWh]]*Table1[[#This Row],[Dur_P50_(kWh)]]*(1+0.15)</f>
        <v>47715.916373100001</v>
      </c>
      <c r="BP9" s="17">
        <f>Table1[[#This Row],[HER_ZAR/kWh2]]*Table1[[#This Row],[Her_P50_(kWh)]]*(1+0.15)</f>
        <v>17225.2286136</v>
      </c>
      <c r="BQ9" s="17"/>
      <c r="BR9" s="32">
        <v>95</v>
      </c>
      <c r="BS9" s="110">
        <f>Table1[[#This Row],[Verg_P50_(kWh)]]*(Table1[[#This Row],[Verg_Irradiated_(kWh/m²)]]/Table1[[#This Row],[Verg_estimatedPOA]])</f>
        <v>52149.481222222224</v>
      </c>
      <c r="BT9" s="32">
        <f>(Table1[[#This Row],[Verg_Energy_(kWh)]]*100)/Table1[[#This Row],[Verg_PR_(%)]]</f>
        <v>6402450.6000000006</v>
      </c>
      <c r="BU9" s="32">
        <f>Table1[[#This Row],[Verg_P50_(kWh)]]*(Table1[[#This Row],[Verg_Irradiated_(kWh/m²)]]/Table1[[#This Row],[Verg_estimatedPOA]])</f>
        <v>52149.481222222224</v>
      </c>
      <c r="BV9" s="34">
        <v>95</v>
      </c>
      <c r="BW9" s="111">
        <f>Table1[[#This Row],[Mid_P50_(kWh)]]*(Table1[[#This Row],[Mid_Irradiated_(kWh/m²)]]/Table1[[#This Row],[Mid_estimatedPOA]])</f>
        <v>26829.352076000607</v>
      </c>
      <c r="BX9" s="36">
        <v>95</v>
      </c>
      <c r="BY9" s="112">
        <f>Table1[[#This Row],[Dur_P50_(kWh)]]*(Table1[[#This Row],[Dur_Energy_Irradiated_(kWh/m²)]]/Table1[[#This Row],[Dur_estimatedPOA]])</f>
        <v>53675.397846074251</v>
      </c>
      <c r="BZ9" s="38">
        <v>95</v>
      </c>
      <c r="CA9" s="14">
        <f>Table1[[#This Row],[Hig_P50_(kWh)]]*(Table1[[#This Row],[Hig_Energy_Irradiated_(kWh/m²)]]/Table1[[#This Row],[Hig_estimatedPOA]])</f>
        <v>30569.031671208137</v>
      </c>
      <c r="CB9" s="14">
        <f>Table1[[#This Row],[Her_P50_(kWh)]]*(Table1[[#This Row],[Her_Energy_Irradiated_(kWh/m²)]]/Table1[[#This Row],[Her_estimatedPOA]])</f>
        <v>20380.640977479183</v>
      </c>
      <c r="CC9" s="37">
        <v>95</v>
      </c>
    </row>
    <row r="10" spans="1:81" x14ac:dyDescent="0.25">
      <c r="A10" s="13">
        <v>44713</v>
      </c>
      <c r="B10" s="31">
        <v>39237.9</v>
      </c>
      <c r="C10" s="31">
        <f>(Table1[[#This Row],[Verg_Energy_(kWh)]]/696.6)/(D10)</f>
        <v>0.7154726998203389</v>
      </c>
      <c r="D10" s="163">
        <v>78.727999999999994</v>
      </c>
      <c r="E10" s="31">
        <v>92.02</v>
      </c>
      <c r="F10" s="31">
        <v>41981.69</v>
      </c>
      <c r="G10" s="31">
        <v>0</v>
      </c>
      <c r="H10" s="31">
        <v>73.400000000000006</v>
      </c>
      <c r="I10" s="31">
        <f>Table1[[#This Row],[Column6]]*(1-(Table1[[#This Row],[unavailability days]]/30))</f>
        <v>73.400000000000006</v>
      </c>
      <c r="J10" s="32">
        <v>0.82050000000000001</v>
      </c>
      <c r="K10" s="32">
        <f>J10*(1-(G10/30))</f>
        <v>0.82050000000000001</v>
      </c>
      <c r="L10" s="33">
        <v>21763.203000000001</v>
      </c>
      <c r="M10" s="33">
        <f>(Table1[[#This Row],[Mid_(kWh)2]]/227.9)/(Table1[[#This Row],[Mid_Irradiated_(kWh/m²)]])</f>
        <v>0.77399964581924496</v>
      </c>
      <c r="N10" s="33">
        <v>123.378</v>
      </c>
      <c r="O10" s="33">
        <v>100</v>
      </c>
      <c r="P10" s="33">
        <v>23827.62</v>
      </c>
      <c r="Q10" s="33">
        <v>10</v>
      </c>
      <c r="R10" s="33">
        <v>127.2</v>
      </c>
      <c r="S10" s="33">
        <f>Table1[[#This Row],[Column1]]*(1-(Table1[[#This Row],[Unavailable days]]/30))</f>
        <v>84.800000000000011</v>
      </c>
      <c r="T10" s="34">
        <v>0.82199999999999995</v>
      </c>
      <c r="U10" s="33">
        <f>Table1[[#This Row],[Column22]]*(1-(Table1[[#This Row],[Unavailable days]]/30))</f>
        <v>0.54800000000000004</v>
      </c>
      <c r="V10" s="35">
        <v>48239.9</v>
      </c>
      <c r="W10" s="35">
        <f>(Table1[[#This Row],[Dur_Energy_produced_(kWh)]]/705.6)/X10</f>
        <v>0.83945881996291238</v>
      </c>
      <c r="X10" s="35">
        <v>81.441999999999993</v>
      </c>
      <c r="Y10" s="35">
        <v>95.26</v>
      </c>
      <c r="Z10" s="35">
        <v>58421.74</v>
      </c>
      <c r="AA10" s="35">
        <v>0</v>
      </c>
      <c r="AB10" s="35">
        <v>103.1</v>
      </c>
      <c r="AC10" s="35">
        <f>Table1[[#This Row],[Column3]]*(1-(Table1[[#This Row],[unavailability days3]]/30))</f>
        <v>103.1</v>
      </c>
      <c r="AD10" s="35">
        <v>0.80420000000000003</v>
      </c>
      <c r="AE10" s="36">
        <f>Table1[[#This Row],[Column8]]*(1-(Table1[[#This Row],[unavailability days3]]/30))</f>
        <v>0.80420000000000003</v>
      </c>
      <c r="AF10" s="167">
        <v>15026.093999999999</v>
      </c>
      <c r="AG10" s="167">
        <v>78.950729289001998</v>
      </c>
      <c r="AH10" s="167">
        <v>89.875620191997001</v>
      </c>
      <c r="AI10" s="167">
        <v>91.82</v>
      </c>
      <c r="AJ10" s="167">
        <v>15568.68</v>
      </c>
      <c r="AK10" s="167"/>
      <c r="AL10" s="167">
        <v>84.9</v>
      </c>
      <c r="AM10" s="170"/>
      <c r="AN10" s="170">
        <v>0.86619999999999997</v>
      </c>
      <c r="AO10" s="170"/>
      <c r="AP10" s="172">
        <v>17909.61</v>
      </c>
      <c r="AQ10" s="172">
        <v>61.823425827020998</v>
      </c>
      <c r="AR10" s="172">
        <v>19.347908716804</v>
      </c>
      <c r="AS10" s="172">
        <v>94.65</v>
      </c>
      <c r="AT10" s="172">
        <v>29209.23</v>
      </c>
      <c r="AU10" s="172">
        <v>25</v>
      </c>
      <c r="AV10" s="172">
        <v>141.30000000000001</v>
      </c>
      <c r="AW10" s="172">
        <f>Table1[[#This Row],[Column4]]*(1-(Table1[[#This Row],[Unavailability days2]]/30))</f>
        <v>23.549999999999997</v>
      </c>
      <c r="AX10" s="172">
        <v>0.78690000000000004</v>
      </c>
      <c r="AY10" s="173">
        <f>Table1[[#This Row],[Column10]]*(1-(Table1[[#This Row],[Unavailability days2]]/30))</f>
        <v>0.13114999999999999</v>
      </c>
      <c r="AZ10" s="39">
        <v>0.67410000000000003</v>
      </c>
      <c r="BA10" s="39">
        <v>0.65890000000000004</v>
      </c>
      <c r="BB10" s="39">
        <v>0.61480000000000001</v>
      </c>
      <c r="BC10" s="39">
        <v>0.60660000000000003</v>
      </c>
      <c r="BD10" s="39">
        <v>0.7944</v>
      </c>
      <c r="BE10" s="39">
        <v>0.79339999999999999</v>
      </c>
      <c r="BF10" s="39">
        <f t="shared" si="0"/>
        <v>0.15</v>
      </c>
      <c r="BG10" s="39">
        <f>Table1[[#This Row],[Mid_ZAR/kWh]]*Table1[[#This Row],[Mid_(kWh)2]]*(1+0.15)</f>
        <v>16871.161413645001</v>
      </c>
      <c r="BH10" s="30">
        <f>Table1[[#This Row],[HIG_ZAR/kWh]]*Table1[[#This Row],[Hig_Energy_produced_(kWh)2]]*(1+0.15)</f>
        <v>13570.73833335</v>
      </c>
      <c r="BI10" s="39">
        <f>Table1[[#This Row],[VER_ZAR/kWh]]*Table1[[#This Row],[Verg_Energy_(kWh)]]*(1+0.15)</f>
        <v>27741.980058000001</v>
      </c>
      <c r="BJ10" s="30">
        <f>Table1[[#This Row],[DUR_ZAR/kWh]]*Table1[[#This Row],[Dur_Energy_produced_(kWh)]]*(1+0.15)</f>
        <v>33651.671841000003</v>
      </c>
      <c r="BK10" s="39">
        <f>Table1[[#This Row],[HER_ZAR/kWh2]]*Table1[[#This Row],[Her_Energy_produced_(kWh)]]*(1+0.15)</f>
        <v>13727.238434639998</v>
      </c>
      <c r="BL10" s="16">
        <f>Table1[[#This Row],[Mid_ZAR/kWh]]*Table1[[#This Row],[Mid_P50_(kWh)]]*(1+0.15)</f>
        <v>18471.528438299996</v>
      </c>
      <c r="BM10" s="16">
        <f>Table1[[#This Row],[HIG_ZAR/kWh]]*Table1[[#This Row],[Hig_P50_(kWh)]]*(1+0.15)</f>
        <v>22132.855894049997</v>
      </c>
      <c r="BN10" s="16">
        <f>Table1[[#This Row],[VER_ZAR/kWh]]*Table1[[#This Row],[Verg_P50_(kWh)]]*(1+0.15)</f>
        <v>29681.894463799999</v>
      </c>
      <c r="BO10" s="16">
        <f>Table1[[#This Row],[DUR_ZAR/kWh]]*Table1[[#This Row],[Dur_P50_(kWh)]]*(1+0.15)</f>
        <v>40754.421606599994</v>
      </c>
      <c r="BP10" s="16">
        <f>Table1[[#This Row],[HER_ZAR/kWh2]]*Table1[[#This Row],[Her_P50_(kWh)]]*(1+0.15)</f>
        <v>14222.923300799999</v>
      </c>
      <c r="BQ10" s="16"/>
      <c r="BR10" s="32">
        <v>95</v>
      </c>
      <c r="BS10" s="110">
        <f>Table1[[#This Row],[Verg_P50_(kWh)]]*(Table1[[#This Row],[Verg_Irradiated_(kWh/m²)]]/Table1[[#This Row],[Verg_estimatedPOA]])</f>
        <v>45029.080249591272</v>
      </c>
      <c r="BT10" s="32">
        <f>(Table1[[#This Row],[Verg_Energy_(kWh)]]*100)/Table1[[#This Row],[Verg_PR_(%)]]</f>
        <v>5484192.4800000004</v>
      </c>
      <c r="BU10" s="32">
        <f>Table1[[#This Row],[Verg_P50_(kWh)]]*(Table1[[#This Row],[Verg_Irradiated_(kWh/m²)]]/Table1[[#This Row],[Verg_estimatedPOA]])</f>
        <v>45029.080249591272</v>
      </c>
      <c r="BV10" s="34">
        <v>95</v>
      </c>
      <c r="BW10" s="111">
        <f>Table1[[#This Row],[Mid_P50_(kWh)]]*(Table1[[#This Row],[Mid_Irradiated_(kWh/m²)]]/Table1[[#This Row],[Mid_estimatedPOA]])</f>
        <v>34667.50118349056</v>
      </c>
      <c r="BX10" s="36">
        <v>95</v>
      </c>
      <c r="BY10" s="112">
        <f>Table1[[#This Row],[Dur_P50_(kWh)]]*(Table1[[#This Row],[Dur_Energy_Irradiated_(kWh/m²)]]/Table1[[#This Row],[Dur_estimatedPOA]])</f>
        <v>46149.208041513091</v>
      </c>
      <c r="BZ10" s="38">
        <v>95</v>
      </c>
      <c r="CA10" s="14">
        <f>Table1[[#This Row],[Hig_P50_(kWh)]]*(Table1[[#This Row],[Hig_Energy_Irradiated_(kWh/m²)]]/Table1[[#This Row],[Hig_estimatedPOA]])</f>
        <v>23997.346740048109</v>
      </c>
      <c r="CB10" s="14">
        <f>Table1[[#This Row],[Her_P50_(kWh)]]*(Table1[[#This Row],[Her_Energy_Irradiated_(kWh/m²)]]/Table1[[#This Row],[Her_estimatedPOA]])</f>
        <v>16481.092704013427</v>
      </c>
      <c r="CC10" s="37">
        <v>95</v>
      </c>
    </row>
    <row r="11" spans="1:81" x14ac:dyDescent="0.25">
      <c r="A11" s="13">
        <v>44743</v>
      </c>
      <c r="B11" s="31">
        <v>42440.4</v>
      </c>
      <c r="C11" s="31">
        <f>(Table1[[#This Row],[Verg_Energy_(kWh)]]/696.6)/(D11)</f>
        <v>0.81082066275596498</v>
      </c>
      <c r="D11" s="31">
        <v>75.14</v>
      </c>
      <c r="E11" s="31">
        <v>91.65</v>
      </c>
      <c r="F11" s="31">
        <v>47500.46</v>
      </c>
      <c r="G11" s="31">
        <v>1</v>
      </c>
      <c r="H11" s="31">
        <v>82.6</v>
      </c>
      <c r="I11" s="31">
        <f>Table1[[#This Row],[Column6]]*(1-(Table1[[#This Row],[unavailability days]]/31))</f>
        <v>79.935483870967744</v>
      </c>
      <c r="J11" s="32">
        <v>0.82489999999999997</v>
      </c>
      <c r="K11" s="32">
        <f>J11*(1-(G11/31))</f>
        <v>0.79829032258064514</v>
      </c>
      <c r="L11" s="33">
        <v>20957.109</v>
      </c>
      <c r="M11" s="33">
        <f>(Table1[[#This Row],[Mid_(kWh)2]]/227.9)/(Table1[[#This Row],[Mid_Irradiated_(kWh/m²)]])</f>
        <v>0.72410883162653761</v>
      </c>
      <c r="N11" s="33">
        <v>126.994</v>
      </c>
      <c r="O11" s="33">
        <v>93.77</v>
      </c>
      <c r="P11" s="33">
        <v>26254.38</v>
      </c>
      <c r="Q11" s="33">
        <v>6</v>
      </c>
      <c r="R11" s="33">
        <v>140.30000000000001</v>
      </c>
      <c r="S11" s="33">
        <f>Table1[[#This Row],[Column1]]*(1-(Table1[[#This Row],[Unavailable days]]/31))</f>
        <v>113.14516129032258</v>
      </c>
      <c r="T11" s="34">
        <v>0.82110000000000005</v>
      </c>
      <c r="U11" s="33">
        <f>Table1[[#This Row],[Column22]]*(1-(Table1[[#This Row],[Unavailable days]]/31))</f>
        <v>0.66217741935483876</v>
      </c>
      <c r="V11" s="35">
        <v>44538.000000000029</v>
      </c>
      <c r="W11" s="35">
        <f>(Table1[[#This Row],[Dur_Energy_produced_(kWh)]]/705.6)/X11</f>
        <v>0.77732997092829936</v>
      </c>
      <c r="X11" s="35">
        <v>81.201999999999998</v>
      </c>
      <c r="Y11" s="35">
        <v>89.31</v>
      </c>
      <c r="Z11" s="35">
        <v>64810.21</v>
      </c>
      <c r="AA11" s="35">
        <v>0</v>
      </c>
      <c r="AB11" s="35">
        <v>114.3</v>
      </c>
      <c r="AC11" s="35">
        <f>Table1[[#This Row],[Column3]]*(1-(Table1[[#This Row],[unavailability days3]]/31))</f>
        <v>114.3</v>
      </c>
      <c r="AD11" s="35">
        <v>0.80469999999999997</v>
      </c>
      <c r="AE11" s="36">
        <f>Table1[[#This Row],[Column8]]*(1-(Table1[[#This Row],[unavailability days3]]/31))</f>
        <v>0.80469999999999997</v>
      </c>
      <c r="AF11" s="167">
        <v>15238.202999999899</v>
      </c>
      <c r="AG11" s="167">
        <v>76.401521277227999</v>
      </c>
      <c r="AH11" s="167">
        <v>94.089611137236005</v>
      </c>
      <c r="AI11" s="167">
        <v>88.05</v>
      </c>
      <c r="AJ11" s="167">
        <v>17678.79</v>
      </c>
      <c r="AK11" s="167"/>
      <c r="AL11" s="167">
        <v>95.8</v>
      </c>
      <c r="AM11" s="170"/>
      <c r="AN11" s="170">
        <v>0.87170000000000003</v>
      </c>
      <c r="AO11" s="170"/>
      <c r="AP11" s="172">
        <v>21623.061000000002</v>
      </c>
      <c r="AQ11" s="172">
        <v>63.598771298679999</v>
      </c>
      <c r="AR11" s="172">
        <v>60.818278021978003</v>
      </c>
      <c r="AS11" s="172">
        <v>94.95</v>
      </c>
      <c r="AT11" s="172">
        <v>32059.25</v>
      </c>
      <c r="AU11" s="172">
        <v>18</v>
      </c>
      <c r="AV11" s="172">
        <v>154.30000000000001</v>
      </c>
      <c r="AW11" s="172">
        <f>Table1[[#This Row],[Column4]]*(1-(Table1[[#This Row],[Unavailability days2]]/31))</f>
        <v>64.706451612903223</v>
      </c>
      <c r="AX11" s="172">
        <v>0.79090000000000005</v>
      </c>
      <c r="AY11" s="173">
        <f>Table1[[#This Row],[Column10]]*(1-(Table1[[#This Row],[Unavailability days2]]/31))</f>
        <v>0.33166774193548387</v>
      </c>
      <c r="AZ11" s="39">
        <v>0.67410000000000003</v>
      </c>
      <c r="BA11" s="39">
        <v>0.65890000000000004</v>
      </c>
      <c r="BB11" s="39">
        <v>0.61480000000000001</v>
      </c>
      <c r="BC11" s="39">
        <v>0.60660000000000003</v>
      </c>
      <c r="BD11" s="39">
        <v>0.7944</v>
      </c>
      <c r="BE11" s="39">
        <v>0.79339999999999999</v>
      </c>
      <c r="BF11" s="30">
        <f t="shared" ref="BF11:BF27" si="1">0.15</f>
        <v>0.15</v>
      </c>
      <c r="BG11" s="30">
        <f>Table1[[#This Row],[Mid_ZAR/kWh]]*Table1[[#This Row],[Mid_(kWh)2]]*(1+0.15)</f>
        <v>16246.265253435</v>
      </c>
      <c r="BH11" s="30">
        <f>Table1[[#This Row],[HIG_ZAR/kWh]]*Table1[[#This Row],[Hig_Energy_produced_(kWh)2]]*(1+0.15)</f>
        <v>16384.550126835002</v>
      </c>
      <c r="BI11" s="30">
        <f>Table1[[#This Row],[VER_ZAR/kWh]]*Table1[[#This Row],[Verg_Energy_(kWh)]]*(1+0.15)</f>
        <v>30006.211608000001</v>
      </c>
      <c r="BJ11" s="30">
        <f>Table1[[#This Row],[DUR_ZAR/kWh]]*Table1[[#This Row],[Dur_Energy_produced_(kWh)]]*(1+0.15)</f>
        <v>31069.263420000021</v>
      </c>
      <c r="BK11" s="30">
        <f>Table1[[#This Row],[HER_ZAR/kWh2]]*Table1[[#This Row],[Her_Energy_produced_(kWh)]]*(1+0.15)</f>
        <v>13921.012732679908</v>
      </c>
      <c r="BL11" s="17">
        <f>Table1[[#This Row],[Mid_ZAR/kWh]]*Table1[[#This Row],[Mid_P50_(kWh)]]*(1+0.15)</f>
        <v>20352.789191699998</v>
      </c>
      <c r="BM11" s="17">
        <f>Table1[[#This Row],[HIG_ZAR/kWh]]*Table1[[#This Row],[Hig_P50_(kWh)]]*(1+0.15)</f>
        <v>24292.41579875</v>
      </c>
      <c r="BN11" s="17">
        <f>Table1[[#This Row],[VER_ZAR/kWh]]*Table1[[#This Row],[Verg_P50_(kWh)]]*(1+0.15)</f>
        <v>33583.7752292</v>
      </c>
      <c r="BO11" s="17">
        <f>Table1[[#This Row],[DUR_ZAR/kWh]]*Table1[[#This Row],[Dur_P50_(kWh)]]*(1+0.15)</f>
        <v>45210.954393899992</v>
      </c>
      <c r="BP11" s="17">
        <f>Table1[[#This Row],[HER_ZAR/kWh2]]*Table1[[#This Row],[Her_P50_(kWh)]]*(1+0.15)</f>
        <v>16150.6353924</v>
      </c>
      <c r="BQ11" s="17"/>
      <c r="BR11" s="32">
        <v>95</v>
      </c>
      <c r="BS11" s="110">
        <f>Table1[[#This Row],[Verg_P50_(kWh)]]*(Table1[[#This Row],[Verg_Irradiated_(kWh/m²)]]/Table1[[#This Row],[Verg_estimatedPOA]])</f>
        <v>44650.815777401127</v>
      </c>
      <c r="BT11" s="32">
        <f>(Table1[[#This Row],[Verg_Energy_(kWh)]]*100)/Table1[[#This Row],[Verg_PR_(%)]]</f>
        <v>5234252.3999999994</v>
      </c>
      <c r="BU11" s="32">
        <f>Table1[[#This Row],[Verg_P50_(kWh)]]*(Table1[[#This Row],[Verg_Irradiated_(kWh/m²)]]/Table1[[#This Row],[Verg_estimatedPOA]])</f>
        <v>44650.815777401127</v>
      </c>
      <c r="BV11" s="34">
        <v>95</v>
      </c>
      <c r="BW11" s="111">
        <f>Table1[[#This Row],[Mid_P50_(kWh)]]*(Table1[[#This Row],[Mid_Irradiated_(kWh/m²)]]/Table1[[#This Row],[Mid_estimatedPOA]])</f>
        <v>29467.886171153245</v>
      </c>
      <c r="BX11" s="36">
        <v>95</v>
      </c>
      <c r="BY11" s="112">
        <f>Table1[[#This Row],[Dur_P50_(kWh)]]*(Table1[[#This Row],[Dur_Energy_Irradiated_(kWh/m²)]]/Table1[[#This Row],[Dur_estimatedPOA]])</f>
        <v>46043.033004549427</v>
      </c>
      <c r="BZ11" s="38">
        <v>95</v>
      </c>
      <c r="CA11" s="14">
        <f>Table1[[#This Row],[Hig_P50_(kWh)]]*(Table1[[#This Row],[Hig_Energy_Irradiated_(kWh/m²)]]/Table1[[#This Row],[Hig_estimatedPOA]])</f>
        <v>30132.828042254874</v>
      </c>
      <c r="CB11" s="14">
        <f>Table1[[#This Row],[Her_P50_(kWh)]]*(Table1[[#This Row],[Her_Energy_Irradiated_(kWh/m²)]]/Table1[[#This Row],[Her_estimatedPOA]])</f>
        <v>17363.157374497459</v>
      </c>
      <c r="CC11" s="37">
        <v>95</v>
      </c>
    </row>
    <row r="12" spans="1:81" x14ac:dyDescent="0.25">
      <c r="A12" s="13">
        <v>44774</v>
      </c>
      <c r="B12" s="31">
        <v>60653.20000000007</v>
      </c>
      <c r="C12" s="31">
        <f>(Table1[[#This Row],[Verg_Energy_(kWh)]]/696.6)/(D12)</f>
        <v>0.89993324850637768</v>
      </c>
      <c r="D12" s="31">
        <v>96.751999999999995</v>
      </c>
      <c r="E12" s="31">
        <v>99.42</v>
      </c>
      <c r="F12" s="31">
        <v>61452.66</v>
      </c>
      <c r="G12" s="31">
        <v>0</v>
      </c>
      <c r="H12" s="31">
        <v>106.7</v>
      </c>
      <c r="I12" s="31">
        <f>Table1[[#This Row],[Column6]]*(1-(Table1[[#This Row],[unavailability days]]/31))</f>
        <v>106.7</v>
      </c>
      <c r="J12" s="32">
        <v>0.82620000000000005</v>
      </c>
      <c r="K12" s="32">
        <f>J12*(1-(G12/31))</f>
        <v>0.82620000000000005</v>
      </c>
      <c r="L12" s="33">
        <v>29575.187999999995</v>
      </c>
      <c r="M12" s="33">
        <f>(Table1[[#This Row],[Mid_(kWh)2]]/227.9)/(Table1[[#This Row],[Mid_Irradiated_(kWh/m²)]])</f>
        <v>0.79323623416464784</v>
      </c>
      <c r="N12" s="33">
        <v>163.59899999999999</v>
      </c>
      <c r="O12" s="33">
        <v>98.77</v>
      </c>
      <c r="P12" s="33">
        <v>30459.35</v>
      </c>
      <c r="Q12" s="33">
        <v>10</v>
      </c>
      <c r="R12" s="33">
        <v>165.6</v>
      </c>
      <c r="S12" s="33">
        <f>Table1[[#This Row],[Column1]]*(1-(Table1[[#This Row],[Unavailable days]]/31))</f>
        <v>112.18064516129033</v>
      </c>
      <c r="T12" s="34">
        <v>0.80710000000000004</v>
      </c>
      <c r="U12" s="33">
        <f>Table1[[#This Row],[Column22]]*(1-(Table1[[#This Row],[Unavailable days]]/31))</f>
        <v>0.54674516129032269</v>
      </c>
      <c r="V12" s="35">
        <v>57792.900000000023</v>
      </c>
      <c r="W12" s="35">
        <f>(Table1[[#This Row],[Dur_Energy_produced_(kWh)]]/705.6)/X12</f>
        <v>0.79434820159794806</v>
      </c>
      <c r="X12" s="35">
        <v>103.111</v>
      </c>
      <c r="Y12" s="35">
        <v>99.75</v>
      </c>
      <c r="Z12" s="35">
        <v>77138.89</v>
      </c>
      <c r="AA12" s="35">
        <v>0</v>
      </c>
      <c r="AB12" s="35">
        <v>136.80000000000001</v>
      </c>
      <c r="AC12" s="35">
        <f>Table1[[#This Row],[Column3]]*(1-(Table1[[#This Row],[unavailability days3]]/31))</f>
        <v>136.80000000000001</v>
      </c>
      <c r="AD12" s="35">
        <v>0.80030000000000001</v>
      </c>
      <c r="AE12" s="36">
        <f>Table1[[#This Row],[Column8]]*(1-(Table1[[#This Row],[unavailability days3]]/31))</f>
        <v>0.80030000000000001</v>
      </c>
      <c r="AF12" s="167">
        <v>22528.203000000009</v>
      </c>
      <c r="AG12" s="167">
        <v>87.592032338652999</v>
      </c>
      <c r="AH12" s="167">
        <v>121.28788040562</v>
      </c>
      <c r="AI12" s="167">
        <v>99.96</v>
      </c>
      <c r="AJ12" s="167">
        <v>21795.82</v>
      </c>
      <c r="AK12" s="167"/>
      <c r="AL12" s="167">
        <v>117.6</v>
      </c>
      <c r="AM12" s="170"/>
      <c r="AN12" s="170">
        <v>0.87549999999999994</v>
      </c>
      <c r="AO12" s="170"/>
      <c r="AP12" s="172">
        <v>30455.185000000001</v>
      </c>
      <c r="AQ12" s="172">
        <v>65.363153214378002</v>
      </c>
      <c r="AR12" s="172">
        <v>185.616721875</v>
      </c>
      <c r="AS12" s="172">
        <v>93.31</v>
      </c>
      <c r="AT12" s="172">
        <v>36696.25</v>
      </c>
      <c r="AU12" s="172">
        <v>0</v>
      </c>
      <c r="AV12" s="172">
        <v>176.7</v>
      </c>
      <c r="AW12" s="172">
        <f>Table1[[#This Row],[Column4]]*(1-(Table1[[#This Row],[Unavailability days2]]/31))</f>
        <v>176.7</v>
      </c>
      <c r="AX12" s="172">
        <v>0.79049999999999998</v>
      </c>
      <c r="AY12" s="173">
        <f>Table1[[#This Row],[Column10]]*(1-(Table1[[#This Row],[Unavailability days2]]/31))</f>
        <v>0.79049999999999998</v>
      </c>
      <c r="AZ12" s="39">
        <v>0.67410000000000003</v>
      </c>
      <c r="BA12" s="39">
        <v>0.65890000000000004</v>
      </c>
      <c r="BB12" s="39">
        <v>0.61480000000000001</v>
      </c>
      <c r="BC12" s="39">
        <v>0.60660000000000003</v>
      </c>
      <c r="BD12" s="39">
        <v>0.7944</v>
      </c>
      <c r="BE12" s="39">
        <v>0.79339999999999999</v>
      </c>
      <c r="BF12" s="30">
        <f t="shared" si="1"/>
        <v>0.15</v>
      </c>
      <c r="BG12" s="30">
        <f>Table1[[#This Row],[Mid_ZAR/kWh]]*Table1[[#This Row],[Mid_(kWh)2]]*(1+0.15)</f>
        <v>22927.129365419998</v>
      </c>
      <c r="BH12" s="30">
        <f>Table1[[#This Row],[HIG_ZAR/kWh]]*Table1[[#This Row],[Hig_Energy_produced_(kWh)2]]*(1+0.15)</f>
        <v>23076.959605975</v>
      </c>
      <c r="BI12" s="30">
        <f>Table1[[#This Row],[VER_ZAR/kWh]]*Table1[[#This Row],[Verg_Energy_(kWh)]]*(1+0.15)</f>
        <v>42883.025464000042</v>
      </c>
      <c r="BJ12" s="30">
        <f>Table1[[#This Row],[DUR_ZAR/kWh]]*Table1[[#This Row],[Dur_Energy_produced_(kWh)]]*(1+0.15)</f>
        <v>40315.749111000012</v>
      </c>
      <c r="BK12" s="30">
        <f>Table1[[#This Row],[HER_ZAR/kWh2]]*Table1[[#This Row],[Her_Energy_produced_(kWh)]]*(1+0.15)</f>
        <v>20580.865132680006</v>
      </c>
      <c r="BL12" s="17">
        <f>Table1[[#This Row],[Mid_ZAR/kWh]]*Table1[[#This Row],[Mid_P50_(kWh)]]*(1+0.15)</f>
        <v>23612.545010249996</v>
      </c>
      <c r="BM12" s="17">
        <f>Table1[[#This Row],[HIG_ZAR/kWh]]*Table1[[#This Row],[Hig_P50_(kWh)]]*(1+0.15)</f>
        <v>27806.032993749999</v>
      </c>
      <c r="BN12" s="17">
        <f>Table1[[#This Row],[VER_ZAR/kWh]]*Table1[[#This Row],[Verg_P50_(kWh)]]*(1+0.15)</f>
        <v>43448.259673200002</v>
      </c>
      <c r="BO12" s="17">
        <f>Table1[[#This Row],[DUR_ZAR/kWh]]*Table1[[#This Row],[Dur_P50_(kWh)]]*(1+0.15)</f>
        <v>53811.318275099999</v>
      </c>
      <c r="BP12" s="17">
        <f>Table1[[#This Row],[HER_ZAR/kWh2]]*Table1[[#This Row],[Her_P50_(kWh)]]*(1+0.15)</f>
        <v>19911.789319199997</v>
      </c>
      <c r="BQ12" s="17"/>
      <c r="BR12" s="32">
        <v>95</v>
      </c>
      <c r="BS12" s="110">
        <f>Table1[[#This Row],[Verg_P50_(kWh)]]*(Table1[[#This Row],[Verg_Irradiated_(kWh/m²)]]/Table1[[#This Row],[Verg_estimatedPOA]])</f>
        <v>55723.221746204312</v>
      </c>
      <c r="BT12" s="32">
        <f>(Table1[[#This Row],[Verg_Energy_(kWh)]]*100)/Table1[[#This Row],[Verg_PR_(%)]]</f>
        <v>6739744.3200000003</v>
      </c>
      <c r="BU12" s="32">
        <f>Table1[[#This Row],[Verg_P50_(kWh)]]*(Table1[[#This Row],[Verg_Irradiated_(kWh/m²)]]/Table1[[#This Row],[Verg_estimatedPOA]])</f>
        <v>55723.221746204312</v>
      </c>
      <c r="BV12" s="34">
        <v>95</v>
      </c>
      <c r="BW12" s="111">
        <f>Table1[[#This Row],[Mid_P50_(kWh)]]*(Table1[[#This Row],[Mid_Irradiated_(kWh/m²)]]/Table1[[#This Row],[Mid_estimatedPOA]])</f>
        <v>44420.489768849198</v>
      </c>
      <c r="BX12" s="36">
        <v>95</v>
      </c>
      <c r="BY12" s="112">
        <f>Table1[[#This Row],[Dur_P50_(kWh)]]*(Table1[[#This Row],[Dur_Energy_Irradiated_(kWh/m²)]]/Table1[[#This Row],[Dur_estimatedPOA]])</f>
        <v>58142.310575950294</v>
      </c>
      <c r="BZ12" s="38">
        <v>95</v>
      </c>
      <c r="CA12" s="14">
        <f>Table1[[#This Row],[Hig_P50_(kWh)]]*(Table1[[#This Row],[Hig_Energy_Irradiated_(kWh/m²)]]/Table1[[#This Row],[Hig_estimatedPOA]])</f>
        <v>38548.034126233557</v>
      </c>
      <c r="CB12" s="14">
        <f>Table1[[#This Row],[Her_P50_(kWh)]]*(Table1[[#This Row],[Her_Energy_Irradiated_(kWh/m²)]]/Table1[[#This Row],[Her_estimatedPOA]])</f>
        <v>22479.326611415141</v>
      </c>
      <c r="CC12" s="37">
        <v>95</v>
      </c>
    </row>
    <row r="13" spans="1:81" x14ac:dyDescent="0.25">
      <c r="A13" s="13">
        <v>44805</v>
      </c>
      <c r="B13" s="164">
        <f>DataInput!B2</f>
        <v>73642.7</v>
      </c>
      <c r="C13" s="31">
        <f>(Table1[[#This Row],[Verg_Energy_(kWh)]]/696.6)/(D13)</f>
        <v>0.79307832987531968</v>
      </c>
      <c r="D13" s="164">
        <v>133.30000000000001</v>
      </c>
      <c r="E13" s="164">
        <f>DataInput!E2</f>
        <v>93.43</v>
      </c>
      <c r="F13" s="164">
        <f>DataInput!F2</f>
        <v>82459.520000000004</v>
      </c>
      <c r="G13" s="164">
        <f>DataInput!G2</f>
        <v>145.1</v>
      </c>
      <c r="H13" s="164">
        <f>DataInput!H2</f>
        <v>0.81520000000000004</v>
      </c>
      <c r="I13" s="164">
        <f>DataInput!G2</f>
        <v>145.1</v>
      </c>
      <c r="J13" s="164"/>
      <c r="K13" s="164">
        <f>DataInput!H2</f>
        <v>0.81520000000000004</v>
      </c>
      <c r="L13" s="165">
        <f>DataInput!I2</f>
        <v>24112.812000000002</v>
      </c>
      <c r="M13" s="33">
        <f>(Table1[[#This Row],[Mid_(kWh)2]]/227.9)/(Table1[[#This Row],[Mid_Irradiated_(kWh/m²)]])</f>
        <v>0.5773739449515134</v>
      </c>
      <c r="N13" s="165">
        <v>183.251</v>
      </c>
      <c r="O13" s="165">
        <f>DataInput!L2</f>
        <v>83.92</v>
      </c>
      <c r="P13" s="165">
        <f>DataInput!M2</f>
        <v>33234.25</v>
      </c>
      <c r="Q13" s="165"/>
      <c r="R13" s="165"/>
      <c r="S13" s="165">
        <f>DataInput!N2</f>
        <v>184.8</v>
      </c>
      <c r="T13" s="165"/>
      <c r="U13" s="165">
        <f>DataInput!O2</f>
        <v>0.78910000000000002</v>
      </c>
      <c r="V13" s="166">
        <f>DataInput!P2</f>
        <v>58368.3</v>
      </c>
      <c r="W13" s="35">
        <f>(Table1[[#This Row],[Dur_Energy_produced_(kWh)]]/705.6)/X13</f>
        <v>0.60508308479524087</v>
      </c>
      <c r="X13" s="166">
        <v>136.71100000000001</v>
      </c>
      <c r="Y13" s="166">
        <f>DataInput!S2</f>
        <v>96.24</v>
      </c>
      <c r="Z13" s="166">
        <f>DataInput!T2</f>
        <v>93478.78</v>
      </c>
      <c r="AA13" s="166"/>
      <c r="AB13" s="166"/>
      <c r="AC13" s="166">
        <f>DataInput!U2</f>
        <v>168</v>
      </c>
      <c r="AD13" s="166"/>
      <c r="AE13" s="166">
        <f>DataInput!V2</f>
        <v>0.78969999999999996</v>
      </c>
      <c r="AF13" s="171">
        <f>DataInput!W2</f>
        <v>23105.905999999999</v>
      </c>
      <c r="AG13" s="171">
        <f>DataInput!X2</f>
        <v>69.509371496029004</v>
      </c>
      <c r="AH13" s="171">
        <f>DataInput!Y2</f>
        <v>153.14681898115001</v>
      </c>
      <c r="AI13" s="171">
        <f>DataInput!Z2</f>
        <v>80.150000000000006</v>
      </c>
      <c r="AJ13" s="171">
        <f>DataInput!AA2</f>
        <v>27916.55</v>
      </c>
      <c r="AK13" s="167"/>
      <c r="AL13" s="167">
        <f>DataInput!AB2</f>
        <v>151.5</v>
      </c>
      <c r="AM13" s="167"/>
      <c r="AN13" s="167">
        <f>DataInput!AC2</f>
        <v>0.87039999999999995</v>
      </c>
      <c r="AO13" s="167">
        <f ca="1">DataInput!AK2</f>
        <v>0</v>
      </c>
      <c r="AP13" s="172">
        <f>DataInput!AD2</f>
        <v>27096.681</v>
      </c>
      <c r="AQ13" s="172">
        <f>DataInput!AE2</f>
        <v>52.233015222683001</v>
      </c>
      <c r="AR13" s="172">
        <f>DataInput!AF2</f>
        <v>198.28419754706999</v>
      </c>
      <c r="AS13" s="172">
        <f>DataInput!AG2</f>
        <v>80.59</v>
      </c>
      <c r="AT13" s="172">
        <f>DataInput!AH2</f>
        <v>39413.870000000003</v>
      </c>
      <c r="AU13" s="172"/>
      <c r="AV13" s="172"/>
      <c r="AW13" s="172">
        <f>DataInput!AI2</f>
        <v>189.4</v>
      </c>
      <c r="AX13" s="172">
        <f>DataInput!I2</f>
        <v>24112.812000000002</v>
      </c>
      <c r="AY13" s="172">
        <f>DataInput!AJ2</f>
        <v>0.79220000000000002</v>
      </c>
      <c r="AZ13" s="39">
        <v>0.67410000000000003</v>
      </c>
      <c r="BA13" s="39">
        <v>0.65890000000000004</v>
      </c>
      <c r="BB13" s="39">
        <v>0.61480000000000001</v>
      </c>
      <c r="BC13" s="39">
        <v>0.60660000000000003</v>
      </c>
      <c r="BD13" s="39">
        <v>0.7944</v>
      </c>
      <c r="BE13" s="39">
        <v>0.79339999999999999</v>
      </c>
      <c r="BF13" s="30">
        <f t="shared" si="1"/>
        <v>0.15</v>
      </c>
      <c r="BG13" s="30">
        <f>Table1[[#This Row],[Mid_ZAR/kWh]]*Table1[[#This Row],[Mid_(kWh)2]]*(1+0.15)</f>
        <v>18692.613554579999</v>
      </c>
      <c r="BH13" s="30">
        <f>Table1[[#This Row],[HIG_ZAR/kWh]]*Table1[[#This Row],[Hig_Energy_produced_(kWh)2]]*(1+0.15)</f>
        <v>20532.103577534999</v>
      </c>
      <c r="BI13" s="30">
        <f>Table1[[#This Row],[VER_ZAR/kWh]]*Table1[[#This Row],[Verg_Energy_(kWh)]]*(1+0.15)</f>
        <v>52066.861753999998</v>
      </c>
      <c r="BJ13" s="30">
        <f>Table1[[#This Row],[DUR_ZAR/kWh]]*Table1[[#This Row],[Dur_Energy_produced_(kWh)]]*(1+0.15)</f>
        <v>40717.142396999996</v>
      </c>
      <c r="BK13" s="30">
        <f>Table1[[#This Row],[HER_ZAR/kWh2]]*Table1[[#This Row],[Her_Energy_produced_(kWh)]]*(1+0.15)</f>
        <v>21108.631485359998</v>
      </c>
      <c r="BL13" s="17">
        <f>Table1[[#This Row],[Mid_ZAR/kWh]]*Table1[[#This Row],[Mid_P50_(kWh)]]*(1+0.15)</f>
        <v>25763.689113750002</v>
      </c>
      <c r="BM13" s="17">
        <f>Table1[[#This Row],[HIG_ZAR/kWh]]*Table1[[#This Row],[Hig_P50_(kWh)]]*(1+0.15)</f>
        <v>29865.26878445</v>
      </c>
      <c r="BN13" s="17">
        <f>Table1[[#This Row],[VER_ZAR/kWh]]*Table1[[#This Row],[Verg_P50_(kWh)]]*(1+0.15)</f>
        <v>58300.529830400003</v>
      </c>
      <c r="BO13" s="17">
        <f>Table1[[#This Row],[DUR_ZAR/kWh]]*Table1[[#This Row],[Dur_P50_(kWh)]]*(1+0.15)</f>
        <v>65209.862140199992</v>
      </c>
      <c r="BP13" s="17">
        <f>Table1[[#This Row],[HER_ZAR/kWh2]]*Table1[[#This Row],[Her_P50_(kWh)]]*(1+0.15)</f>
        <v>25503.443417999995</v>
      </c>
      <c r="BQ13" s="17"/>
      <c r="BR13" s="32">
        <v>95</v>
      </c>
      <c r="BS13" s="110">
        <f>Table1[[#This Row],[Verg_P50_(kWh)]]*(Table1[[#This Row],[Verg_Irradiated_(kWh/m²)]]/Table1[[#This Row],[Verg_estimatedPOA]])</f>
        <v>75753.64587181255</v>
      </c>
      <c r="BT13" s="32">
        <v>0</v>
      </c>
      <c r="BU13" s="32"/>
      <c r="BV13" s="34">
        <v>95</v>
      </c>
      <c r="BW13" s="111">
        <f>Table1[[#This Row],[Mid_P50_(kWh)]]*(Table1[[#This Row],[Mid_Irradiated_(kWh/m²)]]/Table1[[#This Row],[Mid_estimatedPOA]])</f>
        <v>32955.679365530304</v>
      </c>
      <c r="BX13" s="36">
        <v>95</v>
      </c>
      <c r="BY13" s="112">
        <f>Table1[[#This Row],[Dur_P50_(kWh)]]*(Table1[[#This Row],[Dur_Energy_Irradiated_(kWh/m²)]]/Table1[[#This Row],[Dur_estimatedPOA]])</f>
        <v>76068.913646309535</v>
      </c>
      <c r="BZ13" s="38">
        <v>95</v>
      </c>
      <c r="CA13" s="14">
        <f>Table1[[#This Row],[Hig_P50_(kWh)]]*(Table1[[#This Row],[Hig_Energy_Irradiated_(kWh/m²)]]/Table1[[#This Row],[Hig_estimatedPOA]])</f>
        <v>41262.658844638521</v>
      </c>
      <c r="CB13" s="14">
        <f>Table1[[#This Row],[Her_P50_(kWh)]]*(Table1[[#This Row],[Her_Energy_Irradiated_(kWh/m²)]]/Table1[[#This Row],[Her_estimatedPOA]])</f>
        <v>28220.005474773752</v>
      </c>
      <c r="CC13" s="37">
        <v>95</v>
      </c>
    </row>
    <row r="14" spans="1:81" x14ac:dyDescent="0.25">
      <c r="A14" s="13">
        <v>44835</v>
      </c>
      <c r="B14" s="164">
        <f>DataInput!B3</f>
        <v>107657.60000000001</v>
      </c>
      <c r="C14" s="31">
        <f>(Table1[[#This Row],[Verg_Energy_(kWh)]]/696.6)/(D14)</f>
        <v>0.83464150761987932</v>
      </c>
      <c r="D14" s="164">
        <v>185.166</v>
      </c>
      <c r="E14" s="164">
        <f>DataInput!E3</f>
        <v>0</v>
      </c>
      <c r="F14" s="164">
        <f>DataInput!F3</f>
        <v>0</v>
      </c>
      <c r="G14" s="163"/>
      <c r="H14" s="163"/>
      <c r="I14" s="164">
        <f>DataInput!G3</f>
        <v>0</v>
      </c>
      <c r="J14" s="163"/>
      <c r="K14" s="164">
        <f>DataInput!H3</f>
        <v>0</v>
      </c>
      <c r="L14" s="165">
        <f>DataInput!I3</f>
        <v>29329.406999999999</v>
      </c>
      <c r="M14" s="33">
        <f>(Table1[[#This Row],[Mid_(kWh)2]]/227.9)/(Table1[[#This Row],[Mid_Irradiated_(kWh/m²)]])</f>
        <v>0.69212381789003219</v>
      </c>
      <c r="N14" s="165">
        <v>185.941</v>
      </c>
      <c r="O14" s="165">
        <f>DataInput!L3</f>
        <v>0</v>
      </c>
      <c r="P14" s="165">
        <f>DataInput!M3</f>
        <v>0</v>
      </c>
      <c r="Q14" s="33"/>
      <c r="R14" s="33"/>
      <c r="S14" s="165">
        <f>DataInput!N3</f>
        <v>0</v>
      </c>
      <c r="T14" s="33"/>
      <c r="U14" s="165">
        <f>DataInput!O3</f>
        <v>0</v>
      </c>
      <c r="V14" s="166">
        <f>DataInput!P3</f>
        <v>75269.999999999898</v>
      </c>
      <c r="W14" s="35">
        <f>(Table1[[#This Row],[Dur_Energy_produced_(kWh)]]/705.6)/X14</f>
        <v>0.5530018873211634</v>
      </c>
      <c r="X14" s="166">
        <v>192.90199999999999</v>
      </c>
      <c r="Y14" s="166">
        <f>DataInput!S3</f>
        <v>0</v>
      </c>
      <c r="Z14" s="166">
        <f>DataInput!T3</f>
        <v>0</v>
      </c>
      <c r="AA14" s="35"/>
      <c r="AB14" s="35"/>
      <c r="AC14" s="166">
        <f>DataInput!U3</f>
        <v>0</v>
      </c>
      <c r="AD14" s="35"/>
      <c r="AE14" s="166">
        <f>DataInput!V3</f>
        <v>0</v>
      </c>
      <c r="AF14" s="171">
        <f>DataInput!W3</f>
        <v>28616.094000000001</v>
      </c>
      <c r="AG14" s="171">
        <f>DataInput!X3</f>
        <v>0</v>
      </c>
      <c r="AH14" s="171">
        <f>DataInput!Y3</f>
        <v>0</v>
      </c>
      <c r="AI14" s="171">
        <f>DataInput!Z3</f>
        <v>0</v>
      </c>
      <c r="AJ14" s="171">
        <f>DataInput!AA3</f>
        <v>0</v>
      </c>
      <c r="AK14" s="167"/>
      <c r="AL14" s="167">
        <f>DataInput!AB3</f>
        <v>0</v>
      </c>
      <c r="AM14" s="167"/>
      <c r="AN14" s="167">
        <f>DataInput!AC3</f>
        <v>0</v>
      </c>
      <c r="AO14" s="167">
        <f>DataInput!AK3</f>
        <v>33499.800999999999</v>
      </c>
      <c r="AP14" s="172">
        <f>DataInput!AD3</f>
        <v>28967.987000000001</v>
      </c>
      <c r="AQ14" s="172">
        <f>DataInput!AE3</f>
        <v>0</v>
      </c>
      <c r="AR14" s="172">
        <f>DataInput!AF3</f>
        <v>0</v>
      </c>
      <c r="AS14" s="172">
        <f>DataInput!AG3</f>
        <v>0</v>
      </c>
      <c r="AT14" s="172"/>
      <c r="AU14" s="172"/>
      <c r="AV14" s="172"/>
      <c r="AW14" s="172"/>
      <c r="AX14" s="172"/>
      <c r="AY14" s="172">
        <f>DataInput!AJ3</f>
        <v>0</v>
      </c>
      <c r="AZ14" s="39">
        <v>0.67410000000000003</v>
      </c>
      <c r="BA14" s="39">
        <v>0.65890000000000004</v>
      </c>
      <c r="BB14" s="39">
        <v>0.61480000000000001</v>
      </c>
      <c r="BC14" s="39">
        <v>0.60660000000000003</v>
      </c>
      <c r="BD14" s="39">
        <v>0.7944</v>
      </c>
      <c r="BE14" s="39">
        <v>0.79339999999999999</v>
      </c>
      <c r="BF14" s="30">
        <f t="shared" si="1"/>
        <v>0.15</v>
      </c>
      <c r="BG14" s="30">
        <f>Table1[[#This Row],[Mid_ZAR/kWh]]*Table1[[#This Row],[Mid_(kWh)2]]*(1+0.15)</f>
        <v>22736.596247504996</v>
      </c>
      <c r="BH14" s="30">
        <f>Table1[[#This Row],[HIG_ZAR/kWh]]*Table1[[#This Row],[Hig_Energy_produced_(kWh)2]]*(1+0.15)</f>
        <v>21950.057629445004</v>
      </c>
      <c r="BI14" s="30">
        <f>Table1[[#This Row],[VER_ZAR/kWh]]*Table1[[#This Row],[Verg_Energy_(kWh)]]*(1+0.15)</f>
        <v>76116.076352000004</v>
      </c>
      <c r="BJ14" s="30">
        <f>Table1[[#This Row],[DUR_ZAR/kWh]]*Table1[[#This Row],[Dur_Energy_produced_(kWh)]]*(1+0.15)</f>
        <v>52507.599299999929</v>
      </c>
      <c r="BK14" s="30">
        <f>Table1[[#This Row],[HER_ZAR/kWh2]]*Table1[[#This Row],[Her_Energy_produced_(kWh)]]*(1+0.15)</f>
        <v>26142.518834639999</v>
      </c>
      <c r="BL14" s="17">
        <f>Table1[[#This Row],[Mid_ZAR/kWh]]*Table1[[#This Row],[Mid_P50_(kWh)]]*(1+0.15)</f>
        <v>0</v>
      </c>
      <c r="BM14" s="17">
        <f>Table1[[#This Row],[HIG_ZAR/kWh]]*Table1[[#This Row],[Hig_P50_(kWh)]]*(1+0.15)</f>
        <v>0</v>
      </c>
      <c r="BN14" s="17">
        <f>Table1[[#This Row],[VER_ZAR/kWh]]*Table1[[#This Row],[Verg_P50_(kWh)]]*(1+0.15)</f>
        <v>0</v>
      </c>
      <c r="BO14" s="17">
        <f>Table1[[#This Row],[DUR_ZAR/kWh]]*Table1[[#This Row],[Dur_P50_(kWh)]]*(1+0.15)</f>
        <v>0</v>
      </c>
      <c r="BP14" s="17">
        <f>Table1[[#This Row],[HER_ZAR/kWh2]]*Table1[[#This Row],[Her_P50_(kWh)]]*(1+0.15)</f>
        <v>0</v>
      </c>
      <c r="BQ14" s="17"/>
      <c r="BR14" s="32">
        <v>95</v>
      </c>
      <c r="BS14" s="32"/>
      <c r="BT14" s="32"/>
      <c r="BU14" s="32"/>
      <c r="BV14" s="34">
        <v>95</v>
      </c>
      <c r="BW14" s="34"/>
      <c r="BX14" s="36">
        <v>95</v>
      </c>
      <c r="BY14" s="112"/>
      <c r="BZ14" s="38">
        <v>95</v>
      </c>
      <c r="CA14" s="38"/>
      <c r="CB14" s="38"/>
      <c r="CC14" s="37">
        <v>95</v>
      </c>
    </row>
    <row r="15" spans="1:81" x14ac:dyDescent="0.25">
      <c r="A15" s="13">
        <v>44867</v>
      </c>
      <c r="B15" s="164">
        <f>DataInput!B4</f>
        <v>0</v>
      </c>
      <c r="C15" s="31" t="e">
        <f>(Table1[[#This Row],[Verg_Energy_(kWh)]]/696.6)/(D15)</f>
        <v>#DIV/0!</v>
      </c>
      <c r="D15" s="164">
        <f>DataInput!D4</f>
        <v>0</v>
      </c>
      <c r="E15" s="164">
        <f>DataInput!E4</f>
        <v>0</v>
      </c>
      <c r="F15" s="164">
        <f>DataInput!F4</f>
        <v>0</v>
      </c>
      <c r="G15" s="163"/>
      <c r="H15" s="163"/>
      <c r="I15" s="164">
        <f>DataInput!G4</f>
        <v>0</v>
      </c>
      <c r="J15" s="163"/>
      <c r="K15" s="164">
        <f>DataInput!H4</f>
        <v>0</v>
      </c>
      <c r="L15" s="165">
        <f>DataInput!I4</f>
        <v>0</v>
      </c>
      <c r="M15" s="33" t="e">
        <f>(Table1[[#This Row],[Mid_(kWh)2]]/227.9)/(Table1[[#This Row],[Mid_Irradiated_(kWh/m²)]])</f>
        <v>#DIV/0!</v>
      </c>
      <c r="N15" s="165">
        <f>DataInput!K4</f>
        <v>0</v>
      </c>
      <c r="O15" s="165">
        <f>DataInput!L4</f>
        <v>0</v>
      </c>
      <c r="P15" s="165">
        <f>DataInput!M4</f>
        <v>0</v>
      </c>
      <c r="Q15" s="33"/>
      <c r="R15" s="33"/>
      <c r="S15" s="165">
        <f>DataInput!N4</f>
        <v>0</v>
      </c>
      <c r="T15" s="33"/>
      <c r="U15" s="165">
        <f>DataInput!O4</f>
        <v>0</v>
      </c>
      <c r="V15" s="166">
        <f>DataInput!P4</f>
        <v>0</v>
      </c>
      <c r="W15" s="35" t="e">
        <f>(Table1[[#This Row],[Dur_Energy_produced_(kWh)]]/705.6)/X15</f>
        <v>#DIV/0!</v>
      </c>
      <c r="X15" s="166">
        <f>DataInput!R4</f>
        <v>0</v>
      </c>
      <c r="Y15" s="166">
        <f>DataInput!S4</f>
        <v>0</v>
      </c>
      <c r="Z15" s="166">
        <f>DataInput!T4</f>
        <v>0</v>
      </c>
      <c r="AA15" s="35"/>
      <c r="AB15" s="35"/>
      <c r="AC15" s="166">
        <f>DataInput!U4</f>
        <v>0</v>
      </c>
      <c r="AD15" s="35"/>
      <c r="AE15" s="166">
        <f>DataInput!V4</f>
        <v>0</v>
      </c>
      <c r="AF15" s="171">
        <f>DataInput!W4</f>
        <v>0</v>
      </c>
      <c r="AG15" s="171">
        <f>DataInput!X4</f>
        <v>0</v>
      </c>
      <c r="AH15" s="171">
        <f>DataInput!Y4</f>
        <v>0</v>
      </c>
      <c r="AI15" s="171">
        <f>DataInput!Z4</f>
        <v>0</v>
      </c>
      <c r="AJ15" s="171">
        <f>DataInput!AA4</f>
        <v>0</v>
      </c>
      <c r="AK15" s="167"/>
      <c r="AL15" s="167">
        <f>DataInput!AB4</f>
        <v>0</v>
      </c>
      <c r="AM15" s="167"/>
      <c r="AN15" s="167">
        <f>DataInput!AC4</f>
        <v>0</v>
      </c>
      <c r="AO15" s="167">
        <f>DataInput!AK4</f>
        <v>0</v>
      </c>
      <c r="AP15" s="172">
        <f>DataInput!AD4</f>
        <v>0</v>
      </c>
      <c r="AQ15" s="172">
        <f>DataInput!AE4</f>
        <v>0</v>
      </c>
      <c r="AR15" s="172">
        <f>DataInput!AF4</f>
        <v>0</v>
      </c>
      <c r="AS15" s="172">
        <f>DataInput!AG4</f>
        <v>0</v>
      </c>
      <c r="AT15" s="172"/>
      <c r="AU15" s="172"/>
      <c r="AV15" s="172"/>
      <c r="AW15" s="172"/>
      <c r="AX15" s="172"/>
      <c r="AY15" s="172">
        <f>DataInput!AJ4</f>
        <v>0</v>
      </c>
      <c r="AZ15" s="39">
        <v>0.67410000000000003</v>
      </c>
      <c r="BA15" s="39">
        <v>0.65890000000000004</v>
      </c>
      <c r="BB15" s="39">
        <v>0.61480000000000001</v>
      </c>
      <c r="BC15" s="39">
        <v>0.60660000000000003</v>
      </c>
      <c r="BD15" s="39">
        <v>0.7944</v>
      </c>
      <c r="BE15" s="39">
        <v>0.79339999999999999</v>
      </c>
      <c r="BF15" s="30">
        <f t="shared" si="1"/>
        <v>0.15</v>
      </c>
      <c r="BG15" s="30">
        <f>Table1[[#This Row],[Mid_ZAR/kWh]]*Table1[[#This Row],[Mid_(kWh)2]]*(1+0.15)</f>
        <v>0</v>
      </c>
      <c r="BH15" s="30">
        <f>Table1[[#This Row],[HIG_ZAR/kWh]]*Table1[[#This Row],[Hig_Energy_produced_(kWh)2]]*(1+0.15)</f>
        <v>0</v>
      </c>
      <c r="BI15" s="30">
        <f>Table1[[#This Row],[VER_ZAR/kWh]]*Table1[[#This Row],[Verg_Energy_(kWh)]]*(1+0.15)</f>
        <v>0</v>
      </c>
      <c r="BJ15" s="30">
        <f>Table1[[#This Row],[DUR_ZAR/kWh]]*Table1[[#This Row],[Dur_Energy_produced_(kWh)]]*(1+0.15)</f>
        <v>0</v>
      </c>
      <c r="BK15" s="30">
        <f>Table1[[#This Row],[HER_ZAR/kWh2]]*Table1[[#This Row],[Her_Energy_produced_(kWh)]]*(1+0.15)</f>
        <v>0</v>
      </c>
      <c r="BL15" s="17">
        <f>Table1[[#This Row],[Mid_ZAR/kWh]]*Table1[[#This Row],[Mid_P50_(kWh)]]*(1+0.15)</f>
        <v>0</v>
      </c>
      <c r="BM15" s="17">
        <f>Table1[[#This Row],[HIG_ZAR/kWh]]*Table1[[#This Row],[Hig_P50_(kWh)]]*(1+0.15)</f>
        <v>0</v>
      </c>
      <c r="BN15" s="17">
        <f>Table1[[#This Row],[VER_ZAR/kWh]]*Table1[[#This Row],[Verg_P50_(kWh)]]*(1+0.15)</f>
        <v>0</v>
      </c>
      <c r="BO15" s="17">
        <f>Table1[[#This Row],[DUR_ZAR/kWh]]*Table1[[#This Row],[Dur_P50_(kWh)]]*(1+0.15)</f>
        <v>0</v>
      </c>
      <c r="BP15" s="17">
        <f>Table1[[#This Row],[HER_ZAR/kWh2]]*Table1[[#This Row],[Her_P50_(kWh)]]*(1+0.15)</f>
        <v>0</v>
      </c>
      <c r="BQ15" s="17"/>
      <c r="BR15" s="32"/>
      <c r="BS15" s="32"/>
      <c r="BT15" s="32"/>
      <c r="BU15" s="32"/>
      <c r="BV15" s="34"/>
      <c r="BW15" s="34"/>
      <c r="BX15" s="36"/>
      <c r="BY15" s="36"/>
      <c r="BZ15" s="38"/>
      <c r="CA15" s="38"/>
      <c r="CB15" s="38"/>
      <c r="CC15" s="37"/>
    </row>
    <row r="16" spans="1:81" x14ac:dyDescent="0.25">
      <c r="A16" s="13">
        <v>44896</v>
      </c>
      <c r="B16" s="164">
        <f>DataInput!B5</f>
        <v>0</v>
      </c>
      <c r="C16" s="31" t="e">
        <f>(Table1[[#This Row],[Verg_Energy_(kWh)]]/696.6)/(D16)</f>
        <v>#DIV/0!</v>
      </c>
      <c r="D16" s="164">
        <f>DataInput!D5</f>
        <v>0</v>
      </c>
      <c r="E16" s="164">
        <f>DataInput!E5</f>
        <v>0</v>
      </c>
      <c r="F16" s="164">
        <f>DataInput!F5</f>
        <v>0</v>
      </c>
      <c r="G16" s="163"/>
      <c r="H16" s="163"/>
      <c r="I16" s="164">
        <f>DataInput!G5</f>
        <v>0</v>
      </c>
      <c r="J16" s="163"/>
      <c r="K16" s="164">
        <f>DataInput!H5</f>
        <v>0</v>
      </c>
      <c r="L16" s="165">
        <f>DataInput!I5</f>
        <v>0</v>
      </c>
      <c r="M16" s="33" t="e">
        <f>(Table1[[#This Row],[Mid_(kWh)2]]/227.9)/(Table1[[#This Row],[Mid_Irradiated_(kWh/m²)]])</f>
        <v>#DIV/0!</v>
      </c>
      <c r="N16" s="165">
        <f>DataInput!K5</f>
        <v>0</v>
      </c>
      <c r="O16" s="165">
        <f>DataInput!L5</f>
        <v>0</v>
      </c>
      <c r="P16" s="165">
        <f>DataInput!M5</f>
        <v>0</v>
      </c>
      <c r="Q16" s="33"/>
      <c r="R16" s="33"/>
      <c r="S16" s="165">
        <f>DataInput!N5</f>
        <v>0</v>
      </c>
      <c r="T16" s="33"/>
      <c r="U16" s="165">
        <f>DataInput!O5</f>
        <v>0</v>
      </c>
      <c r="V16" s="166">
        <f>DataInput!P5</f>
        <v>0</v>
      </c>
      <c r="W16" s="35" t="e">
        <f>(Table1[[#This Row],[Dur_Energy_produced_(kWh)]]/705.6)/X16</f>
        <v>#DIV/0!</v>
      </c>
      <c r="X16" s="166">
        <f>DataInput!R5</f>
        <v>0</v>
      </c>
      <c r="Y16" s="166">
        <f>DataInput!S5</f>
        <v>0</v>
      </c>
      <c r="Z16" s="166">
        <f>DataInput!T5</f>
        <v>0</v>
      </c>
      <c r="AA16" s="35"/>
      <c r="AB16" s="35"/>
      <c r="AC16" s="166">
        <f>DataInput!U5</f>
        <v>0</v>
      </c>
      <c r="AD16" s="35"/>
      <c r="AE16" s="166">
        <f>DataInput!V5</f>
        <v>0</v>
      </c>
      <c r="AF16" s="171">
        <f>DataInput!W5</f>
        <v>0</v>
      </c>
      <c r="AG16" s="171">
        <f>DataInput!X5</f>
        <v>0</v>
      </c>
      <c r="AH16" s="171">
        <f>DataInput!Y5</f>
        <v>0</v>
      </c>
      <c r="AI16" s="171">
        <f>DataInput!Z5</f>
        <v>0</v>
      </c>
      <c r="AJ16" s="171">
        <f>DataInput!AA5</f>
        <v>0</v>
      </c>
      <c r="AK16" s="167"/>
      <c r="AL16" s="167">
        <f>DataInput!AB5</f>
        <v>0</v>
      </c>
      <c r="AM16" s="167"/>
      <c r="AN16" s="167">
        <f>DataInput!AC5</f>
        <v>0</v>
      </c>
      <c r="AO16" s="167">
        <f>DataInput!AK5</f>
        <v>0</v>
      </c>
      <c r="AP16" s="172">
        <f>DataInput!AD5</f>
        <v>0</v>
      </c>
      <c r="AQ16" s="172">
        <f>DataInput!AE5</f>
        <v>0</v>
      </c>
      <c r="AR16" s="172">
        <f>DataInput!AF5</f>
        <v>0</v>
      </c>
      <c r="AS16" s="172">
        <f>DataInput!AG5</f>
        <v>0</v>
      </c>
      <c r="AT16" s="172"/>
      <c r="AU16" s="172"/>
      <c r="AV16" s="172"/>
      <c r="AW16" s="172"/>
      <c r="AX16" s="172"/>
      <c r="AY16" s="172">
        <f>DataInput!AJ5</f>
        <v>0</v>
      </c>
      <c r="AZ16" s="39">
        <v>0.67410000000000003</v>
      </c>
      <c r="BA16" s="39">
        <v>0.65890000000000004</v>
      </c>
      <c r="BB16" s="39">
        <v>0.61480000000000001</v>
      </c>
      <c r="BC16" s="39">
        <v>0.60660000000000003</v>
      </c>
      <c r="BD16" s="39">
        <v>0.7944</v>
      </c>
      <c r="BE16" s="39">
        <v>0.79339999999999999</v>
      </c>
      <c r="BF16" s="30">
        <f t="shared" si="1"/>
        <v>0.15</v>
      </c>
      <c r="BG16" s="30">
        <f>Table1[[#This Row],[Mid_ZAR/kWh]]*Table1[[#This Row],[Mid_(kWh)2]]*(1+0.15)</f>
        <v>0</v>
      </c>
      <c r="BH16" s="30">
        <f>Table1[[#This Row],[HIG_ZAR/kWh]]*Table1[[#This Row],[Hig_Energy_produced_(kWh)2]]*(1+0.15)</f>
        <v>0</v>
      </c>
      <c r="BI16" s="30">
        <f>Table1[[#This Row],[VER_ZAR/kWh]]*Table1[[#This Row],[Verg_Energy_(kWh)]]*(1+0.15)</f>
        <v>0</v>
      </c>
      <c r="BJ16" s="30">
        <f>Table1[[#This Row],[DUR_ZAR/kWh]]*Table1[[#This Row],[Dur_Energy_produced_(kWh)]]*(1+0.15)</f>
        <v>0</v>
      </c>
      <c r="BK16" s="30">
        <f>Table1[[#This Row],[HER_ZAR/kWh2]]*Table1[[#This Row],[Her_Energy_produced_(kWh)]]*(1+0.15)</f>
        <v>0</v>
      </c>
      <c r="BL16" s="17">
        <f>Table1[[#This Row],[Mid_ZAR/kWh]]*Table1[[#This Row],[Mid_P50_(kWh)]]*(1+0.15)</f>
        <v>0</v>
      </c>
      <c r="BM16" s="17">
        <f>Table1[[#This Row],[HIG_ZAR/kWh]]*Table1[[#This Row],[Hig_P50_(kWh)]]*(1+0.15)</f>
        <v>0</v>
      </c>
      <c r="BN16" s="17">
        <f>Table1[[#This Row],[VER_ZAR/kWh]]*Table1[[#This Row],[Verg_P50_(kWh)]]*(1+0.15)</f>
        <v>0</v>
      </c>
      <c r="BO16" s="17">
        <f>Table1[[#This Row],[DUR_ZAR/kWh]]*Table1[[#This Row],[Dur_P50_(kWh)]]*(1+0.15)</f>
        <v>0</v>
      </c>
      <c r="BP16" s="17">
        <f>Table1[[#This Row],[HER_ZAR/kWh2]]*Table1[[#This Row],[Her_P50_(kWh)]]*(1+0.15)</f>
        <v>0</v>
      </c>
      <c r="BQ16" s="17"/>
      <c r="BR16" s="32">
        <v>95</v>
      </c>
      <c r="BS16" s="32"/>
      <c r="BT16" s="32"/>
      <c r="BU16" s="32"/>
      <c r="BV16" s="34">
        <v>95</v>
      </c>
      <c r="BW16" s="34"/>
      <c r="BX16" s="36">
        <v>95</v>
      </c>
      <c r="BY16" s="36"/>
      <c r="BZ16" s="38">
        <v>95</v>
      </c>
      <c r="CA16" s="38"/>
      <c r="CB16" s="38"/>
      <c r="CC16" s="37">
        <v>95</v>
      </c>
    </row>
    <row r="17" spans="1:81" ht="18" customHeight="1" x14ac:dyDescent="0.25">
      <c r="A17" s="13">
        <v>44927</v>
      </c>
      <c r="B17" s="164">
        <f>DataInput!B6</f>
        <v>0</v>
      </c>
      <c r="C17" s="31" t="e">
        <f>(Table1[[#This Row],[Verg_Energy_(kWh)]]/696.6)/(D17)</f>
        <v>#DIV/0!</v>
      </c>
      <c r="D17" s="164">
        <f>DataInput!D6</f>
        <v>0</v>
      </c>
      <c r="E17" s="164">
        <f>DataInput!E6</f>
        <v>0</v>
      </c>
      <c r="F17" s="164">
        <f>DataInput!F6</f>
        <v>0</v>
      </c>
      <c r="G17" s="163"/>
      <c r="H17" s="163"/>
      <c r="I17" s="164">
        <f>DataInput!G6</f>
        <v>0</v>
      </c>
      <c r="J17" s="163"/>
      <c r="K17" s="164">
        <f>DataInput!H6</f>
        <v>0</v>
      </c>
      <c r="L17" s="165">
        <f>DataInput!I6</f>
        <v>0</v>
      </c>
      <c r="M17" s="33" t="e">
        <f>(Table1[[#This Row],[Mid_(kWh)2]]/227.9)/(Table1[[#This Row],[Mid_Irradiated_(kWh/m²)]])</f>
        <v>#DIV/0!</v>
      </c>
      <c r="N17" s="165">
        <f>DataInput!K6</f>
        <v>0</v>
      </c>
      <c r="O17" s="165">
        <f>DataInput!L6</f>
        <v>0</v>
      </c>
      <c r="P17" s="165">
        <f>DataInput!M6</f>
        <v>0</v>
      </c>
      <c r="Q17" s="33"/>
      <c r="R17" s="33"/>
      <c r="S17" s="165">
        <f>DataInput!N6</f>
        <v>0</v>
      </c>
      <c r="T17" s="33"/>
      <c r="U17" s="165">
        <f>DataInput!O6</f>
        <v>0</v>
      </c>
      <c r="V17" s="166">
        <f>DataInput!P6</f>
        <v>0</v>
      </c>
      <c r="W17" s="35" t="e">
        <f>(Table1[[#This Row],[Dur_Energy_produced_(kWh)]]/705.6)/X17</f>
        <v>#DIV/0!</v>
      </c>
      <c r="X17" s="166">
        <f>DataInput!R6</f>
        <v>0</v>
      </c>
      <c r="Y17" s="166">
        <f>DataInput!S6</f>
        <v>0</v>
      </c>
      <c r="Z17" s="166">
        <f>DataInput!T6</f>
        <v>0</v>
      </c>
      <c r="AA17" s="35"/>
      <c r="AB17" s="35"/>
      <c r="AC17" s="166">
        <f>DataInput!U6</f>
        <v>0</v>
      </c>
      <c r="AD17" s="35"/>
      <c r="AE17" s="166">
        <f>DataInput!V6</f>
        <v>0</v>
      </c>
      <c r="AF17" s="171">
        <f>DataInput!W6</f>
        <v>0</v>
      </c>
      <c r="AG17" s="171">
        <f>DataInput!X6</f>
        <v>0</v>
      </c>
      <c r="AH17" s="171">
        <f>DataInput!Y6</f>
        <v>0</v>
      </c>
      <c r="AI17" s="171">
        <f>DataInput!Z6</f>
        <v>0</v>
      </c>
      <c r="AJ17" s="171">
        <f>DataInput!AA6</f>
        <v>0</v>
      </c>
      <c r="AK17" s="167"/>
      <c r="AL17" s="167">
        <f>DataInput!AB6</f>
        <v>0</v>
      </c>
      <c r="AM17" s="167"/>
      <c r="AN17" s="167">
        <f>DataInput!AC6</f>
        <v>0</v>
      </c>
      <c r="AO17" s="167">
        <f>DataInput!AK6</f>
        <v>0</v>
      </c>
      <c r="AP17" s="172">
        <f>DataInput!AD6</f>
        <v>0</v>
      </c>
      <c r="AQ17" s="172">
        <f>DataInput!AE6</f>
        <v>0</v>
      </c>
      <c r="AR17" s="172">
        <f>DataInput!AF6</f>
        <v>0</v>
      </c>
      <c r="AS17" s="172">
        <f>DataInput!AG6</f>
        <v>0</v>
      </c>
      <c r="AT17" s="172"/>
      <c r="AU17" s="172"/>
      <c r="AV17" s="172"/>
      <c r="AW17" s="172"/>
      <c r="AX17" s="172"/>
      <c r="AY17" s="172">
        <f>DataInput!AJ6</f>
        <v>0</v>
      </c>
      <c r="AZ17" s="39">
        <v>0.67410000000000003</v>
      </c>
      <c r="BA17" s="39">
        <v>0.65890000000000004</v>
      </c>
      <c r="BB17" s="39">
        <v>0.61480000000000001</v>
      </c>
      <c r="BC17" s="39">
        <v>0.60660000000000003</v>
      </c>
      <c r="BD17" s="39">
        <v>0.7944</v>
      </c>
      <c r="BE17" s="39">
        <v>0.79339999999999999</v>
      </c>
      <c r="BF17" s="30">
        <f t="shared" si="1"/>
        <v>0.15</v>
      </c>
      <c r="BG17" s="30">
        <f>Table1[[#This Row],[Mid_ZAR/kWh]]*Table1[[#This Row],[Mid_(kWh)2]]*(1+0.15)</f>
        <v>0</v>
      </c>
      <c r="BH17" s="30">
        <f>Table1[[#This Row],[HIG_ZAR/kWh]]*Table1[[#This Row],[Hig_Energy_produced_(kWh)2]]*(1+0.15)</f>
        <v>0</v>
      </c>
      <c r="BI17" s="30">
        <f>Table1[[#This Row],[VER_ZAR/kWh]]*Table1[[#This Row],[Verg_Energy_(kWh)]]*(1+0.15)</f>
        <v>0</v>
      </c>
      <c r="BJ17" s="30">
        <f>Table1[[#This Row],[DUR_ZAR/kWh]]*Table1[[#This Row],[Dur_Energy_produced_(kWh)]]*(1+0.15)</f>
        <v>0</v>
      </c>
      <c r="BK17" s="30">
        <f>Table1[[#This Row],[HER_ZAR/kWh2]]*Table1[[#This Row],[Her_Energy_produced_(kWh)]]*(1+0.15)</f>
        <v>0</v>
      </c>
      <c r="BL17" s="17">
        <f>Table1[[#This Row],[Mid_ZAR/kWh]]*Table1[[#This Row],[Mid_P50_(kWh)]]*(1+0.15)</f>
        <v>0</v>
      </c>
      <c r="BM17" s="17">
        <f>Table1[[#This Row],[HIG_ZAR/kWh]]*Table1[[#This Row],[Hig_P50_(kWh)]]*(1+0.15)</f>
        <v>0</v>
      </c>
      <c r="BN17" s="17">
        <f>Table1[[#This Row],[VER_ZAR/kWh]]*Table1[[#This Row],[Verg_P50_(kWh)]]*(1+0.15)</f>
        <v>0</v>
      </c>
      <c r="BO17" s="17">
        <f>Table1[[#This Row],[DUR_ZAR/kWh]]*Table1[[#This Row],[Dur_P50_(kWh)]]*(1+0.15)</f>
        <v>0</v>
      </c>
      <c r="BP17" s="17">
        <f>Table1[[#This Row],[HER_ZAR/kWh2]]*Table1[[#This Row],[Her_P50_(kWh)]]*(1+0.15)</f>
        <v>0</v>
      </c>
      <c r="BQ17" s="17"/>
      <c r="BR17" s="32">
        <v>95</v>
      </c>
      <c r="BS17" s="32"/>
      <c r="BT17" s="32"/>
      <c r="BU17" s="32"/>
      <c r="BV17" s="34">
        <v>95</v>
      </c>
      <c r="BW17" s="34"/>
      <c r="BX17" s="36">
        <v>95</v>
      </c>
      <c r="BY17" s="36"/>
      <c r="BZ17" s="38">
        <v>95</v>
      </c>
      <c r="CA17" s="38"/>
      <c r="CB17" s="38"/>
      <c r="CC17" s="37">
        <v>95</v>
      </c>
    </row>
    <row r="18" spans="1:81" x14ac:dyDescent="0.25">
      <c r="A18" s="13">
        <v>44958</v>
      </c>
      <c r="B18" s="164">
        <f>DataInput!B7</f>
        <v>0</v>
      </c>
      <c r="C18" s="31" t="e">
        <f>(Table1[[#This Row],[Verg_Energy_(kWh)]]/696.6)/(D18)</f>
        <v>#DIV/0!</v>
      </c>
      <c r="D18" s="164">
        <f>DataInput!D7</f>
        <v>0</v>
      </c>
      <c r="E18" s="164">
        <f>DataInput!E7</f>
        <v>0</v>
      </c>
      <c r="F18" s="164">
        <f>DataInput!F7</f>
        <v>0</v>
      </c>
      <c r="G18" s="163"/>
      <c r="H18" s="163"/>
      <c r="I18" s="164">
        <f>DataInput!G7</f>
        <v>0</v>
      </c>
      <c r="J18" s="163"/>
      <c r="K18" s="164">
        <f>DataInput!H7</f>
        <v>0</v>
      </c>
      <c r="L18" s="165">
        <f>DataInput!I7</f>
        <v>0</v>
      </c>
      <c r="M18" s="33" t="e">
        <f>(Table1[[#This Row],[Mid_(kWh)2]]/227.9)/(Table1[[#This Row],[Mid_Irradiated_(kWh/m²)]])</f>
        <v>#DIV/0!</v>
      </c>
      <c r="N18" s="165">
        <f>DataInput!K7</f>
        <v>0</v>
      </c>
      <c r="O18" s="165">
        <f>DataInput!L7</f>
        <v>0</v>
      </c>
      <c r="P18" s="165">
        <f>DataInput!M7</f>
        <v>0</v>
      </c>
      <c r="Q18" s="33"/>
      <c r="R18" s="33"/>
      <c r="S18" s="165">
        <f>DataInput!N7</f>
        <v>0</v>
      </c>
      <c r="T18" s="33"/>
      <c r="U18" s="165">
        <f>DataInput!O7</f>
        <v>0</v>
      </c>
      <c r="V18" s="166">
        <f>DataInput!P7</f>
        <v>0</v>
      </c>
      <c r="W18" s="35" t="e">
        <f>(Table1[[#This Row],[Dur_Energy_produced_(kWh)]]/705.6)/X18</f>
        <v>#DIV/0!</v>
      </c>
      <c r="X18" s="166">
        <f>DataInput!R7</f>
        <v>0</v>
      </c>
      <c r="Y18" s="166">
        <f>DataInput!S7</f>
        <v>0</v>
      </c>
      <c r="Z18" s="166">
        <f>DataInput!T7</f>
        <v>0</v>
      </c>
      <c r="AA18" s="35"/>
      <c r="AB18" s="35"/>
      <c r="AC18" s="166">
        <f>DataInput!U7</f>
        <v>0</v>
      </c>
      <c r="AD18" s="35"/>
      <c r="AE18" s="166">
        <f>DataInput!V7</f>
        <v>0</v>
      </c>
      <c r="AF18" s="171">
        <f>DataInput!W7</f>
        <v>0</v>
      </c>
      <c r="AG18" s="171">
        <f>DataInput!X7</f>
        <v>0</v>
      </c>
      <c r="AH18" s="171">
        <f>DataInput!Y7</f>
        <v>0</v>
      </c>
      <c r="AI18" s="171">
        <f>DataInput!Z7</f>
        <v>0</v>
      </c>
      <c r="AJ18" s="171">
        <f>DataInput!AA7</f>
        <v>0</v>
      </c>
      <c r="AK18" s="167"/>
      <c r="AL18" s="167">
        <f>DataInput!AB7</f>
        <v>0</v>
      </c>
      <c r="AM18" s="167"/>
      <c r="AN18" s="167">
        <f>DataInput!AC7</f>
        <v>0</v>
      </c>
      <c r="AO18" s="167">
        <f>DataInput!AK7</f>
        <v>0</v>
      </c>
      <c r="AP18" s="172">
        <f>DataInput!AD7</f>
        <v>0</v>
      </c>
      <c r="AQ18" s="172">
        <f>DataInput!AE7</f>
        <v>0</v>
      </c>
      <c r="AR18" s="172">
        <f>DataInput!AF7</f>
        <v>0</v>
      </c>
      <c r="AS18" s="172">
        <f>DataInput!AG7</f>
        <v>0</v>
      </c>
      <c r="AT18" s="172"/>
      <c r="AU18" s="172"/>
      <c r="AV18" s="172"/>
      <c r="AW18" s="172"/>
      <c r="AX18" s="172"/>
      <c r="AY18" s="172">
        <f>DataInput!AJ7</f>
        <v>0</v>
      </c>
      <c r="AZ18" s="39">
        <v>0.67410000000000003</v>
      </c>
      <c r="BA18" s="39">
        <v>0.65890000000000004</v>
      </c>
      <c r="BB18" s="39">
        <v>0.61480000000000001</v>
      </c>
      <c r="BC18" s="39">
        <v>0.60660000000000003</v>
      </c>
      <c r="BD18" s="39">
        <v>0.7944</v>
      </c>
      <c r="BE18" s="39">
        <v>0.79339999999999999</v>
      </c>
      <c r="BF18" s="30">
        <f t="shared" si="1"/>
        <v>0.15</v>
      </c>
      <c r="BG18" s="30">
        <f>Table1[[#This Row],[Mid_ZAR/kWh]]*Table1[[#This Row],[Mid_(kWh)2]]*(1+0.15)</f>
        <v>0</v>
      </c>
      <c r="BH18" s="30">
        <f>Table1[[#This Row],[HIG_ZAR/kWh]]*Table1[[#This Row],[Hig_Energy_produced_(kWh)2]]*(1+0.15)</f>
        <v>0</v>
      </c>
      <c r="BI18" s="30">
        <f>Table1[[#This Row],[VER_ZAR/kWh]]*Table1[[#This Row],[Verg_Energy_(kWh)]]*(1+0.15)</f>
        <v>0</v>
      </c>
      <c r="BJ18" s="30">
        <f>Table1[[#This Row],[DUR_ZAR/kWh]]*Table1[[#This Row],[Dur_Energy_produced_(kWh)]]*(1+0.15)</f>
        <v>0</v>
      </c>
      <c r="BK18" s="30">
        <f>Table1[[#This Row],[HER_ZAR/kWh2]]*Table1[[#This Row],[Her_Energy_produced_(kWh)]]*(1+0.15)</f>
        <v>0</v>
      </c>
      <c r="BL18" s="17">
        <f>Table1[[#This Row],[Mid_ZAR/kWh]]*Table1[[#This Row],[Mid_P50_(kWh)]]*(1+0.15)</f>
        <v>0</v>
      </c>
      <c r="BM18" s="17">
        <f>Table1[[#This Row],[HIG_ZAR/kWh]]*Table1[[#This Row],[Hig_P50_(kWh)]]*(1+0.15)</f>
        <v>0</v>
      </c>
      <c r="BN18" s="17">
        <f>Table1[[#This Row],[VER_ZAR/kWh]]*Table1[[#This Row],[Verg_P50_(kWh)]]*(1+0.15)</f>
        <v>0</v>
      </c>
      <c r="BO18" s="17">
        <f>Table1[[#This Row],[DUR_ZAR/kWh]]*Table1[[#This Row],[Dur_P50_(kWh)]]*(1+0.15)</f>
        <v>0</v>
      </c>
      <c r="BP18" s="17">
        <f>Table1[[#This Row],[HER_ZAR/kWh2]]*Table1[[#This Row],[Her_P50_(kWh)]]*(1+0.15)</f>
        <v>0</v>
      </c>
      <c r="BQ18" s="17"/>
      <c r="BR18" s="32">
        <v>95</v>
      </c>
      <c r="BS18" s="32"/>
      <c r="BT18" s="32"/>
      <c r="BU18" s="32"/>
      <c r="BV18" s="34">
        <v>95</v>
      </c>
      <c r="BW18" s="34"/>
      <c r="BX18" s="36">
        <v>95</v>
      </c>
      <c r="BY18" s="36"/>
      <c r="BZ18" s="38">
        <v>95</v>
      </c>
      <c r="CA18" s="38"/>
      <c r="CB18" s="38"/>
      <c r="CC18" s="37">
        <v>95</v>
      </c>
    </row>
    <row r="19" spans="1:81" x14ac:dyDescent="0.25">
      <c r="A19" s="13">
        <v>44986</v>
      </c>
      <c r="B19" s="164">
        <f>DataInput!B8</f>
        <v>0</v>
      </c>
      <c r="C19" s="31" t="e">
        <f>(Table1[[#This Row],[Verg_Energy_(kWh)]]/696.6)/(D19)</f>
        <v>#DIV/0!</v>
      </c>
      <c r="D19" s="164">
        <f>DataInput!D8</f>
        <v>0</v>
      </c>
      <c r="E19" s="164">
        <f>DataInput!E8</f>
        <v>0</v>
      </c>
      <c r="F19" s="164">
        <f>DataInput!F8</f>
        <v>0</v>
      </c>
      <c r="G19" s="163"/>
      <c r="H19" s="163"/>
      <c r="I19" s="164">
        <f>DataInput!G8</f>
        <v>0</v>
      </c>
      <c r="J19" s="163"/>
      <c r="K19" s="164">
        <f>DataInput!H8</f>
        <v>0</v>
      </c>
      <c r="L19" s="165">
        <f>DataInput!I8</f>
        <v>0</v>
      </c>
      <c r="M19" s="33" t="e">
        <f>(Table1[[#This Row],[Mid_(kWh)2]]/227.9)/(Table1[[#This Row],[Mid_Irradiated_(kWh/m²)]])</f>
        <v>#DIV/0!</v>
      </c>
      <c r="N19" s="165">
        <f>DataInput!K8</f>
        <v>0</v>
      </c>
      <c r="O19" s="165">
        <f>DataInput!L8</f>
        <v>0</v>
      </c>
      <c r="P19" s="165">
        <f>DataInput!M8</f>
        <v>0</v>
      </c>
      <c r="Q19" s="33"/>
      <c r="R19" s="33"/>
      <c r="S19" s="165">
        <f>DataInput!N8</f>
        <v>0</v>
      </c>
      <c r="T19" s="33"/>
      <c r="U19" s="165">
        <f>DataInput!O8</f>
        <v>0</v>
      </c>
      <c r="V19" s="166">
        <f>DataInput!P8</f>
        <v>0</v>
      </c>
      <c r="W19" s="35" t="e">
        <f>(Table1[[#This Row],[Dur_Energy_produced_(kWh)]]/705.6)/X19</f>
        <v>#DIV/0!</v>
      </c>
      <c r="X19" s="166">
        <f>DataInput!R8</f>
        <v>0</v>
      </c>
      <c r="Y19" s="166">
        <f>DataInput!S8</f>
        <v>0</v>
      </c>
      <c r="Z19" s="166">
        <f>DataInput!T8</f>
        <v>0</v>
      </c>
      <c r="AA19" s="35"/>
      <c r="AB19" s="35"/>
      <c r="AC19" s="166">
        <f>DataInput!U8</f>
        <v>0</v>
      </c>
      <c r="AD19" s="35"/>
      <c r="AE19" s="166">
        <f>DataInput!V8</f>
        <v>0</v>
      </c>
      <c r="AF19" s="171">
        <f>DataInput!W8</f>
        <v>0</v>
      </c>
      <c r="AG19" s="171">
        <f>DataInput!X8</f>
        <v>0</v>
      </c>
      <c r="AH19" s="171">
        <f>DataInput!Y8</f>
        <v>0</v>
      </c>
      <c r="AI19" s="171">
        <f>DataInput!Z8</f>
        <v>0</v>
      </c>
      <c r="AJ19" s="171">
        <f>DataInput!AA8</f>
        <v>0</v>
      </c>
      <c r="AK19" s="167"/>
      <c r="AL19" s="167">
        <f>DataInput!AB8</f>
        <v>0</v>
      </c>
      <c r="AM19" s="167"/>
      <c r="AN19" s="167">
        <f>DataInput!AC8</f>
        <v>0</v>
      </c>
      <c r="AO19" s="167">
        <f>DataInput!AK8</f>
        <v>0</v>
      </c>
      <c r="AP19" s="172">
        <f>DataInput!AD8</f>
        <v>0</v>
      </c>
      <c r="AQ19" s="172">
        <f>DataInput!AE8</f>
        <v>0</v>
      </c>
      <c r="AR19" s="172">
        <f>DataInput!AF8</f>
        <v>0</v>
      </c>
      <c r="AS19" s="172">
        <f>DataInput!AG8</f>
        <v>0</v>
      </c>
      <c r="AT19" s="172"/>
      <c r="AU19" s="172"/>
      <c r="AV19" s="172"/>
      <c r="AW19" s="172"/>
      <c r="AX19" s="172"/>
      <c r="AY19" s="172">
        <f>DataInput!AJ8</f>
        <v>0</v>
      </c>
      <c r="AZ19" s="39">
        <v>0.67410000000000003</v>
      </c>
      <c r="BA19" s="39">
        <v>0.65890000000000004</v>
      </c>
      <c r="BB19" s="39">
        <v>0.61480000000000001</v>
      </c>
      <c r="BC19" s="39">
        <v>0.60660000000000003</v>
      </c>
      <c r="BD19" s="39">
        <v>0.7944</v>
      </c>
      <c r="BE19" s="39">
        <v>0.79339999999999999</v>
      </c>
      <c r="BF19" s="30">
        <f t="shared" si="1"/>
        <v>0.15</v>
      </c>
      <c r="BG19" s="30">
        <f>Table1[[#This Row],[Mid_ZAR/kWh]]*Table1[[#This Row],[Mid_(kWh)2]]*(1+0.15)</f>
        <v>0</v>
      </c>
      <c r="BH19" s="30">
        <f>Table1[[#This Row],[HIG_ZAR/kWh]]*Table1[[#This Row],[Hig_Energy_produced_(kWh)2]]*(1+0.15)</f>
        <v>0</v>
      </c>
      <c r="BI19" s="30">
        <f>Table1[[#This Row],[VER_ZAR/kWh]]*Table1[[#This Row],[Verg_Energy_(kWh)]]*(1+0.15)</f>
        <v>0</v>
      </c>
      <c r="BJ19" s="30">
        <f>Table1[[#This Row],[DUR_ZAR/kWh]]*Table1[[#This Row],[Dur_Energy_produced_(kWh)]]*(1+0.15)</f>
        <v>0</v>
      </c>
      <c r="BK19" s="30">
        <f>Table1[[#This Row],[HER_ZAR/kWh2]]*Table1[[#This Row],[Her_Energy_produced_(kWh)]]*(1+0.15)</f>
        <v>0</v>
      </c>
      <c r="BL19" s="17">
        <f>Table1[[#This Row],[Mid_ZAR/kWh]]*Table1[[#This Row],[Mid_P50_(kWh)]]*(1+0.15)</f>
        <v>0</v>
      </c>
      <c r="BM19" s="17">
        <f>Table1[[#This Row],[HIG_ZAR/kWh]]*Table1[[#This Row],[Hig_P50_(kWh)]]*(1+0.15)</f>
        <v>0</v>
      </c>
      <c r="BN19" s="17">
        <f>Table1[[#This Row],[VER_ZAR/kWh]]*Table1[[#This Row],[Verg_P50_(kWh)]]*(1+0.15)</f>
        <v>0</v>
      </c>
      <c r="BO19" s="17">
        <f>Table1[[#This Row],[DUR_ZAR/kWh]]*Table1[[#This Row],[Dur_P50_(kWh)]]*(1+0.15)</f>
        <v>0</v>
      </c>
      <c r="BP19" s="17">
        <f>Table1[[#This Row],[HER_ZAR/kWh2]]*Table1[[#This Row],[Her_P50_(kWh)]]*(1+0.15)</f>
        <v>0</v>
      </c>
      <c r="BQ19" s="17"/>
      <c r="BR19" s="32">
        <v>95</v>
      </c>
      <c r="BS19" s="32"/>
      <c r="BT19" s="32"/>
      <c r="BU19" s="32"/>
      <c r="BV19" s="34">
        <v>95</v>
      </c>
      <c r="BW19" s="34"/>
      <c r="BX19" s="36">
        <v>95</v>
      </c>
      <c r="BY19" s="36"/>
      <c r="BZ19" s="38">
        <v>95</v>
      </c>
      <c r="CA19" s="38"/>
      <c r="CB19" s="38"/>
      <c r="CC19" s="37">
        <v>95</v>
      </c>
    </row>
    <row r="20" spans="1:81" x14ac:dyDescent="0.25">
      <c r="A20" s="13">
        <v>45017</v>
      </c>
      <c r="B20" s="164">
        <f>DataInput!B9</f>
        <v>0</v>
      </c>
      <c r="C20" s="31" t="e">
        <f>(Table1[[#This Row],[Verg_Energy_(kWh)]]/696.6)/(D20)</f>
        <v>#DIV/0!</v>
      </c>
      <c r="D20" s="164">
        <f>DataInput!D9</f>
        <v>0</v>
      </c>
      <c r="E20" s="164">
        <f>DataInput!E9</f>
        <v>0</v>
      </c>
      <c r="F20" s="164">
        <f>DataInput!F9</f>
        <v>0</v>
      </c>
      <c r="G20" s="163"/>
      <c r="H20" s="163"/>
      <c r="I20" s="164">
        <f>DataInput!G9</f>
        <v>0</v>
      </c>
      <c r="J20" s="163"/>
      <c r="K20" s="164">
        <f>DataInput!H9</f>
        <v>0</v>
      </c>
      <c r="L20" s="165">
        <f>DataInput!I9</f>
        <v>0</v>
      </c>
      <c r="M20" s="33" t="e">
        <f>(Table1[[#This Row],[Mid_(kWh)2]]/227.9)/(Table1[[#This Row],[Mid_Irradiated_(kWh/m²)]])</f>
        <v>#DIV/0!</v>
      </c>
      <c r="N20" s="165">
        <f>DataInput!K9</f>
        <v>0</v>
      </c>
      <c r="O20" s="165">
        <f>DataInput!L9</f>
        <v>0</v>
      </c>
      <c r="P20" s="165">
        <f>DataInput!M9</f>
        <v>0</v>
      </c>
      <c r="Q20" s="33"/>
      <c r="R20" s="33"/>
      <c r="S20" s="165">
        <f>DataInput!N9</f>
        <v>0</v>
      </c>
      <c r="T20" s="33"/>
      <c r="U20" s="165">
        <f>DataInput!O9</f>
        <v>0</v>
      </c>
      <c r="V20" s="166">
        <f>DataInput!P9</f>
        <v>0</v>
      </c>
      <c r="W20" s="35" t="e">
        <f>(Table1[[#This Row],[Dur_Energy_produced_(kWh)]]/705.6)/X20</f>
        <v>#DIV/0!</v>
      </c>
      <c r="X20" s="166">
        <f>DataInput!R9</f>
        <v>0</v>
      </c>
      <c r="Y20" s="166">
        <f>DataInput!S9</f>
        <v>0</v>
      </c>
      <c r="Z20" s="166">
        <f>DataInput!T9</f>
        <v>0</v>
      </c>
      <c r="AA20" s="35"/>
      <c r="AB20" s="35"/>
      <c r="AC20" s="166">
        <f>DataInput!U9</f>
        <v>0</v>
      </c>
      <c r="AD20" s="35"/>
      <c r="AE20" s="166">
        <f>DataInput!V9</f>
        <v>0</v>
      </c>
      <c r="AF20" s="171">
        <f>DataInput!W9</f>
        <v>0</v>
      </c>
      <c r="AG20" s="171">
        <f>DataInput!X9</f>
        <v>0</v>
      </c>
      <c r="AH20" s="171">
        <f>DataInput!Y9</f>
        <v>0</v>
      </c>
      <c r="AI20" s="171">
        <f>DataInput!Z9</f>
        <v>0</v>
      </c>
      <c r="AJ20" s="171">
        <f>DataInput!AA9</f>
        <v>0</v>
      </c>
      <c r="AK20" s="167"/>
      <c r="AL20" s="167">
        <f>DataInput!AB9</f>
        <v>0</v>
      </c>
      <c r="AM20" s="167"/>
      <c r="AN20" s="167">
        <f>DataInput!AC9</f>
        <v>0</v>
      </c>
      <c r="AO20" s="167">
        <f>DataInput!AK9</f>
        <v>0</v>
      </c>
      <c r="AP20" s="172">
        <f>DataInput!AD9</f>
        <v>0</v>
      </c>
      <c r="AQ20" s="172">
        <f>DataInput!AE9</f>
        <v>0</v>
      </c>
      <c r="AR20" s="172">
        <f>DataInput!AF9</f>
        <v>0</v>
      </c>
      <c r="AS20" s="172">
        <f>DataInput!AG9</f>
        <v>0</v>
      </c>
      <c r="AT20" s="172"/>
      <c r="AU20" s="172"/>
      <c r="AV20" s="172"/>
      <c r="AW20" s="172"/>
      <c r="AX20" s="172"/>
      <c r="AY20" s="172">
        <f>DataInput!AJ9</f>
        <v>0</v>
      </c>
      <c r="AZ20" s="39">
        <v>0.67410000000000003</v>
      </c>
      <c r="BA20" s="39">
        <v>0.65890000000000004</v>
      </c>
      <c r="BB20" s="39">
        <v>0.61480000000000001</v>
      </c>
      <c r="BC20" s="39">
        <v>0.60660000000000003</v>
      </c>
      <c r="BD20" s="39">
        <v>0.7944</v>
      </c>
      <c r="BE20" s="39">
        <v>0.79339999999999999</v>
      </c>
      <c r="BF20" s="30">
        <f t="shared" si="1"/>
        <v>0.15</v>
      </c>
      <c r="BG20" s="30">
        <f>Table1[[#This Row],[Mid_ZAR/kWh]]*Table1[[#This Row],[Mid_(kWh)2]]*(1+0.15)</f>
        <v>0</v>
      </c>
      <c r="BH20" s="30">
        <f>Table1[[#This Row],[HIG_ZAR/kWh]]*Table1[[#This Row],[Hig_Energy_produced_(kWh)2]]*(1+0.15)</f>
        <v>0</v>
      </c>
      <c r="BI20" s="30">
        <f>Table1[[#This Row],[VER_ZAR/kWh]]*Table1[[#This Row],[Verg_Energy_(kWh)]]*(1+0.15)</f>
        <v>0</v>
      </c>
      <c r="BJ20" s="30">
        <f>Table1[[#This Row],[DUR_ZAR/kWh]]*Table1[[#This Row],[Dur_Energy_produced_(kWh)]]*(1+0.15)</f>
        <v>0</v>
      </c>
      <c r="BK20" s="30">
        <f>Table1[[#This Row],[HER_ZAR/kWh2]]*Table1[[#This Row],[Her_Energy_produced_(kWh)]]*(1+0.15)</f>
        <v>0</v>
      </c>
      <c r="BL20" s="17">
        <f>Table1[[#This Row],[Mid_ZAR/kWh]]*Table1[[#This Row],[Mid_P50_(kWh)]]*(1+0.15)</f>
        <v>0</v>
      </c>
      <c r="BM20" s="17">
        <f>Table1[[#This Row],[HIG_ZAR/kWh]]*Table1[[#This Row],[Hig_P50_(kWh)]]*(1+0.15)</f>
        <v>0</v>
      </c>
      <c r="BN20" s="17">
        <f>Table1[[#This Row],[VER_ZAR/kWh]]*Table1[[#This Row],[Verg_P50_(kWh)]]*(1+0.15)</f>
        <v>0</v>
      </c>
      <c r="BO20" s="17">
        <f>Table1[[#This Row],[DUR_ZAR/kWh]]*Table1[[#This Row],[Dur_P50_(kWh)]]*(1+0.15)</f>
        <v>0</v>
      </c>
      <c r="BP20" s="17">
        <f>Table1[[#This Row],[HER_ZAR/kWh2]]*Table1[[#This Row],[Her_P50_(kWh)]]*(1+0.15)</f>
        <v>0</v>
      </c>
      <c r="BQ20" s="17"/>
      <c r="BR20" s="32">
        <v>95</v>
      </c>
      <c r="BS20" s="32"/>
      <c r="BT20" s="32"/>
      <c r="BU20" s="32"/>
      <c r="BV20" s="34">
        <v>95</v>
      </c>
      <c r="BW20" s="34"/>
      <c r="BX20" s="36">
        <v>95</v>
      </c>
      <c r="BY20" s="36"/>
      <c r="BZ20" s="38">
        <v>95</v>
      </c>
      <c r="CA20" s="38"/>
      <c r="CB20" s="38"/>
      <c r="CC20" s="37">
        <v>95</v>
      </c>
    </row>
    <row r="21" spans="1:81" x14ac:dyDescent="0.25">
      <c r="A21" s="13">
        <v>45047</v>
      </c>
      <c r="B21" s="164">
        <f>DataInput!B10</f>
        <v>0</v>
      </c>
      <c r="C21" s="31" t="e">
        <f>(Table1[[#This Row],[Verg_Energy_(kWh)]]/696.6)/(D21)</f>
        <v>#DIV/0!</v>
      </c>
      <c r="D21" s="164">
        <f>DataInput!D10</f>
        <v>0</v>
      </c>
      <c r="E21" s="164">
        <f>DataInput!E10</f>
        <v>0</v>
      </c>
      <c r="F21" s="164">
        <f>DataInput!F10</f>
        <v>0</v>
      </c>
      <c r="G21" s="163"/>
      <c r="H21" s="163"/>
      <c r="I21" s="164">
        <f>DataInput!G10</f>
        <v>0</v>
      </c>
      <c r="J21" s="163"/>
      <c r="K21" s="164">
        <f>DataInput!H10</f>
        <v>0</v>
      </c>
      <c r="L21" s="165">
        <f>DataInput!I10</f>
        <v>0</v>
      </c>
      <c r="M21" s="33" t="e">
        <f>(Table1[[#This Row],[Mid_(kWh)2]]/227.9)/(Table1[[#This Row],[Mid_Irradiated_(kWh/m²)]])</f>
        <v>#DIV/0!</v>
      </c>
      <c r="N21" s="165">
        <f>DataInput!K10</f>
        <v>0</v>
      </c>
      <c r="O21" s="165">
        <f>DataInput!L10</f>
        <v>0</v>
      </c>
      <c r="P21" s="165">
        <f>DataInput!M10</f>
        <v>0</v>
      </c>
      <c r="Q21" s="33"/>
      <c r="R21" s="33"/>
      <c r="S21" s="165">
        <f>DataInput!N10</f>
        <v>0</v>
      </c>
      <c r="T21" s="33"/>
      <c r="U21" s="165">
        <f>DataInput!O10</f>
        <v>0</v>
      </c>
      <c r="V21" s="166">
        <f>DataInput!P10</f>
        <v>0</v>
      </c>
      <c r="W21" s="35" t="e">
        <f>(Table1[[#This Row],[Dur_Energy_produced_(kWh)]]/705.6)/X21</f>
        <v>#DIV/0!</v>
      </c>
      <c r="X21" s="166">
        <f>DataInput!R10</f>
        <v>0</v>
      </c>
      <c r="Y21" s="166">
        <f>DataInput!S10</f>
        <v>0</v>
      </c>
      <c r="Z21" s="166">
        <f>DataInput!T10</f>
        <v>0</v>
      </c>
      <c r="AA21" s="35"/>
      <c r="AB21" s="35"/>
      <c r="AC21" s="166">
        <f>DataInput!U10</f>
        <v>0</v>
      </c>
      <c r="AD21" s="35"/>
      <c r="AE21" s="166">
        <f>DataInput!V10</f>
        <v>0</v>
      </c>
      <c r="AF21" s="171">
        <f>DataInput!W10</f>
        <v>0</v>
      </c>
      <c r="AG21" s="171">
        <f>DataInput!X10</f>
        <v>0</v>
      </c>
      <c r="AH21" s="171">
        <f>DataInput!Y10</f>
        <v>0</v>
      </c>
      <c r="AI21" s="171">
        <f>DataInput!Z10</f>
        <v>0</v>
      </c>
      <c r="AJ21" s="171">
        <f>DataInput!AA10</f>
        <v>0</v>
      </c>
      <c r="AK21" s="167"/>
      <c r="AL21" s="167">
        <f>DataInput!AB10</f>
        <v>0</v>
      </c>
      <c r="AM21" s="167"/>
      <c r="AN21" s="167">
        <f>DataInput!AC10</f>
        <v>0</v>
      </c>
      <c r="AO21" s="167">
        <f>DataInput!AK10</f>
        <v>0</v>
      </c>
      <c r="AP21" s="172">
        <f>DataInput!AD10</f>
        <v>0</v>
      </c>
      <c r="AQ21" s="172">
        <f>DataInput!AE10</f>
        <v>0</v>
      </c>
      <c r="AR21" s="172">
        <f>DataInput!AF10</f>
        <v>0</v>
      </c>
      <c r="AS21" s="172">
        <f>DataInput!AG10</f>
        <v>0</v>
      </c>
      <c r="AT21" s="172"/>
      <c r="AU21" s="172"/>
      <c r="AV21" s="172"/>
      <c r="AW21" s="172"/>
      <c r="AX21" s="172"/>
      <c r="AY21" s="172">
        <f>DataInput!AJ10</f>
        <v>0</v>
      </c>
      <c r="AZ21" s="39">
        <v>0.67410000000000003</v>
      </c>
      <c r="BA21" s="39">
        <v>0.65890000000000004</v>
      </c>
      <c r="BB21" s="39">
        <v>0.61480000000000001</v>
      </c>
      <c r="BC21" s="39">
        <v>0.60660000000000003</v>
      </c>
      <c r="BD21" s="39">
        <v>0.7944</v>
      </c>
      <c r="BE21" s="39">
        <v>0.79339999999999999</v>
      </c>
      <c r="BF21" s="30">
        <f t="shared" si="1"/>
        <v>0.15</v>
      </c>
      <c r="BG21" s="30">
        <f>Table1[[#This Row],[Mid_ZAR/kWh]]*Table1[[#This Row],[Mid_(kWh)2]]*(1+0.15)</f>
        <v>0</v>
      </c>
      <c r="BH21" s="30">
        <f>Table1[[#This Row],[HIG_ZAR/kWh]]*Table1[[#This Row],[Hig_Energy_produced_(kWh)2]]*(1+0.15)</f>
        <v>0</v>
      </c>
      <c r="BI21" s="30">
        <f>Table1[[#This Row],[VER_ZAR/kWh]]*Table1[[#This Row],[Verg_Energy_(kWh)]]*(1+0.15)</f>
        <v>0</v>
      </c>
      <c r="BJ21" s="30">
        <f>Table1[[#This Row],[DUR_ZAR/kWh]]*Table1[[#This Row],[Dur_Energy_produced_(kWh)]]*(1+0.15)</f>
        <v>0</v>
      </c>
      <c r="BK21" s="30">
        <f>Table1[[#This Row],[HER_ZAR/kWh2]]*Table1[[#This Row],[Her_Energy_produced_(kWh)]]*(1+0.15)</f>
        <v>0</v>
      </c>
      <c r="BL21" s="17">
        <f>Table1[[#This Row],[Mid_ZAR/kWh]]*Table1[[#This Row],[Mid_P50_(kWh)]]*(1+0.15)</f>
        <v>0</v>
      </c>
      <c r="BM21" s="17">
        <f>Table1[[#This Row],[HIG_ZAR/kWh]]*Table1[[#This Row],[Hig_P50_(kWh)]]*(1+0.15)</f>
        <v>0</v>
      </c>
      <c r="BN21" s="17">
        <f>Table1[[#This Row],[VER_ZAR/kWh]]*Table1[[#This Row],[Verg_P50_(kWh)]]*(1+0.15)</f>
        <v>0</v>
      </c>
      <c r="BO21" s="17">
        <f>Table1[[#This Row],[DUR_ZAR/kWh]]*Table1[[#This Row],[Dur_P50_(kWh)]]*(1+0.15)</f>
        <v>0</v>
      </c>
      <c r="BP21" s="17">
        <f>Table1[[#This Row],[HER_ZAR/kWh2]]*Table1[[#This Row],[Her_P50_(kWh)]]*(1+0.15)</f>
        <v>0</v>
      </c>
      <c r="BQ21" s="17"/>
      <c r="BR21" s="32">
        <v>95</v>
      </c>
      <c r="BS21" s="32"/>
      <c r="BT21" s="32"/>
      <c r="BU21" s="32"/>
      <c r="BV21" s="34">
        <v>95</v>
      </c>
      <c r="BW21" s="34"/>
      <c r="BX21" s="36">
        <v>95</v>
      </c>
      <c r="BY21" s="36"/>
      <c r="BZ21" s="38">
        <v>95</v>
      </c>
      <c r="CA21" s="38"/>
      <c r="CB21" s="38"/>
      <c r="CC21" s="37">
        <v>95</v>
      </c>
    </row>
    <row r="22" spans="1:81" x14ac:dyDescent="0.25">
      <c r="A22" s="13">
        <v>45078</v>
      </c>
      <c r="B22" s="164">
        <f>DataInput!B11</f>
        <v>0</v>
      </c>
      <c r="C22" s="31" t="e">
        <f>(Table1[[#This Row],[Verg_Energy_(kWh)]]/696.6)/(D22)</f>
        <v>#DIV/0!</v>
      </c>
      <c r="D22" s="164">
        <f>DataInput!D11</f>
        <v>0</v>
      </c>
      <c r="E22" s="164">
        <f>DataInput!E11</f>
        <v>0</v>
      </c>
      <c r="F22" s="164">
        <f>DataInput!F11</f>
        <v>0</v>
      </c>
      <c r="G22" s="163"/>
      <c r="H22" s="163"/>
      <c r="I22" s="164">
        <f>DataInput!G11</f>
        <v>0</v>
      </c>
      <c r="J22" s="163"/>
      <c r="K22" s="164">
        <f>DataInput!H11</f>
        <v>0</v>
      </c>
      <c r="L22" s="165">
        <f>DataInput!I11</f>
        <v>0</v>
      </c>
      <c r="M22" s="33" t="e">
        <f>(Table1[[#This Row],[Mid_(kWh)2]]/227.9)/(Table1[[#This Row],[Mid_Irradiated_(kWh/m²)]])</f>
        <v>#DIV/0!</v>
      </c>
      <c r="N22" s="165">
        <f>DataInput!K11</f>
        <v>0</v>
      </c>
      <c r="O22" s="165">
        <f>DataInput!L11</f>
        <v>0</v>
      </c>
      <c r="P22" s="165">
        <f>DataInput!M11</f>
        <v>0</v>
      </c>
      <c r="Q22" s="33"/>
      <c r="R22" s="33"/>
      <c r="S22" s="165">
        <f>DataInput!N11</f>
        <v>0</v>
      </c>
      <c r="T22" s="33"/>
      <c r="U22" s="165">
        <f>DataInput!O11</f>
        <v>0</v>
      </c>
      <c r="V22" s="166">
        <f>DataInput!P11</f>
        <v>0</v>
      </c>
      <c r="W22" s="35" t="e">
        <f>(Table1[[#This Row],[Dur_Energy_produced_(kWh)]]/705.6)/X22</f>
        <v>#DIV/0!</v>
      </c>
      <c r="X22" s="166">
        <f>DataInput!R11</f>
        <v>0</v>
      </c>
      <c r="Y22" s="166">
        <f>DataInput!S11</f>
        <v>0</v>
      </c>
      <c r="Z22" s="166">
        <f>DataInput!T11</f>
        <v>0</v>
      </c>
      <c r="AA22" s="35"/>
      <c r="AB22" s="35"/>
      <c r="AC22" s="166">
        <f>DataInput!U11</f>
        <v>0</v>
      </c>
      <c r="AD22" s="35"/>
      <c r="AE22" s="166">
        <f>DataInput!V11</f>
        <v>0</v>
      </c>
      <c r="AF22" s="171">
        <f>DataInput!W11</f>
        <v>0</v>
      </c>
      <c r="AG22" s="171">
        <f>DataInput!X11</f>
        <v>0</v>
      </c>
      <c r="AH22" s="171">
        <f>DataInput!Y11</f>
        <v>0</v>
      </c>
      <c r="AI22" s="171">
        <f>DataInput!Z11</f>
        <v>0</v>
      </c>
      <c r="AJ22" s="171">
        <f>DataInput!AA11</f>
        <v>0</v>
      </c>
      <c r="AK22" s="167"/>
      <c r="AL22" s="167">
        <f>DataInput!AB11</f>
        <v>0</v>
      </c>
      <c r="AM22" s="167"/>
      <c r="AN22" s="167">
        <f>DataInput!AC11</f>
        <v>0</v>
      </c>
      <c r="AO22" s="167">
        <f>DataInput!AK11</f>
        <v>0</v>
      </c>
      <c r="AP22" s="172">
        <f>DataInput!AD11</f>
        <v>0</v>
      </c>
      <c r="AQ22" s="172">
        <f>DataInput!AE11</f>
        <v>0</v>
      </c>
      <c r="AR22" s="172">
        <f>DataInput!AF11</f>
        <v>0</v>
      </c>
      <c r="AS22" s="172">
        <f>DataInput!AG11</f>
        <v>0</v>
      </c>
      <c r="AT22" s="172"/>
      <c r="AU22" s="172"/>
      <c r="AV22" s="172"/>
      <c r="AW22" s="172"/>
      <c r="AX22" s="172"/>
      <c r="AY22" s="172">
        <f>DataInput!AJ11</f>
        <v>0</v>
      </c>
      <c r="AZ22" s="39">
        <v>0.67410000000000003</v>
      </c>
      <c r="BA22" s="39">
        <v>0.65890000000000004</v>
      </c>
      <c r="BB22" s="39">
        <v>0.61480000000000001</v>
      </c>
      <c r="BC22" s="39">
        <v>0.60660000000000003</v>
      </c>
      <c r="BD22" s="39">
        <v>0.7944</v>
      </c>
      <c r="BE22" s="39">
        <v>0.79339999999999999</v>
      </c>
      <c r="BF22" s="30">
        <f t="shared" si="1"/>
        <v>0.15</v>
      </c>
      <c r="BG22" s="30">
        <f>Table1[[#This Row],[Mid_ZAR/kWh]]*Table1[[#This Row],[Mid_(kWh)2]]*(1+0.15)</f>
        <v>0</v>
      </c>
      <c r="BH22" s="30">
        <f>Table1[[#This Row],[HIG_ZAR/kWh]]*Table1[[#This Row],[Hig_Energy_produced_(kWh)2]]*(1+0.15)</f>
        <v>0</v>
      </c>
      <c r="BI22" s="30">
        <f>Table1[[#This Row],[VER_ZAR/kWh]]*Table1[[#This Row],[Verg_Energy_(kWh)]]*(1+0.15)</f>
        <v>0</v>
      </c>
      <c r="BJ22" s="30">
        <f>Table1[[#This Row],[DUR_ZAR/kWh]]*Table1[[#This Row],[Dur_Energy_produced_(kWh)]]*(1+0.15)</f>
        <v>0</v>
      </c>
      <c r="BK22" s="30">
        <f>Table1[[#This Row],[HER_ZAR/kWh2]]*Table1[[#This Row],[Her_Energy_produced_(kWh)]]*(1+0.15)</f>
        <v>0</v>
      </c>
      <c r="BL22" s="17">
        <f>Table1[[#This Row],[Mid_ZAR/kWh]]*Table1[[#This Row],[Mid_P50_(kWh)]]*(1+0.15)</f>
        <v>0</v>
      </c>
      <c r="BM22" s="17">
        <f>Table1[[#This Row],[HIG_ZAR/kWh]]*Table1[[#This Row],[Hig_P50_(kWh)]]*(1+0.15)</f>
        <v>0</v>
      </c>
      <c r="BN22" s="17">
        <f>Table1[[#This Row],[VER_ZAR/kWh]]*Table1[[#This Row],[Verg_P50_(kWh)]]*(1+0.15)</f>
        <v>0</v>
      </c>
      <c r="BO22" s="17">
        <f>Table1[[#This Row],[DUR_ZAR/kWh]]*Table1[[#This Row],[Dur_P50_(kWh)]]*(1+0.15)</f>
        <v>0</v>
      </c>
      <c r="BP22" s="17">
        <f>Table1[[#This Row],[HER_ZAR/kWh2]]*Table1[[#This Row],[Her_P50_(kWh)]]*(1+0.15)</f>
        <v>0</v>
      </c>
      <c r="BQ22" s="17"/>
      <c r="BR22" s="32">
        <v>95</v>
      </c>
      <c r="BS22" s="32"/>
      <c r="BT22" s="32"/>
      <c r="BU22" s="32"/>
      <c r="BV22" s="34">
        <v>95</v>
      </c>
      <c r="BW22" s="34"/>
      <c r="BX22" s="36">
        <v>95</v>
      </c>
      <c r="BY22" s="36"/>
      <c r="BZ22" s="38">
        <v>95</v>
      </c>
      <c r="CA22" s="38"/>
      <c r="CB22" s="38"/>
      <c r="CC22" s="37">
        <v>95</v>
      </c>
    </row>
    <row r="23" spans="1:81" x14ac:dyDescent="0.25">
      <c r="A23" s="13">
        <v>45108</v>
      </c>
      <c r="B23" s="164">
        <f>DataInput!B12</f>
        <v>0</v>
      </c>
      <c r="C23" s="31" t="e">
        <f>(Table1[[#This Row],[Verg_Energy_(kWh)]]/696.6)/(D23)</f>
        <v>#DIV/0!</v>
      </c>
      <c r="D23" s="164">
        <f>DataInput!D12</f>
        <v>0</v>
      </c>
      <c r="E23" s="164">
        <f>DataInput!E12</f>
        <v>0</v>
      </c>
      <c r="F23" s="164">
        <f>DataInput!F12</f>
        <v>0</v>
      </c>
      <c r="G23" s="163"/>
      <c r="H23" s="163"/>
      <c r="I23" s="164">
        <f>DataInput!G12</f>
        <v>0</v>
      </c>
      <c r="J23" s="163"/>
      <c r="K23" s="164">
        <f>DataInput!H12</f>
        <v>0</v>
      </c>
      <c r="L23" s="165">
        <f>DataInput!I12</f>
        <v>0</v>
      </c>
      <c r="M23" s="33" t="e">
        <f>(Table1[[#This Row],[Mid_(kWh)2]]/227.9)/(Table1[[#This Row],[Mid_Irradiated_(kWh/m²)]])</f>
        <v>#DIV/0!</v>
      </c>
      <c r="N23" s="165">
        <f>DataInput!K12</f>
        <v>0</v>
      </c>
      <c r="O23" s="165">
        <f>DataInput!L12</f>
        <v>0</v>
      </c>
      <c r="P23" s="165">
        <f>DataInput!M12</f>
        <v>0</v>
      </c>
      <c r="Q23" s="33"/>
      <c r="R23" s="33"/>
      <c r="S23" s="165">
        <f>DataInput!N12</f>
        <v>0</v>
      </c>
      <c r="T23" s="33"/>
      <c r="U23" s="165">
        <f>DataInput!O12</f>
        <v>0</v>
      </c>
      <c r="V23" s="166">
        <f>DataInput!P12</f>
        <v>0</v>
      </c>
      <c r="W23" s="35" t="e">
        <f>(Table1[[#This Row],[Dur_Energy_produced_(kWh)]]/705.6)/X23</f>
        <v>#DIV/0!</v>
      </c>
      <c r="X23" s="166">
        <f>DataInput!R12</f>
        <v>0</v>
      </c>
      <c r="Y23" s="166">
        <f>DataInput!S12</f>
        <v>0</v>
      </c>
      <c r="Z23" s="166">
        <f>DataInput!T12</f>
        <v>0</v>
      </c>
      <c r="AA23" s="35"/>
      <c r="AB23" s="35"/>
      <c r="AC23" s="166">
        <f>DataInput!U12</f>
        <v>0</v>
      </c>
      <c r="AD23" s="35"/>
      <c r="AE23" s="166">
        <f>DataInput!V12</f>
        <v>0</v>
      </c>
      <c r="AF23" s="171">
        <f>DataInput!W12</f>
        <v>0</v>
      </c>
      <c r="AG23" s="171">
        <f>DataInput!X12</f>
        <v>0</v>
      </c>
      <c r="AH23" s="171">
        <f>DataInput!Y12</f>
        <v>0</v>
      </c>
      <c r="AI23" s="171">
        <f>DataInput!Z12</f>
        <v>0</v>
      </c>
      <c r="AJ23" s="171">
        <f>DataInput!AA12</f>
        <v>0</v>
      </c>
      <c r="AK23" s="167"/>
      <c r="AL23" s="167">
        <f>DataInput!AB12</f>
        <v>0</v>
      </c>
      <c r="AM23" s="167"/>
      <c r="AN23" s="167">
        <f>DataInput!AC12</f>
        <v>0</v>
      </c>
      <c r="AO23" s="167">
        <f>DataInput!AK12</f>
        <v>0</v>
      </c>
      <c r="AP23" s="172">
        <f>DataInput!AD12</f>
        <v>0</v>
      </c>
      <c r="AQ23" s="172">
        <f>DataInput!AE12</f>
        <v>0</v>
      </c>
      <c r="AR23" s="172">
        <f>DataInput!AF12</f>
        <v>0</v>
      </c>
      <c r="AS23" s="172">
        <f>DataInput!AG12</f>
        <v>0</v>
      </c>
      <c r="AT23" s="172"/>
      <c r="AU23" s="172"/>
      <c r="AV23" s="172"/>
      <c r="AW23" s="172"/>
      <c r="AX23" s="172"/>
      <c r="AY23" s="172">
        <f>DataInput!AJ12</f>
        <v>0</v>
      </c>
      <c r="AZ23" s="39">
        <v>0.67410000000000003</v>
      </c>
      <c r="BA23" s="39">
        <v>0.65890000000000004</v>
      </c>
      <c r="BB23" s="39">
        <v>0.61480000000000001</v>
      </c>
      <c r="BC23" s="39">
        <v>0.60660000000000003</v>
      </c>
      <c r="BD23" s="39">
        <v>0.7944</v>
      </c>
      <c r="BE23" s="39">
        <v>0.79339999999999999</v>
      </c>
      <c r="BF23" s="30">
        <f t="shared" si="1"/>
        <v>0.15</v>
      </c>
      <c r="BG23" s="30">
        <f>Table1[[#This Row],[Mid_ZAR/kWh]]*Table1[[#This Row],[Mid_(kWh)2]]*(1+0.15)</f>
        <v>0</v>
      </c>
      <c r="BH23" s="30">
        <f>Table1[[#This Row],[HIG_ZAR/kWh]]*Table1[[#This Row],[Hig_Energy_produced_(kWh)2]]*(1+0.15)</f>
        <v>0</v>
      </c>
      <c r="BI23" s="30">
        <f>Table1[[#This Row],[VER_ZAR/kWh]]*Table1[[#This Row],[Verg_Energy_(kWh)]]*(1+0.15)</f>
        <v>0</v>
      </c>
      <c r="BJ23" s="30">
        <f>Table1[[#This Row],[DUR_ZAR/kWh]]*Table1[[#This Row],[Dur_Energy_produced_(kWh)]]*(1+0.15)</f>
        <v>0</v>
      </c>
      <c r="BK23" s="30">
        <f>Table1[[#This Row],[HER_ZAR/kWh2]]*Table1[[#This Row],[Her_Energy_produced_(kWh)]]*(1+0.15)</f>
        <v>0</v>
      </c>
      <c r="BL23" s="17">
        <f>Table1[[#This Row],[Mid_ZAR/kWh]]*Table1[[#This Row],[Mid_P50_(kWh)]]*(1+0.15)</f>
        <v>0</v>
      </c>
      <c r="BM23" s="17">
        <f>Table1[[#This Row],[HIG_ZAR/kWh]]*Table1[[#This Row],[Hig_P50_(kWh)]]*(1+0.15)</f>
        <v>0</v>
      </c>
      <c r="BN23" s="17">
        <f>Table1[[#This Row],[VER_ZAR/kWh]]*Table1[[#This Row],[Verg_P50_(kWh)]]*(1+0.15)</f>
        <v>0</v>
      </c>
      <c r="BO23" s="17">
        <f>Table1[[#This Row],[DUR_ZAR/kWh]]*Table1[[#This Row],[Dur_P50_(kWh)]]*(1+0.15)</f>
        <v>0</v>
      </c>
      <c r="BP23" s="17">
        <f>Table1[[#This Row],[HER_ZAR/kWh2]]*Table1[[#This Row],[Her_P50_(kWh)]]*(1+0.15)</f>
        <v>0</v>
      </c>
      <c r="BQ23" s="17"/>
      <c r="BR23" s="32">
        <v>95</v>
      </c>
      <c r="BS23" s="32"/>
      <c r="BT23" s="32"/>
      <c r="BU23" s="32"/>
      <c r="BV23" s="34">
        <v>95</v>
      </c>
      <c r="BW23" s="34"/>
      <c r="BX23" s="36">
        <v>95</v>
      </c>
      <c r="BY23" s="36"/>
      <c r="BZ23" s="38">
        <v>95</v>
      </c>
      <c r="CA23" s="38"/>
      <c r="CB23" s="38"/>
      <c r="CC23" s="37">
        <v>95</v>
      </c>
    </row>
    <row r="24" spans="1:81" x14ac:dyDescent="0.25">
      <c r="A24" s="13">
        <v>45139</v>
      </c>
      <c r="B24" s="164">
        <f>DataInput!B13</f>
        <v>0</v>
      </c>
      <c r="C24" s="31" t="e">
        <f>(Table1[[#This Row],[Verg_Energy_(kWh)]]/696.6)/(D24)</f>
        <v>#DIV/0!</v>
      </c>
      <c r="D24" s="164">
        <f>DataInput!D13</f>
        <v>0</v>
      </c>
      <c r="E24" s="164">
        <f>DataInput!E13</f>
        <v>0</v>
      </c>
      <c r="F24" s="164">
        <f>DataInput!F13</f>
        <v>0</v>
      </c>
      <c r="G24" s="163"/>
      <c r="H24" s="163"/>
      <c r="I24" s="164">
        <f>DataInput!G13</f>
        <v>0</v>
      </c>
      <c r="J24" s="163"/>
      <c r="K24" s="164">
        <f>DataInput!H13</f>
        <v>0</v>
      </c>
      <c r="L24" s="165">
        <f>DataInput!I13</f>
        <v>0</v>
      </c>
      <c r="M24" s="33" t="e">
        <f>(Table1[[#This Row],[Mid_(kWh)2]]/227.9)/(Table1[[#This Row],[Mid_Irradiated_(kWh/m²)]])</f>
        <v>#DIV/0!</v>
      </c>
      <c r="N24" s="165">
        <f>DataInput!K13</f>
        <v>0</v>
      </c>
      <c r="O24" s="165">
        <f>DataInput!L13</f>
        <v>0</v>
      </c>
      <c r="P24" s="165">
        <f>DataInput!M13</f>
        <v>0</v>
      </c>
      <c r="Q24" s="33"/>
      <c r="R24" s="33"/>
      <c r="S24" s="165">
        <f>DataInput!N13</f>
        <v>0</v>
      </c>
      <c r="T24" s="33"/>
      <c r="U24" s="165">
        <f>DataInput!O13</f>
        <v>0</v>
      </c>
      <c r="V24" s="166">
        <f>DataInput!P13</f>
        <v>0</v>
      </c>
      <c r="W24" s="35" t="e">
        <f>(Table1[[#This Row],[Dur_Energy_produced_(kWh)]]/705.6)/X24</f>
        <v>#DIV/0!</v>
      </c>
      <c r="X24" s="166">
        <f>DataInput!R13</f>
        <v>0</v>
      </c>
      <c r="Y24" s="166">
        <f>DataInput!S13</f>
        <v>0</v>
      </c>
      <c r="Z24" s="166">
        <f>DataInput!T13</f>
        <v>0</v>
      </c>
      <c r="AA24" s="35"/>
      <c r="AB24" s="35"/>
      <c r="AC24" s="166">
        <f>DataInput!U13</f>
        <v>0</v>
      </c>
      <c r="AD24" s="35"/>
      <c r="AE24" s="166">
        <f>DataInput!V13</f>
        <v>0</v>
      </c>
      <c r="AF24" s="171">
        <f>DataInput!W13</f>
        <v>0</v>
      </c>
      <c r="AG24" s="171">
        <f>DataInput!X13</f>
        <v>0</v>
      </c>
      <c r="AH24" s="171">
        <f>DataInput!Y13</f>
        <v>0</v>
      </c>
      <c r="AI24" s="171">
        <f>DataInput!Z13</f>
        <v>0</v>
      </c>
      <c r="AJ24" s="171">
        <f>DataInput!AA13</f>
        <v>0</v>
      </c>
      <c r="AK24" s="167"/>
      <c r="AL24" s="167">
        <f>DataInput!AB13</f>
        <v>0</v>
      </c>
      <c r="AM24" s="167"/>
      <c r="AN24" s="167">
        <f>DataInput!AC13</f>
        <v>0</v>
      </c>
      <c r="AO24" s="167">
        <f>DataInput!AK13</f>
        <v>0</v>
      </c>
      <c r="AP24" s="172">
        <f>DataInput!AD13</f>
        <v>0</v>
      </c>
      <c r="AQ24" s="172">
        <f>DataInput!AE13</f>
        <v>0</v>
      </c>
      <c r="AR24" s="172">
        <f>DataInput!AF13</f>
        <v>0</v>
      </c>
      <c r="AS24" s="172">
        <f>DataInput!AG13</f>
        <v>0</v>
      </c>
      <c r="AT24" s="172"/>
      <c r="AU24" s="172"/>
      <c r="AV24" s="172"/>
      <c r="AW24" s="172"/>
      <c r="AX24" s="172"/>
      <c r="AY24" s="172">
        <f>DataInput!AJ13</f>
        <v>0</v>
      </c>
      <c r="AZ24" s="39">
        <v>0.67410000000000003</v>
      </c>
      <c r="BA24" s="39">
        <v>0.65890000000000004</v>
      </c>
      <c r="BB24" s="39">
        <v>0.61480000000000001</v>
      </c>
      <c r="BC24" s="39">
        <v>0.60660000000000003</v>
      </c>
      <c r="BD24" s="39">
        <v>0.7944</v>
      </c>
      <c r="BE24" s="39">
        <v>0.79339999999999999</v>
      </c>
      <c r="BF24" s="30">
        <f t="shared" si="1"/>
        <v>0.15</v>
      </c>
      <c r="BG24" s="30">
        <f>Table1[[#This Row],[Mid_ZAR/kWh]]*Table1[[#This Row],[Mid_(kWh)2]]*(1+0.15)</f>
        <v>0</v>
      </c>
      <c r="BH24" s="30">
        <f>Table1[[#This Row],[HIG_ZAR/kWh]]*Table1[[#This Row],[Hig_Energy_produced_(kWh)2]]*(1+0.15)</f>
        <v>0</v>
      </c>
      <c r="BI24" s="30">
        <f>Table1[[#This Row],[VER_ZAR/kWh]]*Table1[[#This Row],[Verg_Energy_(kWh)]]*(1+0.15)</f>
        <v>0</v>
      </c>
      <c r="BJ24" s="30">
        <f>Table1[[#This Row],[DUR_ZAR/kWh]]*Table1[[#This Row],[Dur_Energy_produced_(kWh)]]*(1+0.15)</f>
        <v>0</v>
      </c>
      <c r="BK24" s="30">
        <f>Table1[[#This Row],[HER_ZAR/kWh2]]*Table1[[#This Row],[Her_Energy_produced_(kWh)]]*(1+0.15)</f>
        <v>0</v>
      </c>
      <c r="BL24" s="17">
        <f>Table1[[#This Row],[Mid_ZAR/kWh]]*Table1[[#This Row],[Mid_P50_(kWh)]]*(1+0.15)</f>
        <v>0</v>
      </c>
      <c r="BM24" s="17">
        <f>Table1[[#This Row],[HIG_ZAR/kWh]]*Table1[[#This Row],[Hig_P50_(kWh)]]*(1+0.15)</f>
        <v>0</v>
      </c>
      <c r="BN24" s="17">
        <f>Table1[[#This Row],[VER_ZAR/kWh]]*Table1[[#This Row],[Verg_P50_(kWh)]]*(1+0.15)</f>
        <v>0</v>
      </c>
      <c r="BO24" s="17">
        <f>Table1[[#This Row],[DUR_ZAR/kWh]]*Table1[[#This Row],[Dur_P50_(kWh)]]*(1+0.15)</f>
        <v>0</v>
      </c>
      <c r="BP24" s="17">
        <f>Table1[[#This Row],[HER_ZAR/kWh2]]*Table1[[#This Row],[Her_P50_(kWh)]]*(1+0.15)</f>
        <v>0</v>
      </c>
      <c r="BQ24" s="17"/>
      <c r="BR24" s="32">
        <v>95</v>
      </c>
      <c r="BS24" s="32"/>
      <c r="BT24" s="32"/>
      <c r="BU24" s="32"/>
      <c r="BV24" s="34">
        <v>95</v>
      </c>
      <c r="BW24" s="34"/>
      <c r="BX24" s="36">
        <v>95</v>
      </c>
      <c r="BY24" s="36"/>
      <c r="BZ24" s="38">
        <v>95</v>
      </c>
      <c r="CA24" s="38"/>
      <c r="CB24" s="38"/>
      <c r="CC24" s="37">
        <v>95</v>
      </c>
    </row>
    <row r="25" spans="1:81" x14ac:dyDescent="0.25">
      <c r="A25" s="13">
        <v>45170</v>
      </c>
      <c r="B25" s="164">
        <f>DataInput!B14</f>
        <v>0</v>
      </c>
      <c r="C25" s="31" t="e">
        <f>(Table1[[#This Row],[Verg_Energy_(kWh)]]/696.6)/(D25)</f>
        <v>#DIV/0!</v>
      </c>
      <c r="D25" s="164">
        <f>DataInput!D14</f>
        <v>0</v>
      </c>
      <c r="E25" s="164">
        <f>DataInput!E14</f>
        <v>0</v>
      </c>
      <c r="F25" s="164">
        <f>DataInput!F14</f>
        <v>0</v>
      </c>
      <c r="G25" s="163"/>
      <c r="H25" s="163"/>
      <c r="I25" s="164">
        <f>DataInput!G14</f>
        <v>0</v>
      </c>
      <c r="J25" s="163"/>
      <c r="K25" s="164">
        <f>DataInput!H14</f>
        <v>0</v>
      </c>
      <c r="L25" s="165">
        <f>DataInput!I14</f>
        <v>0</v>
      </c>
      <c r="M25" s="33" t="e">
        <f>(Table1[[#This Row],[Mid_(kWh)2]]/227.9)/(Table1[[#This Row],[Mid_Irradiated_(kWh/m²)]])</f>
        <v>#DIV/0!</v>
      </c>
      <c r="N25" s="165">
        <f>DataInput!K14</f>
        <v>0</v>
      </c>
      <c r="O25" s="165">
        <f>DataInput!L14</f>
        <v>0</v>
      </c>
      <c r="P25" s="165">
        <f>DataInput!M14</f>
        <v>0</v>
      </c>
      <c r="Q25" s="33"/>
      <c r="R25" s="33"/>
      <c r="S25" s="165">
        <f>DataInput!N14</f>
        <v>0</v>
      </c>
      <c r="T25" s="33"/>
      <c r="U25" s="165">
        <f>DataInput!O14</f>
        <v>0</v>
      </c>
      <c r="V25" s="166">
        <f>DataInput!P14</f>
        <v>0</v>
      </c>
      <c r="W25" s="35" t="e">
        <f>(Table1[[#This Row],[Dur_Energy_produced_(kWh)]]/705.6)/X25</f>
        <v>#DIV/0!</v>
      </c>
      <c r="X25" s="166">
        <f>DataInput!R14</f>
        <v>0</v>
      </c>
      <c r="Y25" s="166">
        <f>DataInput!S14</f>
        <v>0</v>
      </c>
      <c r="Z25" s="166">
        <f>DataInput!T14</f>
        <v>0</v>
      </c>
      <c r="AA25" s="35"/>
      <c r="AB25" s="35"/>
      <c r="AC25" s="166">
        <f>DataInput!U14</f>
        <v>0</v>
      </c>
      <c r="AD25" s="35"/>
      <c r="AE25" s="166">
        <f>DataInput!V14</f>
        <v>0</v>
      </c>
      <c r="AF25" s="171">
        <f>DataInput!W14</f>
        <v>0</v>
      </c>
      <c r="AG25" s="171">
        <f>DataInput!X14</f>
        <v>0</v>
      </c>
      <c r="AH25" s="171">
        <f>DataInput!Y14</f>
        <v>0</v>
      </c>
      <c r="AI25" s="171">
        <f>DataInput!Z14</f>
        <v>0</v>
      </c>
      <c r="AJ25" s="171">
        <f>DataInput!AA14</f>
        <v>0</v>
      </c>
      <c r="AK25" s="167"/>
      <c r="AL25" s="167">
        <f>DataInput!AB14</f>
        <v>0</v>
      </c>
      <c r="AM25" s="167"/>
      <c r="AN25" s="167">
        <f>DataInput!AC14</f>
        <v>0</v>
      </c>
      <c r="AO25" s="167">
        <f>DataInput!AK14</f>
        <v>0</v>
      </c>
      <c r="AP25" s="172">
        <f>DataInput!AD14</f>
        <v>0</v>
      </c>
      <c r="AQ25" s="172">
        <f>DataInput!AE14</f>
        <v>0</v>
      </c>
      <c r="AR25" s="172">
        <f>DataInput!AF14</f>
        <v>0</v>
      </c>
      <c r="AS25" s="172">
        <f>DataInput!AG14</f>
        <v>0</v>
      </c>
      <c r="AT25" s="172"/>
      <c r="AU25" s="172"/>
      <c r="AV25" s="172"/>
      <c r="AW25" s="172"/>
      <c r="AX25" s="172"/>
      <c r="AY25" s="172">
        <f>DataInput!AJ14</f>
        <v>0</v>
      </c>
      <c r="AZ25" s="39">
        <v>0.67410000000000003</v>
      </c>
      <c r="BA25" s="39">
        <v>0.65890000000000004</v>
      </c>
      <c r="BB25" s="39">
        <v>0.61480000000000001</v>
      </c>
      <c r="BC25" s="39">
        <v>0.60660000000000003</v>
      </c>
      <c r="BD25" s="39">
        <v>0.7944</v>
      </c>
      <c r="BE25" s="39">
        <v>0.79339999999999999</v>
      </c>
      <c r="BF25" s="30">
        <f t="shared" si="1"/>
        <v>0.15</v>
      </c>
      <c r="BG25" s="30">
        <f>Table1[[#This Row],[Mid_ZAR/kWh]]*Table1[[#This Row],[Mid_(kWh)2]]*(1+0.15)</f>
        <v>0</v>
      </c>
      <c r="BH25" s="30">
        <f>Table1[[#This Row],[HIG_ZAR/kWh]]*Table1[[#This Row],[Hig_Energy_produced_(kWh)2]]*(1+0.15)</f>
        <v>0</v>
      </c>
      <c r="BI25" s="30">
        <f>Table1[[#This Row],[VER_ZAR/kWh]]*Table1[[#This Row],[Verg_Energy_(kWh)]]*(1+0.15)</f>
        <v>0</v>
      </c>
      <c r="BJ25" s="30">
        <f>Table1[[#This Row],[DUR_ZAR/kWh]]*Table1[[#This Row],[Dur_Energy_produced_(kWh)]]*(1+0.15)</f>
        <v>0</v>
      </c>
      <c r="BK25" s="30">
        <f>Table1[[#This Row],[HER_ZAR/kWh2]]*Table1[[#This Row],[Her_Energy_produced_(kWh)]]*(1+0.15)</f>
        <v>0</v>
      </c>
      <c r="BL25" s="17">
        <f>Table1[[#This Row],[Mid_ZAR/kWh]]*Table1[[#This Row],[Mid_P50_(kWh)]]*(1+0.15)</f>
        <v>0</v>
      </c>
      <c r="BM25" s="17">
        <f>Table1[[#This Row],[HIG_ZAR/kWh]]*Table1[[#This Row],[Hig_P50_(kWh)]]*(1+0.15)</f>
        <v>0</v>
      </c>
      <c r="BN25" s="17">
        <f>Table1[[#This Row],[VER_ZAR/kWh]]*Table1[[#This Row],[Verg_P50_(kWh)]]*(1+0.15)</f>
        <v>0</v>
      </c>
      <c r="BO25" s="17">
        <f>Table1[[#This Row],[DUR_ZAR/kWh]]*Table1[[#This Row],[Dur_P50_(kWh)]]*(1+0.15)</f>
        <v>0</v>
      </c>
      <c r="BP25" s="17">
        <f>Table1[[#This Row],[HER_ZAR/kWh2]]*Table1[[#This Row],[Her_P50_(kWh)]]*(1+0.15)</f>
        <v>0</v>
      </c>
      <c r="BQ25" s="17"/>
      <c r="BR25" s="32">
        <v>95</v>
      </c>
      <c r="BS25" s="32"/>
      <c r="BT25" s="32"/>
      <c r="BU25" s="32"/>
      <c r="BV25" s="34">
        <v>95</v>
      </c>
      <c r="BW25" s="34"/>
      <c r="BX25" s="36">
        <v>95</v>
      </c>
      <c r="BY25" s="36"/>
      <c r="BZ25" s="38">
        <v>95</v>
      </c>
      <c r="CA25" s="38"/>
      <c r="CB25" s="38"/>
      <c r="CC25" s="37">
        <v>95</v>
      </c>
    </row>
    <row r="26" spans="1:81" x14ac:dyDescent="0.25">
      <c r="A26" s="13">
        <v>45200</v>
      </c>
      <c r="B26" s="164">
        <f>DataInput!B15</f>
        <v>0</v>
      </c>
      <c r="C26" s="31" t="e">
        <f>(Table1[[#This Row],[Verg_Energy_(kWh)]]/696.6)/(D26)</f>
        <v>#DIV/0!</v>
      </c>
      <c r="D26" s="164">
        <f>DataInput!D15</f>
        <v>0</v>
      </c>
      <c r="E26" s="164">
        <f>DataInput!E15</f>
        <v>0</v>
      </c>
      <c r="F26" s="164">
        <f>DataInput!F15</f>
        <v>0</v>
      </c>
      <c r="G26" s="163"/>
      <c r="H26" s="163"/>
      <c r="I26" s="164">
        <f>DataInput!G15</f>
        <v>0</v>
      </c>
      <c r="J26" s="163"/>
      <c r="K26" s="164">
        <f>DataInput!H15</f>
        <v>0</v>
      </c>
      <c r="L26" s="165">
        <f>DataInput!I15</f>
        <v>0</v>
      </c>
      <c r="M26" s="33" t="e">
        <f>(Table1[[#This Row],[Mid_(kWh)2]]/227.9)/(Table1[[#This Row],[Mid_Irradiated_(kWh/m²)]])</f>
        <v>#DIV/0!</v>
      </c>
      <c r="N26" s="165">
        <f>DataInput!K15</f>
        <v>0</v>
      </c>
      <c r="O26" s="165">
        <f>DataInput!L15</f>
        <v>0</v>
      </c>
      <c r="P26" s="165">
        <f>DataInput!M15</f>
        <v>0</v>
      </c>
      <c r="Q26" s="33"/>
      <c r="R26" s="33"/>
      <c r="S26" s="165">
        <f>DataInput!N15</f>
        <v>0</v>
      </c>
      <c r="T26" s="33"/>
      <c r="U26" s="165">
        <f>DataInput!O15</f>
        <v>0</v>
      </c>
      <c r="V26" s="166">
        <f>DataInput!P15</f>
        <v>0</v>
      </c>
      <c r="W26" s="35" t="e">
        <f>(Table1[[#This Row],[Dur_Energy_produced_(kWh)]]/705.6)/X26</f>
        <v>#DIV/0!</v>
      </c>
      <c r="X26" s="166">
        <f>DataInput!R15</f>
        <v>0</v>
      </c>
      <c r="Y26" s="166">
        <f>DataInput!S15</f>
        <v>0</v>
      </c>
      <c r="Z26" s="166">
        <f>DataInput!T15</f>
        <v>0</v>
      </c>
      <c r="AA26" s="35"/>
      <c r="AB26" s="35"/>
      <c r="AC26" s="166">
        <f>DataInput!U15</f>
        <v>0</v>
      </c>
      <c r="AD26" s="35"/>
      <c r="AE26" s="166">
        <f>DataInput!V15</f>
        <v>0</v>
      </c>
      <c r="AF26" s="171">
        <f>DataInput!W15</f>
        <v>0</v>
      </c>
      <c r="AG26" s="171">
        <f>DataInput!X15</f>
        <v>0</v>
      </c>
      <c r="AH26" s="171">
        <f>DataInput!Y15</f>
        <v>0</v>
      </c>
      <c r="AI26" s="171">
        <f>DataInput!Z15</f>
        <v>0</v>
      </c>
      <c r="AJ26" s="171">
        <f>DataInput!AA15</f>
        <v>0</v>
      </c>
      <c r="AK26" s="167"/>
      <c r="AL26" s="167">
        <f>DataInput!AB15</f>
        <v>0</v>
      </c>
      <c r="AM26" s="167"/>
      <c r="AN26" s="167">
        <f>DataInput!AC15</f>
        <v>0</v>
      </c>
      <c r="AO26" s="167">
        <f>DataInput!AK15</f>
        <v>0</v>
      </c>
      <c r="AP26" s="172">
        <f>DataInput!AD15</f>
        <v>0</v>
      </c>
      <c r="AQ26" s="172">
        <f>DataInput!AE15</f>
        <v>0</v>
      </c>
      <c r="AR26" s="172">
        <f>DataInput!AF15</f>
        <v>0</v>
      </c>
      <c r="AS26" s="172">
        <f>DataInput!AG15</f>
        <v>0</v>
      </c>
      <c r="AT26" s="172"/>
      <c r="AU26" s="172"/>
      <c r="AV26" s="172"/>
      <c r="AW26" s="172"/>
      <c r="AX26" s="172"/>
      <c r="AY26" s="172">
        <f>DataInput!AJ15</f>
        <v>0</v>
      </c>
      <c r="AZ26" s="39">
        <v>0.67410000000000003</v>
      </c>
      <c r="BA26" s="39">
        <v>0.65890000000000004</v>
      </c>
      <c r="BB26" s="39">
        <v>0.61480000000000001</v>
      </c>
      <c r="BC26" s="39">
        <v>0.60660000000000003</v>
      </c>
      <c r="BD26" s="39">
        <v>0.7944</v>
      </c>
      <c r="BE26" s="39">
        <v>0.79339999999999999</v>
      </c>
      <c r="BF26" s="30">
        <f t="shared" si="1"/>
        <v>0.15</v>
      </c>
      <c r="BG26" s="30">
        <f>Table1[[#This Row],[Mid_ZAR/kWh]]*Table1[[#This Row],[Mid_(kWh)2]]*(1+0.15)</f>
        <v>0</v>
      </c>
      <c r="BH26" s="30">
        <f>Table1[[#This Row],[HIG_ZAR/kWh]]*Table1[[#This Row],[Hig_Energy_produced_(kWh)2]]*(1+0.15)</f>
        <v>0</v>
      </c>
      <c r="BI26" s="30">
        <f>Table1[[#This Row],[VER_ZAR/kWh]]*Table1[[#This Row],[Verg_Energy_(kWh)]]*(1+0.15)</f>
        <v>0</v>
      </c>
      <c r="BJ26" s="30">
        <f>Table1[[#This Row],[DUR_ZAR/kWh]]*Table1[[#This Row],[Dur_Energy_produced_(kWh)]]*(1+0.15)</f>
        <v>0</v>
      </c>
      <c r="BK26" s="30">
        <f>Table1[[#This Row],[HER_ZAR/kWh2]]*Table1[[#This Row],[Her_Energy_produced_(kWh)]]*(1+0.15)</f>
        <v>0</v>
      </c>
      <c r="BL26" s="17">
        <f>Table1[[#This Row],[Mid_ZAR/kWh]]*Table1[[#This Row],[Mid_P50_(kWh)]]*(1+0.15)</f>
        <v>0</v>
      </c>
      <c r="BM26" s="17">
        <f>Table1[[#This Row],[HIG_ZAR/kWh]]*Table1[[#This Row],[Hig_P50_(kWh)]]*(1+0.15)</f>
        <v>0</v>
      </c>
      <c r="BN26" s="17">
        <f>Table1[[#This Row],[VER_ZAR/kWh]]*Table1[[#This Row],[Verg_P50_(kWh)]]*(1+0.15)</f>
        <v>0</v>
      </c>
      <c r="BO26" s="17">
        <f>Table1[[#This Row],[DUR_ZAR/kWh]]*Table1[[#This Row],[Dur_P50_(kWh)]]*(1+0.15)</f>
        <v>0</v>
      </c>
      <c r="BP26" s="17">
        <f>Table1[[#This Row],[HER_ZAR/kWh2]]*Table1[[#This Row],[Her_P50_(kWh)]]*(1+0.15)</f>
        <v>0</v>
      </c>
      <c r="BQ26" s="17"/>
      <c r="BR26" s="32">
        <v>95</v>
      </c>
      <c r="BS26" s="32"/>
      <c r="BT26" s="32"/>
      <c r="BU26" s="32"/>
      <c r="BV26" s="34">
        <v>95</v>
      </c>
      <c r="BW26" s="34"/>
      <c r="BX26" s="36">
        <v>95</v>
      </c>
      <c r="BY26" s="36"/>
      <c r="BZ26" s="38">
        <v>95</v>
      </c>
      <c r="CA26" s="38"/>
      <c r="CB26" s="38"/>
      <c r="CC26" s="37">
        <v>95</v>
      </c>
    </row>
    <row r="27" spans="1:81" x14ac:dyDescent="0.25">
      <c r="A27" s="13">
        <v>45231</v>
      </c>
      <c r="B27" s="164">
        <f>DataInput!B16</f>
        <v>0</v>
      </c>
      <c r="C27" s="31" t="e">
        <f>(Table1[[#This Row],[Verg_Energy_(kWh)]]/696.6)/(D27)</f>
        <v>#DIV/0!</v>
      </c>
      <c r="D27" s="164">
        <f>DataInput!D16</f>
        <v>0</v>
      </c>
      <c r="E27" s="164">
        <f>DataInput!E16</f>
        <v>0</v>
      </c>
      <c r="F27" s="164">
        <f>DataInput!F16</f>
        <v>0</v>
      </c>
      <c r="G27" s="163"/>
      <c r="H27" s="163"/>
      <c r="I27" s="164">
        <f>DataInput!G16</f>
        <v>0</v>
      </c>
      <c r="J27" s="163"/>
      <c r="K27" s="164">
        <f>DataInput!H16</f>
        <v>0</v>
      </c>
      <c r="L27" s="165">
        <f>DataInput!I16</f>
        <v>0</v>
      </c>
      <c r="M27" s="33" t="e">
        <f>(Table1[[#This Row],[Mid_(kWh)2]]/227.9)/(Table1[[#This Row],[Mid_Irradiated_(kWh/m²)]])</f>
        <v>#DIV/0!</v>
      </c>
      <c r="N27" s="165">
        <f>DataInput!K16</f>
        <v>0</v>
      </c>
      <c r="O27" s="165">
        <f>DataInput!L16</f>
        <v>0</v>
      </c>
      <c r="P27" s="165">
        <f>DataInput!M16</f>
        <v>0</v>
      </c>
      <c r="Q27" s="33"/>
      <c r="R27" s="33"/>
      <c r="S27" s="165">
        <f>DataInput!N16</f>
        <v>0</v>
      </c>
      <c r="T27" s="33"/>
      <c r="U27" s="165">
        <f>DataInput!O16</f>
        <v>0</v>
      </c>
      <c r="V27" s="166">
        <f>DataInput!P16</f>
        <v>0</v>
      </c>
      <c r="W27" s="35" t="e">
        <f>(Table1[[#This Row],[Dur_Energy_produced_(kWh)]]/705.6)/X27</f>
        <v>#DIV/0!</v>
      </c>
      <c r="X27" s="166">
        <f>DataInput!R16</f>
        <v>0</v>
      </c>
      <c r="Y27" s="166">
        <f>DataInput!S16</f>
        <v>0</v>
      </c>
      <c r="Z27" s="166">
        <f>DataInput!T16</f>
        <v>0</v>
      </c>
      <c r="AA27" s="35"/>
      <c r="AB27" s="35"/>
      <c r="AC27" s="166">
        <f>DataInput!U16</f>
        <v>0</v>
      </c>
      <c r="AD27" s="35"/>
      <c r="AE27" s="166">
        <f>DataInput!V16</f>
        <v>0</v>
      </c>
      <c r="AF27" s="171">
        <f>DataInput!W16</f>
        <v>0</v>
      </c>
      <c r="AG27" s="171">
        <f>DataInput!X16</f>
        <v>0</v>
      </c>
      <c r="AH27" s="171">
        <f>DataInput!Y16</f>
        <v>0</v>
      </c>
      <c r="AI27" s="171">
        <f>DataInput!Z16</f>
        <v>0</v>
      </c>
      <c r="AJ27" s="171">
        <f>DataInput!AA16</f>
        <v>0</v>
      </c>
      <c r="AK27" s="167"/>
      <c r="AL27" s="167">
        <f>DataInput!AB16</f>
        <v>0</v>
      </c>
      <c r="AM27" s="167"/>
      <c r="AN27" s="167">
        <f>DataInput!AC16</f>
        <v>0</v>
      </c>
      <c r="AO27" s="167">
        <f>DataInput!AK16</f>
        <v>0</v>
      </c>
      <c r="AP27" s="172">
        <f>DataInput!AD16</f>
        <v>0</v>
      </c>
      <c r="AQ27" s="172">
        <f>DataInput!AE16</f>
        <v>0</v>
      </c>
      <c r="AR27" s="172">
        <f>DataInput!AF16</f>
        <v>0</v>
      </c>
      <c r="AS27" s="172">
        <f>DataInput!AG16</f>
        <v>0</v>
      </c>
      <c r="AT27" s="172"/>
      <c r="AU27" s="172"/>
      <c r="AV27" s="172"/>
      <c r="AW27" s="172"/>
      <c r="AX27" s="172"/>
      <c r="AY27" s="172">
        <f>DataInput!AJ16</f>
        <v>0</v>
      </c>
      <c r="AZ27" s="39">
        <v>0.67410000000000003</v>
      </c>
      <c r="BA27" s="39">
        <v>0.65890000000000004</v>
      </c>
      <c r="BB27" s="39">
        <v>0.61480000000000001</v>
      </c>
      <c r="BC27" s="39">
        <v>0.60660000000000003</v>
      </c>
      <c r="BD27" s="39">
        <v>0.7944</v>
      </c>
      <c r="BE27" s="39">
        <v>0.79339999999999999</v>
      </c>
      <c r="BF27" s="30">
        <f t="shared" si="1"/>
        <v>0.15</v>
      </c>
      <c r="BG27" s="30">
        <f>Table1[[#This Row],[Mid_ZAR/kWh]]*Table1[[#This Row],[Mid_(kWh)2]]*(1+0.15)</f>
        <v>0</v>
      </c>
      <c r="BH27" s="30">
        <f>Table1[[#This Row],[HIG_ZAR/kWh]]*Table1[[#This Row],[Hig_Energy_produced_(kWh)2]]*(1+0.15)</f>
        <v>0</v>
      </c>
      <c r="BI27" s="30">
        <f>Table1[[#This Row],[VER_ZAR/kWh]]*Table1[[#This Row],[Verg_Energy_(kWh)]]*(1+0.15)</f>
        <v>0</v>
      </c>
      <c r="BJ27" s="30">
        <f>Table1[[#This Row],[DUR_ZAR/kWh]]*Table1[[#This Row],[Dur_Energy_produced_(kWh)]]*(1+0.15)</f>
        <v>0</v>
      </c>
      <c r="BK27" s="30">
        <f>Table1[[#This Row],[HER_ZAR/kWh2]]*Table1[[#This Row],[Her_Energy_produced_(kWh)]]*(1+0.15)</f>
        <v>0</v>
      </c>
      <c r="BL27" s="17">
        <f>Table1[[#This Row],[Mid_ZAR/kWh]]*Table1[[#This Row],[Mid_P50_(kWh)]]*(1+0.15)</f>
        <v>0</v>
      </c>
      <c r="BM27" s="17">
        <f>Table1[[#This Row],[HIG_ZAR/kWh]]*Table1[[#This Row],[Hig_P50_(kWh)]]*(1+0.15)</f>
        <v>0</v>
      </c>
      <c r="BN27" s="17">
        <f>Table1[[#This Row],[VER_ZAR/kWh]]*Table1[[#This Row],[Verg_P50_(kWh)]]*(1+0.15)</f>
        <v>0</v>
      </c>
      <c r="BO27" s="17">
        <f>Table1[[#This Row],[DUR_ZAR/kWh]]*Table1[[#This Row],[Dur_P50_(kWh)]]*(1+0.15)</f>
        <v>0</v>
      </c>
      <c r="BP27" s="17">
        <f>Table1[[#This Row],[HER_ZAR/kWh2]]*Table1[[#This Row],[Her_P50_(kWh)]]*(1+0.15)</f>
        <v>0</v>
      </c>
      <c r="BQ27" s="17"/>
      <c r="BR27" s="32">
        <v>95</v>
      </c>
      <c r="BS27" s="32"/>
      <c r="BT27" s="32"/>
      <c r="BU27" s="32"/>
      <c r="BV27" s="34">
        <v>95</v>
      </c>
      <c r="BW27" s="34"/>
      <c r="BX27" s="36">
        <v>95</v>
      </c>
      <c r="BY27" s="36"/>
      <c r="BZ27" s="38">
        <v>95</v>
      </c>
      <c r="CA27" s="38"/>
      <c r="CB27" s="38"/>
      <c r="CC27" s="37">
        <v>95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F81E6-BCC6-4171-AA3B-66CB83D45CAE}"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1">
        <v>44470</v>
      </c>
      <c r="B1" s="132">
        <v>15875.7</v>
      </c>
      <c r="C1" s="132">
        <v>0</v>
      </c>
      <c r="D1" s="132">
        <v>0</v>
      </c>
      <c r="E1" s="132">
        <v>15.83</v>
      </c>
      <c r="F1" s="132">
        <v>10346.032258064501</v>
      </c>
      <c r="G1" s="132">
        <v>0</v>
      </c>
      <c r="H1" s="136">
        <v>0</v>
      </c>
      <c r="I1" s="137">
        <v>4349.6000000000004</v>
      </c>
      <c r="J1" s="137">
        <v>0</v>
      </c>
      <c r="K1" s="137">
        <v>0</v>
      </c>
      <c r="L1" s="137">
        <v>100</v>
      </c>
      <c r="M1" s="137">
        <v>4607.7419354838712</v>
      </c>
      <c r="N1" s="137">
        <v>0</v>
      </c>
      <c r="O1" s="140">
        <v>0</v>
      </c>
      <c r="P1" s="141">
        <v>0</v>
      </c>
      <c r="Q1" s="141">
        <v>0</v>
      </c>
      <c r="R1" s="141">
        <v>0</v>
      </c>
      <c r="S1" s="141">
        <v>-0.01</v>
      </c>
      <c r="T1" s="141">
        <v>0</v>
      </c>
      <c r="U1" s="141">
        <v>0</v>
      </c>
      <c r="V1" s="141">
        <v>0</v>
      </c>
      <c r="W1" s="144">
        <v>0</v>
      </c>
      <c r="X1" s="144">
        <v>0</v>
      </c>
      <c r="Y1" s="144">
        <v>0</v>
      </c>
      <c r="Z1" s="144">
        <v>0</v>
      </c>
      <c r="AA1" s="144">
        <v>0</v>
      </c>
      <c r="AB1" s="144">
        <v>0</v>
      </c>
      <c r="AC1" s="148">
        <v>0</v>
      </c>
      <c r="AD1" s="149">
        <v>0</v>
      </c>
      <c r="AE1" s="149">
        <v>0</v>
      </c>
      <c r="AF1" s="149">
        <v>0</v>
      </c>
      <c r="AG1" s="149">
        <v>0</v>
      </c>
      <c r="AH1" s="149">
        <v>0</v>
      </c>
      <c r="AI1" s="149">
        <v>0</v>
      </c>
      <c r="AJ1" s="153">
        <v>0</v>
      </c>
      <c r="AK1" s="156">
        <v>3371.8751640000005</v>
      </c>
      <c r="AL1" s="156">
        <v>0</v>
      </c>
      <c r="AM1" s="156">
        <v>11224.437414</v>
      </c>
      <c r="AN1" s="156">
        <v>0</v>
      </c>
      <c r="AO1" s="156">
        <v>0</v>
      </c>
      <c r="AP1" s="157">
        <v>3571.9906645161291</v>
      </c>
      <c r="AQ1" s="157">
        <v>0</v>
      </c>
      <c r="AR1" s="157">
        <v>7314.851727096775</v>
      </c>
      <c r="AS1" s="157">
        <v>0</v>
      </c>
      <c r="AT1" s="158">
        <v>0</v>
      </c>
    </row>
    <row r="2" spans="1:46" x14ac:dyDescent="0.25">
      <c r="A2" s="133">
        <v>44501</v>
      </c>
      <c r="B2" s="132">
        <v>114666.79999999999</v>
      </c>
      <c r="C2" s="132">
        <v>0</v>
      </c>
      <c r="D2" s="132">
        <v>0</v>
      </c>
      <c r="E2" s="132">
        <v>92.2</v>
      </c>
      <c r="F2" s="132">
        <v>124191.3</v>
      </c>
      <c r="G2" s="132">
        <v>0</v>
      </c>
      <c r="H2" s="136">
        <v>0</v>
      </c>
      <c r="I2" s="137">
        <v>18453.8</v>
      </c>
      <c r="J2" s="137">
        <v>0</v>
      </c>
      <c r="K2" s="137">
        <v>0</v>
      </c>
      <c r="L2" s="137">
        <v>100</v>
      </c>
      <c r="M2" s="137">
        <v>35427.199999999997</v>
      </c>
      <c r="N2" s="137">
        <v>0</v>
      </c>
      <c r="O2" s="140">
        <v>0</v>
      </c>
      <c r="P2" s="141">
        <v>67694.7</v>
      </c>
      <c r="Q2" s="141">
        <v>0</v>
      </c>
      <c r="R2" s="141">
        <v>0</v>
      </c>
      <c r="S2" s="141">
        <v>68.81</v>
      </c>
      <c r="T2" s="141">
        <v>81633.333333333328</v>
      </c>
      <c r="U2" s="141">
        <v>0</v>
      </c>
      <c r="V2" s="141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8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4">
        <v>0</v>
      </c>
      <c r="AK2" s="156">
        <v>14305.662566999999</v>
      </c>
      <c r="AL2" s="156">
        <v>0</v>
      </c>
      <c r="AM2" s="156">
        <v>81071.720935999998</v>
      </c>
      <c r="AN2" s="156">
        <v>47223.145772999997</v>
      </c>
      <c r="AO2" s="156">
        <v>0</v>
      </c>
      <c r="AP2" s="157">
        <v>27463.696848</v>
      </c>
      <c r="AQ2" s="157">
        <v>0</v>
      </c>
      <c r="AR2" s="157">
        <v>87805.732926000012</v>
      </c>
      <c r="AS2" s="157">
        <v>56946.596999999994</v>
      </c>
      <c r="AT2" s="158">
        <v>0</v>
      </c>
    </row>
    <row r="3" spans="1:46" x14ac:dyDescent="0.25">
      <c r="A3" s="131">
        <v>44531</v>
      </c>
      <c r="B3" s="132">
        <v>126249.60000000002</v>
      </c>
      <c r="C3" s="132">
        <v>0</v>
      </c>
      <c r="D3" s="132">
        <v>0</v>
      </c>
      <c r="E3" s="132">
        <v>100</v>
      </c>
      <c r="F3" s="132">
        <v>135649</v>
      </c>
      <c r="G3" s="132">
        <v>0</v>
      </c>
      <c r="H3" s="136">
        <v>0</v>
      </c>
      <c r="I3" s="137">
        <v>48330.802999999993</v>
      </c>
      <c r="J3" s="137">
        <v>0</v>
      </c>
      <c r="K3" s="137">
        <v>0</v>
      </c>
      <c r="L3" s="137">
        <v>100</v>
      </c>
      <c r="M3" s="137">
        <v>37840</v>
      </c>
      <c r="N3" s="137">
        <v>0</v>
      </c>
      <c r="O3" s="140">
        <v>0</v>
      </c>
      <c r="P3" s="141">
        <v>94632.700000000026</v>
      </c>
      <c r="Q3" s="141">
        <v>0</v>
      </c>
      <c r="R3" s="141">
        <v>0</v>
      </c>
      <c r="S3" s="141">
        <v>100</v>
      </c>
      <c r="T3" s="141">
        <v>130720.8</v>
      </c>
      <c r="U3" s="141">
        <v>0</v>
      </c>
      <c r="V3" s="141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8">
        <v>0</v>
      </c>
      <c r="AD3" s="149">
        <v>0</v>
      </c>
      <c r="AE3" s="149">
        <v>0</v>
      </c>
      <c r="AF3" s="149">
        <v>0</v>
      </c>
      <c r="AG3" s="149">
        <v>0</v>
      </c>
      <c r="AH3" s="149">
        <v>0</v>
      </c>
      <c r="AI3" s="149">
        <v>0</v>
      </c>
      <c r="AJ3" s="153">
        <v>0</v>
      </c>
      <c r="AK3" s="156">
        <v>37466.763447644997</v>
      </c>
      <c r="AL3" s="156">
        <v>0</v>
      </c>
      <c r="AM3" s="156">
        <v>89260.992192000005</v>
      </c>
      <c r="AN3" s="156">
        <v>66014.825193000011</v>
      </c>
      <c r="AO3" s="156">
        <v>0</v>
      </c>
      <c r="AP3" s="157">
        <v>29334.135599999998</v>
      </c>
      <c r="AQ3" s="157">
        <v>0</v>
      </c>
      <c r="AR3" s="157">
        <v>95906.55597999999</v>
      </c>
      <c r="AS3" s="157">
        <v>91189.522872000001</v>
      </c>
      <c r="AT3" s="158">
        <v>0</v>
      </c>
    </row>
    <row r="4" spans="1:46" x14ac:dyDescent="0.25">
      <c r="A4" s="133">
        <v>44562</v>
      </c>
      <c r="B4" s="132">
        <v>127624.6</v>
      </c>
      <c r="C4" s="132">
        <v>0</v>
      </c>
      <c r="D4" s="132">
        <v>0</v>
      </c>
      <c r="E4" s="132">
        <v>98.83</v>
      </c>
      <c r="F4" s="132">
        <v>134331.04</v>
      </c>
      <c r="G4" s="132">
        <v>0</v>
      </c>
      <c r="H4" s="136">
        <v>0</v>
      </c>
      <c r="I4" s="137">
        <v>34169.195000000007</v>
      </c>
      <c r="J4" s="137">
        <v>0</v>
      </c>
      <c r="K4" s="137">
        <v>0</v>
      </c>
      <c r="L4" s="137">
        <v>0</v>
      </c>
      <c r="M4" s="137">
        <v>36357.19</v>
      </c>
      <c r="N4" s="137">
        <v>0</v>
      </c>
      <c r="O4" s="140">
        <v>0</v>
      </c>
      <c r="P4" s="141">
        <v>100806.39999999998</v>
      </c>
      <c r="Q4" s="141">
        <v>0</v>
      </c>
      <c r="R4" s="141">
        <v>0</v>
      </c>
      <c r="S4" s="141">
        <v>88.6</v>
      </c>
      <c r="T4" s="141">
        <v>130944.06</v>
      </c>
      <c r="U4" s="141">
        <v>0</v>
      </c>
      <c r="V4" s="141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8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4">
        <v>0</v>
      </c>
      <c r="AK4" s="156">
        <v>26488.472501925007</v>
      </c>
      <c r="AL4" s="156">
        <v>0</v>
      </c>
      <c r="AM4" s="156">
        <v>90233.144692000002</v>
      </c>
      <c r="AN4" s="156">
        <v>70321.536575999984</v>
      </c>
      <c r="AO4" s="156">
        <v>0</v>
      </c>
      <c r="AP4" s="157">
        <v>28184.639045850003</v>
      </c>
      <c r="AQ4" s="157">
        <v>0</v>
      </c>
      <c r="AR4" s="157">
        <v>94974.73190079999</v>
      </c>
      <c r="AS4" s="157">
        <v>91345.266815399998</v>
      </c>
      <c r="AT4" s="158">
        <v>0</v>
      </c>
    </row>
    <row r="5" spans="1:46" x14ac:dyDescent="0.25">
      <c r="A5" s="131">
        <v>44593</v>
      </c>
      <c r="B5" s="132">
        <v>96946.4</v>
      </c>
      <c r="C5" s="132">
        <v>0</v>
      </c>
      <c r="D5" s="132">
        <v>0</v>
      </c>
      <c r="E5" s="132">
        <v>99.29</v>
      </c>
      <c r="F5" s="132">
        <v>108571.18</v>
      </c>
      <c r="G5" s="132">
        <v>0</v>
      </c>
      <c r="H5" s="136">
        <v>0</v>
      </c>
      <c r="I5" s="137">
        <v>32936.601999999999</v>
      </c>
      <c r="J5" s="137">
        <v>0</v>
      </c>
      <c r="K5" s="137">
        <v>0</v>
      </c>
      <c r="L5" s="137">
        <v>64.27</v>
      </c>
      <c r="M5" s="137">
        <v>31490.67</v>
      </c>
      <c r="N5" s="137">
        <v>0</v>
      </c>
      <c r="O5" s="140">
        <v>0</v>
      </c>
      <c r="P5" s="141">
        <v>91369.8</v>
      </c>
      <c r="Q5" s="141">
        <v>0</v>
      </c>
      <c r="R5" s="141">
        <v>0</v>
      </c>
      <c r="S5" s="141">
        <v>99.05</v>
      </c>
      <c r="T5" s="141">
        <v>111813.67</v>
      </c>
      <c r="U5" s="141">
        <v>0</v>
      </c>
      <c r="V5" s="141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8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53">
        <v>0</v>
      </c>
      <c r="AK5" s="156">
        <v>25532.947919429997</v>
      </c>
      <c r="AL5" s="156">
        <v>0</v>
      </c>
      <c r="AM5" s="156">
        <v>68543.04372799999</v>
      </c>
      <c r="AN5" s="156">
        <v>63738.658781999999</v>
      </c>
      <c r="AO5" s="156">
        <v>0</v>
      </c>
      <c r="AP5" s="157">
        <v>24412.039744049998</v>
      </c>
      <c r="AQ5" s="157">
        <v>0</v>
      </c>
      <c r="AR5" s="157">
        <v>76761.995683599991</v>
      </c>
      <c r="AS5" s="157">
        <v>78000.098055299997</v>
      </c>
      <c r="AT5" s="158">
        <v>0</v>
      </c>
    </row>
    <row r="6" spans="1:46" x14ac:dyDescent="0.25">
      <c r="A6" s="133">
        <v>44621</v>
      </c>
      <c r="B6" s="132">
        <v>94648.1</v>
      </c>
      <c r="C6" s="132">
        <v>0</v>
      </c>
      <c r="D6" s="132">
        <v>0</v>
      </c>
      <c r="E6" s="132">
        <v>100</v>
      </c>
      <c r="F6" s="132">
        <v>100729.11</v>
      </c>
      <c r="G6" s="132">
        <v>0</v>
      </c>
      <c r="H6" s="136">
        <v>0</v>
      </c>
      <c r="I6" s="137">
        <v>29032.3</v>
      </c>
      <c r="J6" s="137">
        <v>0</v>
      </c>
      <c r="K6" s="137">
        <v>0</v>
      </c>
      <c r="L6" s="137">
        <v>100</v>
      </c>
      <c r="M6" s="137">
        <v>32436.400000000001</v>
      </c>
      <c r="N6" s="137">
        <v>0</v>
      </c>
      <c r="O6" s="140">
        <v>0</v>
      </c>
      <c r="P6" s="141">
        <v>89806.300000000017</v>
      </c>
      <c r="Q6" s="141">
        <v>0</v>
      </c>
      <c r="R6" s="141">
        <v>0</v>
      </c>
      <c r="S6" s="141">
        <v>100</v>
      </c>
      <c r="T6" s="141">
        <v>111969.25</v>
      </c>
      <c r="U6" s="141">
        <v>0</v>
      </c>
      <c r="V6" s="141">
        <v>0</v>
      </c>
      <c r="W6" s="144">
        <v>17949.203000000001</v>
      </c>
      <c r="X6" s="144">
        <v>0</v>
      </c>
      <c r="Y6" s="144">
        <v>0</v>
      </c>
      <c r="Z6" s="144">
        <v>100</v>
      </c>
      <c r="AA6" s="144">
        <v>21376.47741935484</v>
      </c>
      <c r="AB6" s="144">
        <v>0</v>
      </c>
      <c r="AC6" s="148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4">
        <v>0</v>
      </c>
      <c r="AK6" s="156">
        <v>22506.274444499995</v>
      </c>
      <c r="AL6" s="156">
        <v>0</v>
      </c>
      <c r="AM6" s="156">
        <v>66918.099661999993</v>
      </c>
      <c r="AN6" s="156">
        <v>62647.97681700001</v>
      </c>
      <c r="AO6" s="156">
        <v>16397.673892679999</v>
      </c>
      <c r="AP6" s="157">
        <v>25145.183826</v>
      </c>
      <c r="AQ6" s="157">
        <v>0</v>
      </c>
      <c r="AR6" s="157">
        <v>71217.4953522</v>
      </c>
      <c r="AS6" s="157">
        <v>78108.629107500004</v>
      </c>
      <c r="AT6" s="158">
        <v>19528.694711225806</v>
      </c>
    </row>
    <row r="7" spans="1:46" x14ac:dyDescent="0.25">
      <c r="A7" s="131">
        <v>44653</v>
      </c>
      <c r="B7" s="132">
        <v>70139.100000000006</v>
      </c>
      <c r="C7" s="132">
        <v>73.310868708241003</v>
      </c>
      <c r="D7" s="132">
        <v>121.69236198407999</v>
      </c>
      <c r="E7" s="132">
        <v>96.83</v>
      </c>
      <c r="F7" s="132">
        <v>70910.55</v>
      </c>
      <c r="G7" s="132">
        <v>110.15333333333334</v>
      </c>
      <c r="H7" s="136">
        <v>0.69359333333333339</v>
      </c>
      <c r="I7" s="137">
        <v>23635.79700000002</v>
      </c>
      <c r="J7" s="137">
        <v>81.264061325699004</v>
      </c>
      <c r="K7" s="137">
        <v>116.89211011905</v>
      </c>
      <c r="L7" s="137">
        <v>96.69</v>
      </c>
      <c r="M7" s="137">
        <v>27151.55</v>
      </c>
      <c r="N7" s="137">
        <v>139.16</v>
      </c>
      <c r="O7" s="137">
        <v>0.74573333333333336</v>
      </c>
      <c r="P7" s="141">
        <v>70141.499999999971</v>
      </c>
      <c r="Q7" s="141">
        <v>59.891782911532999</v>
      </c>
      <c r="R7" s="141">
        <v>126.1110146234</v>
      </c>
      <c r="S7" s="141">
        <v>96.77</v>
      </c>
      <c r="T7" s="141">
        <v>85867.72</v>
      </c>
      <c r="U7" s="141">
        <v>125.52000000000001</v>
      </c>
      <c r="V7" s="145">
        <v>0.62136000000000002</v>
      </c>
      <c r="W7" s="144">
        <v>21947</v>
      </c>
      <c r="X7" s="144">
        <v>78.077173129494994</v>
      </c>
      <c r="Y7" s="144">
        <v>125.57036794905</v>
      </c>
      <c r="Z7" s="144">
        <v>93.46</v>
      </c>
      <c r="AA7" s="144">
        <v>24642.89</v>
      </c>
      <c r="AB7" s="144">
        <v>126.28000000000002</v>
      </c>
      <c r="AC7" s="148">
        <v>0.80294666666666659</v>
      </c>
      <c r="AD7" s="149">
        <v>21643.97</v>
      </c>
      <c r="AE7" s="149">
        <v>69.850753753484994</v>
      </c>
      <c r="AF7" s="149">
        <v>51.630656604854003</v>
      </c>
      <c r="AG7" s="149">
        <v>95</v>
      </c>
      <c r="AH7" s="149">
        <v>32408.21</v>
      </c>
      <c r="AI7" s="149">
        <v>57.273333333333333</v>
      </c>
      <c r="AJ7" s="153">
        <v>0.28959333333333331</v>
      </c>
      <c r="AK7" s="156">
        <v>18322.824371355015</v>
      </c>
      <c r="AL7" s="156">
        <v>16400.393607950002</v>
      </c>
      <c r="AM7" s="156">
        <v>49589.746481999995</v>
      </c>
      <c r="AN7" s="156">
        <v>48930.008984999979</v>
      </c>
      <c r="AO7" s="156">
        <v>20049.901320000001</v>
      </c>
      <c r="AP7" s="157">
        <v>21048.288833249997</v>
      </c>
      <c r="AQ7" s="157">
        <v>24556.83500435</v>
      </c>
      <c r="AR7" s="157">
        <v>50135.177060999995</v>
      </c>
      <c r="AS7" s="157">
        <v>59900.462794799998</v>
      </c>
      <c r="AT7" s="158">
        <v>22512.758588399996</v>
      </c>
    </row>
    <row r="8" spans="1:46" x14ac:dyDescent="0.25">
      <c r="A8" s="133">
        <v>44684</v>
      </c>
      <c r="B8" s="132">
        <v>52487.9</v>
      </c>
      <c r="C8" s="132">
        <v>77.960921698397001</v>
      </c>
      <c r="D8" s="132">
        <v>92.269062020503</v>
      </c>
      <c r="E8" s="132">
        <v>99.26</v>
      </c>
      <c r="F8" s="132">
        <v>51576.41</v>
      </c>
      <c r="G8" s="132">
        <v>90.9</v>
      </c>
      <c r="H8" s="136">
        <v>0.81389999999999996</v>
      </c>
      <c r="I8" s="137">
        <v>23406.5</v>
      </c>
      <c r="J8" s="137">
        <v>74.747980931914995</v>
      </c>
      <c r="K8" s="137">
        <v>137.17509107142999</v>
      </c>
      <c r="L8" s="137">
        <v>95.94</v>
      </c>
      <c r="M8" s="137">
        <v>26286.34</v>
      </c>
      <c r="N8" s="137">
        <v>127.98709677419353</v>
      </c>
      <c r="O8" s="137">
        <v>0.73522580645161284</v>
      </c>
      <c r="P8" s="141">
        <v>60420.899999999994</v>
      </c>
      <c r="Q8" s="141">
        <v>71.884365014154994</v>
      </c>
      <c r="R8" s="141">
        <v>118.86590531812</v>
      </c>
      <c r="S8" s="141">
        <v>90.56</v>
      </c>
      <c r="T8" s="141">
        <v>68401.09</v>
      </c>
      <c r="U8" s="141">
        <v>118.16129032258064</v>
      </c>
      <c r="V8" s="145">
        <v>0.76945161290322583</v>
      </c>
      <c r="W8" s="144">
        <v>19453</v>
      </c>
      <c r="X8" s="144">
        <v>81.527601748501993</v>
      </c>
      <c r="Y8" s="144">
        <v>111.22573763131</v>
      </c>
      <c r="Z8" s="144">
        <v>95.92</v>
      </c>
      <c r="AA8" s="144">
        <v>18855.060000000001</v>
      </c>
      <c r="AB8" s="144">
        <v>102.9</v>
      </c>
      <c r="AC8" s="148">
        <v>0.86550000000000005</v>
      </c>
      <c r="AD8" s="150">
        <v>28195.21</v>
      </c>
      <c r="AE8" s="150">
        <v>66.896162571583005</v>
      </c>
      <c r="AF8" s="150">
        <v>138.66206939935</v>
      </c>
      <c r="AG8" s="150">
        <v>97.61</v>
      </c>
      <c r="AH8" s="150">
        <v>32007.52</v>
      </c>
      <c r="AI8" s="150">
        <v>145.18709677419355</v>
      </c>
      <c r="AJ8" s="154">
        <v>0.73444838709677429</v>
      </c>
      <c r="AK8" s="156">
        <v>18145.069897499998</v>
      </c>
      <c r="AL8" s="156">
        <v>21364.497449349998</v>
      </c>
      <c r="AM8" s="156">
        <v>37109.995058</v>
      </c>
      <c r="AN8" s="156">
        <v>42149.015630999995</v>
      </c>
      <c r="AO8" s="156">
        <v>17771.482679999997</v>
      </c>
      <c r="AP8" s="157">
        <v>20377.565063100003</v>
      </c>
      <c r="AQ8" s="157">
        <v>24253.218167200001</v>
      </c>
      <c r="AR8" s="157">
        <v>36465.553398199998</v>
      </c>
      <c r="AS8" s="157">
        <v>47715.916373100001</v>
      </c>
      <c r="AT8" s="158">
        <v>17225.2286136</v>
      </c>
    </row>
    <row r="9" spans="1:46" x14ac:dyDescent="0.25">
      <c r="A9" s="131">
        <v>44713</v>
      </c>
      <c r="B9" s="132">
        <v>39237.9</v>
      </c>
      <c r="C9" s="132">
        <v>68.443101900182995</v>
      </c>
      <c r="D9" s="132">
        <v>82.067254449022997</v>
      </c>
      <c r="E9" s="132">
        <v>92.02</v>
      </c>
      <c r="F9" s="132">
        <v>41981.69</v>
      </c>
      <c r="G9" s="132">
        <v>73.400000000000006</v>
      </c>
      <c r="H9" s="136">
        <v>0.82050000000000001</v>
      </c>
      <c r="I9" s="137">
        <v>21763.203000000001</v>
      </c>
      <c r="J9" s="137">
        <v>77.946520998601997</v>
      </c>
      <c r="K9" s="137">
        <v>92.154747222221999</v>
      </c>
      <c r="L9" s="137">
        <v>100</v>
      </c>
      <c r="M9" s="137">
        <v>23827.62</v>
      </c>
      <c r="N9" s="137">
        <v>84.800000000000011</v>
      </c>
      <c r="O9" s="137">
        <v>0.54800000000000004</v>
      </c>
      <c r="P9" s="141">
        <v>48239.9</v>
      </c>
      <c r="Q9" s="141">
        <v>67.475031842031996</v>
      </c>
      <c r="R9" s="141">
        <v>103.46755885677</v>
      </c>
      <c r="S9" s="141">
        <v>95.26</v>
      </c>
      <c r="T9" s="141">
        <v>58421.74</v>
      </c>
      <c r="U9" s="141">
        <v>103.1</v>
      </c>
      <c r="V9" s="145">
        <v>0.80420000000000003</v>
      </c>
      <c r="W9" s="144">
        <v>15026.093999999999</v>
      </c>
      <c r="X9" s="144">
        <v>78.950729289001998</v>
      </c>
      <c r="Y9" s="144">
        <v>89.875620191997001</v>
      </c>
      <c r="Z9" s="144">
        <v>91.82</v>
      </c>
      <c r="AA9" s="144">
        <v>15568.68</v>
      </c>
      <c r="AB9" s="144">
        <v>84.9</v>
      </c>
      <c r="AC9" s="148">
        <v>0.86619999999999997</v>
      </c>
      <c r="AD9" s="149">
        <v>17909.61</v>
      </c>
      <c r="AE9" s="149">
        <v>61.823425827020998</v>
      </c>
      <c r="AF9" s="149">
        <v>19.347908716804</v>
      </c>
      <c r="AG9" s="149">
        <v>94.65</v>
      </c>
      <c r="AH9" s="149">
        <v>29209.23</v>
      </c>
      <c r="AI9" s="149">
        <v>23.549999999999997</v>
      </c>
      <c r="AJ9" s="153">
        <v>0.13114999999999999</v>
      </c>
      <c r="AK9" s="156">
        <v>16871.161413645001</v>
      </c>
      <c r="AL9" s="156">
        <v>13570.73833335</v>
      </c>
      <c r="AM9" s="156">
        <v>27741.980058000001</v>
      </c>
      <c r="AN9" s="156">
        <v>33651.671841000003</v>
      </c>
      <c r="AO9" s="156">
        <v>13727.238434639998</v>
      </c>
      <c r="AP9" s="157">
        <v>18471.528438299996</v>
      </c>
      <c r="AQ9" s="157">
        <v>22132.855894049997</v>
      </c>
      <c r="AR9" s="157">
        <v>29681.894463799999</v>
      </c>
      <c r="AS9" s="157">
        <v>40754.421606599994</v>
      </c>
      <c r="AT9" s="158">
        <v>14222.923300799999</v>
      </c>
    </row>
    <row r="10" spans="1:46" x14ac:dyDescent="0.25">
      <c r="A10" s="133">
        <v>44743</v>
      </c>
      <c r="B10" s="132">
        <v>42440.4</v>
      </c>
      <c r="C10" s="132">
        <v>71.948242508776005</v>
      </c>
      <c r="D10" s="132">
        <v>82.514290029761995</v>
      </c>
      <c r="E10" s="132">
        <v>91.65</v>
      </c>
      <c r="F10" s="132">
        <v>47500.46</v>
      </c>
      <c r="G10" s="132">
        <v>79.935483870967744</v>
      </c>
      <c r="H10" s="136">
        <v>0.79829032258064514</v>
      </c>
      <c r="I10" s="137">
        <v>20957.109</v>
      </c>
      <c r="J10" s="137">
        <v>73.192121140666003</v>
      </c>
      <c r="K10" s="137">
        <v>95.735196714397006</v>
      </c>
      <c r="L10" s="137">
        <v>93.77</v>
      </c>
      <c r="M10" s="137">
        <v>26254.38</v>
      </c>
      <c r="N10" s="137">
        <v>113.14516129032258</v>
      </c>
      <c r="O10" s="137">
        <v>0.66217741935483876</v>
      </c>
      <c r="P10" s="141">
        <v>44538.000000000029</v>
      </c>
      <c r="Q10" s="141">
        <v>57.901555176400002</v>
      </c>
      <c r="R10" s="141">
        <v>105.69992281174</v>
      </c>
      <c r="S10" s="141">
        <v>89.31</v>
      </c>
      <c r="T10" s="141">
        <v>64810.21</v>
      </c>
      <c r="U10" s="141">
        <v>114.3</v>
      </c>
      <c r="V10" s="145">
        <v>0.80469999999999997</v>
      </c>
      <c r="W10" s="144">
        <v>15238.202999999899</v>
      </c>
      <c r="X10" s="144">
        <v>76.401521277227999</v>
      </c>
      <c r="Y10" s="144">
        <v>94.089611137236005</v>
      </c>
      <c r="Z10" s="144">
        <v>88.05</v>
      </c>
      <c r="AA10" s="144">
        <v>17678.79</v>
      </c>
      <c r="AB10" s="144">
        <v>95.8</v>
      </c>
      <c r="AC10" s="148">
        <v>0.87170000000000003</v>
      </c>
      <c r="AD10" s="150">
        <v>21623.061000000002</v>
      </c>
      <c r="AE10" s="150">
        <v>63.598771298679999</v>
      </c>
      <c r="AF10" s="150">
        <v>60.818278021978003</v>
      </c>
      <c r="AG10" s="150">
        <v>94.95</v>
      </c>
      <c r="AH10" s="150">
        <v>32059.25</v>
      </c>
      <c r="AI10" s="150">
        <v>64.706451612903223</v>
      </c>
      <c r="AJ10" s="154">
        <v>0.33166774193548387</v>
      </c>
      <c r="AK10" s="156">
        <v>16246.265253435</v>
      </c>
      <c r="AL10" s="156">
        <v>16384.550126835002</v>
      </c>
      <c r="AM10" s="156">
        <v>30006.211608000001</v>
      </c>
      <c r="AN10" s="156">
        <v>31069.263420000021</v>
      </c>
      <c r="AO10" s="156">
        <v>13921.012732679908</v>
      </c>
      <c r="AP10" s="157">
        <v>20352.789191699998</v>
      </c>
      <c r="AQ10" s="157">
        <v>24292.41579875</v>
      </c>
      <c r="AR10" s="157">
        <v>33583.7752292</v>
      </c>
      <c r="AS10" s="157">
        <v>45210.954393899992</v>
      </c>
      <c r="AT10" s="158">
        <v>16150.6353924</v>
      </c>
    </row>
    <row r="11" spans="1:46" x14ac:dyDescent="0.25">
      <c r="A11" s="131">
        <v>44774</v>
      </c>
      <c r="B11" s="132">
        <v>60653.20000000007</v>
      </c>
      <c r="C11" s="132">
        <v>80.146371981672999</v>
      </c>
      <c r="D11" s="132">
        <v>108.76226304564</v>
      </c>
      <c r="E11" s="132">
        <v>99.42</v>
      </c>
      <c r="F11" s="132">
        <v>61452.66</v>
      </c>
      <c r="G11" s="132">
        <v>106.7</v>
      </c>
      <c r="H11" s="136">
        <v>0.82620000000000005</v>
      </c>
      <c r="I11" s="137">
        <v>29575.187999999995</v>
      </c>
      <c r="J11" s="137">
        <v>77.377301878088005</v>
      </c>
      <c r="K11" s="137">
        <v>107.07476626984</v>
      </c>
      <c r="L11" s="137">
        <v>98.77</v>
      </c>
      <c r="M11" s="137">
        <v>30459.35</v>
      </c>
      <c r="N11" s="137">
        <v>112.18064516129033</v>
      </c>
      <c r="O11" s="137">
        <v>0.54674516129032269</v>
      </c>
      <c r="P11" s="141">
        <v>57792.900000000023</v>
      </c>
      <c r="Q11" s="141">
        <v>62.522504116675996</v>
      </c>
      <c r="R11" s="141">
        <v>131.02580484776001</v>
      </c>
      <c r="S11" s="141">
        <v>99.75</v>
      </c>
      <c r="T11" s="141">
        <v>77138.89</v>
      </c>
      <c r="U11" s="141">
        <v>136.80000000000001</v>
      </c>
      <c r="V11" s="145">
        <v>0.80030000000000001</v>
      </c>
      <c r="W11" s="144">
        <v>22528.203000000009</v>
      </c>
      <c r="X11" s="144">
        <v>87.592032338652999</v>
      </c>
      <c r="Y11" s="144">
        <v>121.28788040562</v>
      </c>
      <c r="Z11" s="144">
        <v>99.96</v>
      </c>
      <c r="AA11" s="144">
        <v>21795.82</v>
      </c>
      <c r="AB11" s="144">
        <v>117.6</v>
      </c>
      <c r="AC11" s="148">
        <v>0.87549999999999994</v>
      </c>
      <c r="AD11" s="149">
        <v>30455.185000000001</v>
      </c>
      <c r="AE11" s="149">
        <v>65.363153214378002</v>
      </c>
      <c r="AF11" s="149">
        <v>185.616721875</v>
      </c>
      <c r="AG11" s="149">
        <v>93.31</v>
      </c>
      <c r="AH11" s="149">
        <v>36696.25</v>
      </c>
      <c r="AI11" s="149">
        <v>176.7</v>
      </c>
      <c r="AJ11" s="153">
        <v>0.79049999999999998</v>
      </c>
      <c r="AK11" s="156">
        <v>22927.129365419998</v>
      </c>
      <c r="AL11" s="156">
        <v>23076.959605975</v>
      </c>
      <c r="AM11" s="156">
        <v>42883.025464000042</v>
      </c>
      <c r="AN11" s="156">
        <v>40315.749111000012</v>
      </c>
      <c r="AO11" s="156">
        <v>20580.865132680006</v>
      </c>
      <c r="AP11" s="157">
        <v>23612.545010249996</v>
      </c>
      <c r="AQ11" s="157">
        <v>27806.032993749999</v>
      </c>
      <c r="AR11" s="157">
        <v>43448.259673200002</v>
      </c>
      <c r="AS11" s="157">
        <v>53811.318275099999</v>
      </c>
      <c r="AT11" s="158">
        <v>19911.789319199997</v>
      </c>
    </row>
    <row r="12" spans="1:46" x14ac:dyDescent="0.25">
      <c r="A12" s="133">
        <v>44805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2"/>
      <c r="AC12" s="132"/>
      <c r="AD12" s="132"/>
      <c r="AE12" s="132"/>
      <c r="AF12" s="132"/>
      <c r="AG12" s="132"/>
      <c r="AH12" s="132"/>
      <c r="AI12" s="132"/>
      <c r="AJ12" s="132"/>
      <c r="AK12" s="156">
        <v>0</v>
      </c>
      <c r="AL12" s="156">
        <v>0</v>
      </c>
      <c r="AM12" s="156">
        <v>0</v>
      </c>
      <c r="AN12" s="156">
        <v>0</v>
      </c>
      <c r="AO12" s="156">
        <v>0</v>
      </c>
      <c r="AP12" s="157">
        <v>0</v>
      </c>
      <c r="AQ12" s="157">
        <v>0</v>
      </c>
      <c r="AR12" s="157">
        <v>0</v>
      </c>
      <c r="AS12" s="157">
        <v>0</v>
      </c>
      <c r="AT12" s="158">
        <v>0</v>
      </c>
    </row>
    <row r="13" spans="1:46" x14ac:dyDescent="0.25">
      <c r="A13" s="131">
        <v>44866</v>
      </c>
      <c r="B13" s="132"/>
      <c r="C13" s="132"/>
      <c r="D13" s="132"/>
      <c r="E13" s="132"/>
      <c r="F13" s="132"/>
      <c r="G13" s="132">
        <v>0</v>
      </c>
      <c r="H13" s="136"/>
      <c r="I13" s="137"/>
      <c r="J13" s="137"/>
      <c r="K13" s="137"/>
      <c r="L13" s="137"/>
      <c r="M13" s="137"/>
      <c r="N13" s="137"/>
      <c r="O13" s="140"/>
      <c r="P13" s="141"/>
      <c r="Q13" s="141"/>
      <c r="R13" s="141"/>
      <c r="S13" s="141"/>
      <c r="T13" s="141"/>
      <c r="U13" s="141"/>
      <c r="V13" s="145"/>
      <c r="W13" s="144"/>
      <c r="X13" s="144"/>
      <c r="Y13" s="144"/>
      <c r="Z13" s="144"/>
      <c r="AA13" s="144"/>
      <c r="AB13" s="144"/>
      <c r="AC13" s="148"/>
      <c r="AD13" s="149"/>
      <c r="AE13" s="149"/>
      <c r="AF13" s="149"/>
      <c r="AG13" s="149"/>
      <c r="AH13" s="149"/>
      <c r="AI13" s="149"/>
      <c r="AJ13" s="153"/>
      <c r="AK13" s="156">
        <v>0</v>
      </c>
      <c r="AL13" s="156">
        <v>0</v>
      </c>
      <c r="AM13" s="156">
        <v>0</v>
      </c>
      <c r="AN13" s="156">
        <v>0</v>
      </c>
      <c r="AO13" s="156">
        <v>0</v>
      </c>
      <c r="AP13" s="157">
        <v>0</v>
      </c>
      <c r="AQ13" s="157">
        <v>0</v>
      </c>
      <c r="AR13" s="157">
        <v>0</v>
      </c>
      <c r="AS13" s="157">
        <v>0</v>
      </c>
      <c r="AT13" s="158">
        <v>0</v>
      </c>
    </row>
    <row r="14" spans="1:46" x14ac:dyDescent="0.25">
      <c r="A14" s="133">
        <v>44896</v>
      </c>
      <c r="B14" s="132"/>
      <c r="C14" s="132"/>
      <c r="D14" s="132"/>
      <c r="E14" s="132"/>
      <c r="F14" s="132"/>
      <c r="G14" s="132">
        <v>0</v>
      </c>
      <c r="H14" s="136"/>
      <c r="I14" s="137"/>
      <c r="J14" s="137"/>
      <c r="K14" s="137"/>
      <c r="L14" s="137"/>
      <c r="M14" s="137"/>
      <c r="N14" s="137"/>
      <c r="O14" s="140"/>
      <c r="P14" s="141"/>
      <c r="Q14" s="141"/>
      <c r="R14" s="141"/>
      <c r="S14" s="141"/>
      <c r="T14" s="141"/>
      <c r="U14" s="141"/>
      <c r="V14" s="145"/>
      <c r="W14" s="144"/>
      <c r="X14" s="144"/>
      <c r="Y14" s="144"/>
      <c r="Z14" s="144"/>
      <c r="AA14" s="144"/>
      <c r="AB14" s="144"/>
      <c r="AC14" s="148"/>
      <c r="AD14" s="150"/>
      <c r="AE14" s="150"/>
      <c r="AF14" s="150"/>
      <c r="AG14" s="150"/>
      <c r="AH14" s="150"/>
      <c r="AI14" s="150"/>
      <c r="AJ14" s="154"/>
      <c r="AK14" s="156">
        <v>0</v>
      </c>
      <c r="AL14" s="156">
        <v>0</v>
      </c>
      <c r="AM14" s="156">
        <v>0</v>
      </c>
      <c r="AN14" s="156">
        <v>0</v>
      </c>
      <c r="AO14" s="156">
        <v>0</v>
      </c>
      <c r="AP14" s="157">
        <v>0</v>
      </c>
      <c r="AQ14" s="157">
        <v>0</v>
      </c>
      <c r="AR14" s="157">
        <v>0</v>
      </c>
      <c r="AS14" s="157">
        <v>0</v>
      </c>
      <c r="AT14" s="158">
        <v>0</v>
      </c>
    </row>
    <row r="15" spans="1:46" x14ac:dyDescent="0.25">
      <c r="A15" s="131">
        <v>44927</v>
      </c>
      <c r="B15" s="132"/>
      <c r="C15" s="132"/>
      <c r="D15" s="132"/>
      <c r="E15" s="132"/>
      <c r="F15" s="132"/>
      <c r="G15" s="132">
        <v>0</v>
      </c>
      <c r="H15" s="136"/>
      <c r="I15" s="137"/>
      <c r="J15" s="137"/>
      <c r="K15" s="137"/>
      <c r="L15" s="137"/>
      <c r="M15" s="137"/>
      <c r="N15" s="137"/>
      <c r="O15" s="140"/>
      <c r="P15" s="141"/>
      <c r="Q15" s="141"/>
      <c r="R15" s="141"/>
      <c r="S15" s="141"/>
      <c r="T15" s="141"/>
      <c r="U15" s="141"/>
      <c r="V15" s="145"/>
      <c r="W15" s="144"/>
      <c r="X15" s="144"/>
      <c r="Y15" s="144"/>
      <c r="Z15" s="144"/>
      <c r="AA15" s="144"/>
      <c r="AB15" s="144"/>
      <c r="AC15" s="148"/>
      <c r="AD15" s="149"/>
      <c r="AE15" s="149"/>
      <c r="AF15" s="149"/>
      <c r="AG15" s="149"/>
      <c r="AH15" s="149"/>
      <c r="AI15" s="149"/>
      <c r="AJ15" s="153"/>
      <c r="AK15" s="156">
        <v>0</v>
      </c>
      <c r="AL15" s="156">
        <v>0</v>
      </c>
      <c r="AM15" s="156">
        <v>0</v>
      </c>
      <c r="AN15" s="156">
        <v>0</v>
      </c>
      <c r="AO15" s="156">
        <v>0</v>
      </c>
      <c r="AP15" s="157">
        <v>0</v>
      </c>
      <c r="AQ15" s="157">
        <v>0</v>
      </c>
      <c r="AR15" s="157">
        <v>0</v>
      </c>
      <c r="AS15" s="157">
        <v>0</v>
      </c>
      <c r="AT15" s="158">
        <v>0</v>
      </c>
    </row>
    <row r="16" spans="1:46" x14ac:dyDescent="0.25">
      <c r="A16" s="133">
        <v>44958</v>
      </c>
      <c r="B16" s="132"/>
      <c r="C16" s="132"/>
      <c r="D16" s="132"/>
      <c r="E16" s="132"/>
      <c r="F16" s="132"/>
      <c r="G16" s="132">
        <v>0</v>
      </c>
      <c r="H16" s="136"/>
      <c r="I16" s="137"/>
      <c r="J16" s="137"/>
      <c r="K16" s="137"/>
      <c r="L16" s="137"/>
      <c r="M16" s="137"/>
      <c r="N16" s="137"/>
      <c r="O16" s="140"/>
      <c r="P16" s="141"/>
      <c r="Q16" s="141"/>
      <c r="R16" s="141"/>
      <c r="S16" s="141"/>
      <c r="T16" s="141"/>
      <c r="U16" s="141"/>
      <c r="V16" s="145"/>
      <c r="W16" s="144"/>
      <c r="X16" s="144"/>
      <c r="Y16" s="144"/>
      <c r="Z16" s="144"/>
      <c r="AA16" s="144"/>
      <c r="AB16" s="144"/>
      <c r="AC16" s="148"/>
      <c r="AD16" s="150"/>
      <c r="AE16" s="150"/>
      <c r="AF16" s="150"/>
      <c r="AG16" s="150"/>
      <c r="AH16" s="150"/>
      <c r="AI16" s="150"/>
      <c r="AJ16" s="154"/>
      <c r="AK16" s="156">
        <v>0</v>
      </c>
      <c r="AL16" s="156">
        <v>0</v>
      </c>
      <c r="AM16" s="156">
        <v>0</v>
      </c>
      <c r="AN16" s="156">
        <v>0</v>
      </c>
      <c r="AO16" s="156">
        <v>0</v>
      </c>
      <c r="AP16" s="157">
        <v>0</v>
      </c>
      <c r="AQ16" s="157">
        <v>0</v>
      </c>
      <c r="AR16" s="157">
        <v>0</v>
      </c>
      <c r="AS16" s="157">
        <v>0</v>
      </c>
      <c r="AT16" s="158">
        <v>0</v>
      </c>
    </row>
    <row r="17" spans="1:46" x14ac:dyDescent="0.25">
      <c r="A17" s="131">
        <v>44986</v>
      </c>
      <c r="B17" s="132"/>
      <c r="C17" s="132"/>
      <c r="D17" s="132"/>
      <c r="E17" s="132"/>
      <c r="F17" s="132"/>
      <c r="G17" s="132">
        <v>0</v>
      </c>
      <c r="H17" s="136"/>
      <c r="I17" s="137"/>
      <c r="J17" s="137"/>
      <c r="K17" s="137"/>
      <c r="L17" s="137"/>
      <c r="M17" s="137"/>
      <c r="N17" s="137"/>
      <c r="O17" s="140"/>
      <c r="P17" s="141"/>
      <c r="Q17" s="141"/>
      <c r="R17" s="141"/>
      <c r="S17" s="141"/>
      <c r="T17" s="141"/>
      <c r="U17" s="141"/>
      <c r="V17" s="145"/>
      <c r="W17" s="144"/>
      <c r="X17" s="144"/>
      <c r="Y17" s="144"/>
      <c r="Z17" s="144"/>
      <c r="AA17" s="144"/>
      <c r="AB17" s="144"/>
      <c r="AC17" s="148"/>
      <c r="AD17" s="149"/>
      <c r="AE17" s="149"/>
      <c r="AF17" s="149"/>
      <c r="AG17" s="149"/>
      <c r="AH17" s="149"/>
      <c r="AI17" s="149"/>
      <c r="AJ17" s="153"/>
      <c r="AK17" s="156">
        <v>0</v>
      </c>
      <c r="AL17" s="156">
        <v>0</v>
      </c>
      <c r="AM17" s="156">
        <v>0</v>
      </c>
      <c r="AN17" s="156">
        <v>0</v>
      </c>
      <c r="AO17" s="156">
        <v>0</v>
      </c>
      <c r="AP17" s="157">
        <v>0</v>
      </c>
      <c r="AQ17" s="157">
        <v>0</v>
      </c>
      <c r="AR17" s="157">
        <v>0</v>
      </c>
      <c r="AS17" s="157">
        <v>0</v>
      </c>
      <c r="AT17" s="158">
        <v>0</v>
      </c>
    </row>
    <row r="18" spans="1:46" x14ac:dyDescent="0.25">
      <c r="A18" s="133">
        <v>45017</v>
      </c>
      <c r="B18" s="132"/>
      <c r="C18" s="132"/>
      <c r="D18" s="132"/>
      <c r="E18" s="132"/>
      <c r="F18" s="132"/>
      <c r="G18" s="132">
        <v>0</v>
      </c>
      <c r="H18" s="136"/>
      <c r="I18" s="137"/>
      <c r="J18" s="137"/>
      <c r="K18" s="137"/>
      <c r="L18" s="137"/>
      <c r="M18" s="137"/>
      <c r="N18" s="137"/>
      <c r="O18" s="140"/>
      <c r="P18" s="141"/>
      <c r="Q18" s="141"/>
      <c r="R18" s="141"/>
      <c r="S18" s="141"/>
      <c r="T18" s="141"/>
      <c r="U18" s="141"/>
      <c r="V18" s="145"/>
      <c r="W18" s="144"/>
      <c r="X18" s="144"/>
      <c r="Y18" s="144"/>
      <c r="Z18" s="144"/>
      <c r="AA18" s="144"/>
      <c r="AB18" s="144"/>
      <c r="AC18" s="148"/>
      <c r="AD18" s="150"/>
      <c r="AE18" s="150"/>
      <c r="AF18" s="150"/>
      <c r="AG18" s="150"/>
      <c r="AH18" s="150"/>
      <c r="AI18" s="150"/>
      <c r="AJ18" s="154"/>
      <c r="AK18" s="156">
        <v>0</v>
      </c>
      <c r="AL18" s="156">
        <v>0</v>
      </c>
      <c r="AM18" s="156">
        <v>0</v>
      </c>
      <c r="AN18" s="156">
        <v>0</v>
      </c>
      <c r="AO18" s="156">
        <v>0</v>
      </c>
      <c r="AP18" s="157">
        <v>0</v>
      </c>
      <c r="AQ18" s="157">
        <v>0</v>
      </c>
      <c r="AR18" s="157">
        <v>0</v>
      </c>
      <c r="AS18" s="157">
        <v>0</v>
      </c>
      <c r="AT18" s="158">
        <v>0</v>
      </c>
    </row>
    <row r="19" spans="1:46" x14ac:dyDescent="0.25">
      <c r="A19" s="131">
        <v>45047</v>
      </c>
      <c r="B19" s="132"/>
      <c r="C19" s="132"/>
      <c r="D19" s="132"/>
      <c r="E19" s="132"/>
      <c r="F19" s="132"/>
      <c r="G19" s="132">
        <v>0</v>
      </c>
      <c r="H19" s="136"/>
      <c r="I19" s="137"/>
      <c r="J19" s="137"/>
      <c r="K19" s="137"/>
      <c r="L19" s="137"/>
      <c r="M19" s="137"/>
      <c r="N19" s="137"/>
      <c r="O19" s="140"/>
      <c r="P19" s="141"/>
      <c r="Q19" s="141"/>
      <c r="R19" s="141"/>
      <c r="S19" s="141"/>
      <c r="T19" s="141"/>
      <c r="U19" s="141"/>
      <c r="V19" s="145"/>
      <c r="W19" s="144"/>
      <c r="X19" s="144"/>
      <c r="Y19" s="144"/>
      <c r="Z19" s="144"/>
      <c r="AA19" s="144"/>
      <c r="AB19" s="144"/>
      <c r="AC19" s="148"/>
      <c r="AD19" s="149"/>
      <c r="AE19" s="149"/>
      <c r="AF19" s="149"/>
      <c r="AG19" s="149"/>
      <c r="AH19" s="149"/>
      <c r="AI19" s="149"/>
      <c r="AJ19" s="153"/>
      <c r="AK19" s="156">
        <v>0</v>
      </c>
      <c r="AL19" s="156">
        <v>0</v>
      </c>
      <c r="AM19" s="156">
        <v>0</v>
      </c>
      <c r="AN19" s="156">
        <v>0</v>
      </c>
      <c r="AO19" s="156">
        <v>0</v>
      </c>
      <c r="AP19" s="157">
        <v>0</v>
      </c>
      <c r="AQ19" s="157">
        <v>0</v>
      </c>
      <c r="AR19" s="157">
        <v>0</v>
      </c>
      <c r="AS19" s="157">
        <v>0</v>
      </c>
      <c r="AT19" s="158">
        <v>0</v>
      </c>
    </row>
    <row r="20" spans="1:46" x14ac:dyDescent="0.25">
      <c r="A20" s="133">
        <v>45078</v>
      </c>
      <c r="B20" s="132"/>
      <c r="C20" s="132"/>
      <c r="D20" s="132"/>
      <c r="E20" s="132"/>
      <c r="F20" s="132"/>
      <c r="G20" s="132">
        <v>0</v>
      </c>
      <c r="H20" s="136"/>
      <c r="I20" s="137"/>
      <c r="J20" s="137"/>
      <c r="K20" s="137"/>
      <c r="L20" s="137"/>
      <c r="M20" s="137"/>
      <c r="N20" s="137"/>
      <c r="O20" s="140"/>
      <c r="P20" s="141"/>
      <c r="Q20" s="141"/>
      <c r="R20" s="141"/>
      <c r="S20" s="141"/>
      <c r="T20" s="141"/>
      <c r="U20" s="141"/>
      <c r="V20" s="145"/>
      <c r="W20" s="144"/>
      <c r="X20" s="144"/>
      <c r="Y20" s="144"/>
      <c r="Z20" s="144"/>
      <c r="AA20" s="144"/>
      <c r="AB20" s="144"/>
      <c r="AC20" s="148"/>
      <c r="AD20" s="150"/>
      <c r="AE20" s="150"/>
      <c r="AF20" s="150"/>
      <c r="AG20" s="150"/>
      <c r="AH20" s="150"/>
      <c r="AI20" s="150"/>
      <c r="AJ20" s="154"/>
      <c r="AK20" s="156">
        <v>0</v>
      </c>
      <c r="AL20" s="156">
        <v>0</v>
      </c>
      <c r="AM20" s="156">
        <v>0</v>
      </c>
      <c r="AN20" s="156">
        <v>0</v>
      </c>
      <c r="AO20" s="156">
        <v>0</v>
      </c>
      <c r="AP20" s="157">
        <v>0</v>
      </c>
      <c r="AQ20" s="157">
        <v>0</v>
      </c>
      <c r="AR20" s="157">
        <v>0</v>
      </c>
      <c r="AS20" s="157">
        <v>0</v>
      </c>
      <c r="AT20" s="158">
        <v>0</v>
      </c>
    </row>
    <row r="21" spans="1:46" x14ac:dyDescent="0.25">
      <c r="A21" s="131">
        <v>45108</v>
      </c>
      <c r="B21" s="132"/>
      <c r="C21" s="132"/>
      <c r="D21" s="132"/>
      <c r="E21" s="132"/>
      <c r="F21" s="132"/>
      <c r="G21" s="132">
        <v>0</v>
      </c>
      <c r="H21" s="136"/>
      <c r="I21" s="137"/>
      <c r="J21" s="137"/>
      <c r="K21" s="137"/>
      <c r="L21" s="137"/>
      <c r="M21" s="137"/>
      <c r="N21" s="137"/>
      <c r="O21" s="140"/>
      <c r="P21" s="141"/>
      <c r="Q21" s="141"/>
      <c r="R21" s="141"/>
      <c r="S21" s="141"/>
      <c r="T21" s="141"/>
      <c r="U21" s="141"/>
      <c r="V21" s="145"/>
      <c r="W21" s="144"/>
      <c r="X21" s="144"/>
      <c r="Y21" s="144"/>
      <c r="Z21" s="144"/>
      <c r="AA21" s="144"/>
      <c r="AB21" s="144"/>
      <c r="AC21" s="148"/>
      <c r="AD21" s="149"/>
      <c r="AE21" s="149"/>
      <c r="AF21" s="149"/>
      <c r="AG21" s="149"/>
      <c r="AH21" s="149"/>
      <c r="AI21" s="149"/>
      <c r="AJ21" s="153"/>
      <c r="AK21" s="156">
        <v>0</v>
      </c>
      <c r="AL21" s="156">
        <v>0</v>
      </c>
      <c r="AM21" s="156">
        <v>0</v>
      </c>
      <c r="AN21" s="156">
        <v>0</v>
      </c>
      <c r="AO21" s="156">
        <v>0</v>
      </c>
      <c r="AP21" s="157">
        <v>0</v>
      </c>
      <c r="AQ21" s="157">
        <v>0</v>
      </c>
      <c r="AR21" s="157">
        <v>0</v>
      </c>
      <c r="AS21" s="157">
        <v>0</v>
      </c>
      <c r="AT21" s="158">
        <v>0</v>
      </c>
    </row>
    <row r="22" spans="1:46" x14ac:dyDescent="0.25">
      <c r="A22" s="133">
        <v>45139</v>
      </c>
      <c r="B22" s="132"/>
      <c r="C22" s="132"/>
      <c r="D22" s="132"/>
      <c r="E22" s="132"/>
      <c r="F22" s="132"/>
      <c r="G22" s="132">
        <v>0</v>
      </c>
      <c r="H22" s="136"/>
      <c r="I22" s="137"/>
      <c r="J22" s="137"/>
      <c r="K22" s="137"/>
      <c r="L22" s="137"/>
      <c r="M22" s="137"/>
      <c r="N22" s="137"/>
      <c r="O22" s="140"/>
      <c r="P22" s="141"/>
      <c r="Q22" s="141"/>
      <c r="R22" s="141"/>
      <c r="S22" s="141"/>
      <c r="T22" s="141"/>
      <c r="U22" s="141"/>
      <c r="V22" s="145"/>
      <c r="W22" s="144"/>
      <c r="X22" s="144"/>
      <c r="Y22" s="144"/>
      <c r="Z22" s="144"/>
      <c r="AA22" s="144"/>
      <c r="AB22" s="144"/>
      <c r="AC22" s="148"/>
      <c r="AD22" s="150"/>
      <c r="AE22" s="150"/>
      <c r="AF22" s="150"/>
      <c r="AG22" s="150"/>
      <c r="AH22" s="150"/>
      <c r="AI22" s="150"/>
      <c r="AJ22" s="154"/>
      <c r="AK22" s="156">
        <v>0</v>
      </c>
      <c r="AL22" s="156">
        <v>0</v>
      </c>
      <c r="AM22" s="156">
        <v>0</v>
      </c>
      <c r="AN22" s="156">
        <v>0</v>
      </c>
      <c r="AO22" s="156">
        <v>0</v>
      </c>
      <c r="AP22" s="157">
        <v>0</v>
      </c>
      <c r="AQ22" s="157">
        <v>0</v>
      </c>
      <c r="AR22" s="157">
        <v>0</v>
      </c>
      <c r="AS22" s="157">
        <v>0</v>
      </c>
      <c r="AT22" s="158">
        <v>0</v>
      </c>
    </row>
    <row r="23" spans="1:46" x14ac:dyDescent="0.25">
      <c r="A23" s="131">
        <v>45170</v>
      </c>
      <c r="B23" s="132"/>
      <c r="C23" s="132"/>
      <c r="D23" s="132"/>
      <c r="E23" s="132"/>
      <c r="F23" s="132"/>
      <c r="G23" s="132">
        <v>0</v>
      </c>
      <c r="H23" s="136"/>
      <c r="I23" s="137"/>
      <c r="J23" s="137"/>
      <c r="K23" s="137"/>
      <c r="L23" s="137"/>
      <c r="M23" s="137"/>
      <c r="N23" s="137"/>
      <c r="O23" s="140"/>
      <c r="P23" s="141"/>
      <c r="Q23" s="141"/>
      <c r="R23" s="141"/>
      <c r="S23" s="141"/>
      <c r="T23" s="141"/>
      <c r="U23" s="141"/>
      <c r="V23" s="145"/>
      <c r="W23" s="144"/>
      <c r="X23" s="144"/>
      <c r="Y23" s="144"/>
      <c r="Z23" s="144"/>
      <c r="AA23" s="144"/>
      <c r="AB23" s="144"/>
      <c r="AC23" s="148"/>
      <c r="AD23" s="149"/>
      <c r="AE23" s="149"/>
      <c r="AF23" s="149"/>
      <c r="AG23" s="149"/>
      <c r="AH23" s="149"/>
      <c r="AI23" s="149"/>
      <c r="AJ23" s="153"/>
      <c r="AK23" s="156">
        <v>0</v>
      </c>
      <c r="AL23" s="156">
        <v>0</v>
      </c>
      <c r="AM23" s="156">
        <v>0</v>
      </c>
      <c r="AN23" s="156">
        <v>0</v>
      </c>
      <c r="AO23" s="156">
        <v>0</v>
      </c>
      <c r="AP23" s="157">
        <v>0</v>
      </c>
      <c r="AQ23" s="157">
        <v>0</v>
      </c>
      <c r="AR23" s="157">
        <v>0</v>
      </c>
      <c r="AS23" s="157">
        <v>0</v>
      </c>
      <c r="AT23" s="158">
        <v>0</v>
      </c>
    </row>
    <row r="24" spans="1:46" x14ac:dyDescent="0.25">
      <c r="A24" s="133">
        <v>45200</v>
      </c>
      <c r="B24" s="132"/>
      <c r="C24" s="132"/>
      <c r="D24" s="132"/>
      <c r="E24" s="132"/>
      <c r="F24" s="132"/>
      <c r="G24" s="132">
        <v>0</v>
      </c>
      <c r="H24" s="136"/>
      <c r="I24" s="137"/>
      <c r="J24" s="137"/>
      <c r="K24" s="137"/>
      <c r="L24" s="137"/>
      <c r="M24" s="137"/>
      <c r="N24" s="137"/>
      <c r="O24" s="140"/>
      <c r="P24" s="141"/>
      <c r="Q24" s="141"/>
      <c r="R24" s="141"/>
      <c r="S24" s="141"/>
      <c r="T24" s="141"/>
      <c r="U24" s="141"/>
      <c r="V24" s="145"/>
      <c r="W24" s="144"/>
      <c r="X24" s="144"/>
      <c r="Y24" s="144"/>
      <c r="Z24" s="144"/>
      <c r="AA24" s="144"/>
      <c r="AB24" s="144"/>
      <c r="AC24" s="148"/>
      <c r="AD24" s="150"/>
      <c r="AE24" s="150"/>
      <c r="AF24" s="150"/>
      <c r="AG24" s="150"/>
      <c r="AH24" s="150"/>
      <c r="AI24" s="150"/>
      <c r="AJ24" s="154"/>
      <c r="AK24" s="156">
        <v>0</v>
      </c>
      <c r="AL24" s="156">
        <v>0</v>
      </c>
      <c r="AM24" s="156">
        <v>0</v>
      </c>
      <c r="AN24" s="156">
        <v>0</v>
      </c>
      <c r="AO24" s="156">
        <v>0</v>
      </c>
      <c r="AP24" s="157">
        <v>0</v>
      </c>
      <c r="AQ24" s="157">
        <v>0</v>
      </c>
      <c r="AR24" s="157">
        <v>0</v>
      </c>
      <c r="AS24" s="157">
        <v>0</v>
      </c>
      <c r="AT24" s="158">
        <v>0</v>
      </c>
    </row>
    <row r="25" spans="1:46" x14ac:dyDescent="0.25">
      <c r="A25" s="134">
        <v>45231</v>
      </c>
      <c r="B25" s="135"/>
      <c r="C25" s="135"/>
      <c r="D25" s="135"/>
      <c r="E25" s="135"/>
      <c r="F25" s="135"/>
      <c r="G25" s="135">
        <v>0</v>
      </c>
      <c r="H25" s="138"/>
      <c r="I25" s="139"/>
      <c r="J25" s="139"/>
      <c r="K25" s="139"/>
      <c r="L25" s="139"/>
      <c r="M25" s="139"/>
      <c r="N25" s="139"/>
      <c r="O25" s="142"/>
      <c r="P25" s="143"/>
      <c r="Q25" s="143"/>
      <c r="R25" s="143"/>
      <c r="S25" s="143"/>
      <c r="T25" s="143"/>
      <c r="U25" s="143"/>
      <c r="V25" s="146"/>
      <c r="W25" s="147"/>
      <c r="X25" s="147"/>
      <c r="Y25" s="147"/>
      <c r="Z25" s="147"/>
      <c r="AA25" s="147"/>
      <c r="AB25" s="147"/>
      <c r="AC25" s="151"/>
      <c r="AD25" s="152"/>
      <c r="AE25" s="152"/>
      <c r="AF25" s="152"/>
      <c r="AG25" s="152"/>
      <c r="AH25" s="152"/>
      <c r="AI25" s="152"/>
      <c r="AJ25" s="155"/>
      <c r="AK25" s="159">
        <v>0</v>
      </c>
      <c r="AL25" s="159">
        <v>0</v>
      </c>
      <c r="AM25" s="159">
        <v>0</v>
      </c>
      <c r="AN25" s="159">
        <v>0</v>
      </c>
      <c r="AO25" s="159">
        <v>0</v>
      </c>
      <c r="AP25" s="160">
        <v>0</v>
      </c>
      <c r="AQ25" s="160">
        <v>0</v>
      </c>
      <c r="AR25" s="160">
        <v>0</v>
      </c>
      <c r="AS25" s="160">
        <v>0</v>
      </c>
      <c r="AT25" s="1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969A5-6DB2-4C37-9CFE-0B28C5ADB0FF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1F9F-96B1-41F1-9A8B-DC9CA517759C}"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9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20">
        <v>286610.09999999998</v>
      </c>
      <c r="B1" s="121">
        <v>312138.44</v>
      </c>
      <c r="C1" s="121">
        <v>286610.09999999998</v>
      </c>
      <c r="D1" s="122">
        <v>312138.44</v>
      </c>
      <c r="F1">
        <v>279990.74</v>
      </c>
      <c r="I1" s="123">
        <v>4349.6000000000004</v>
      </c>
      <c r="J1" s="114">
        <v>4607.74</v>
      </c>
      <c r="K1" s="114">
        <v>-5.6</v>
      </c>
      <c r="L1" s="126">
        <f>(I1-J1)/J1</f>
        <v>-5.6023126304869511E-2</v>
      </c>
      <c r="M1" s="124">
        <v>4607.74</v>
      </c>
      <c r="N1" s="124">
        <v>-5.6</v>
      </c>
      <c r="O1" s="126">
        <f>(I1-M1)/M1</f>
        <v>-5.6023126304869511E-2</v>
      </c>
    </row>
    <row r="2" spans="1:15" ht="15.75" thickBot="1" x14ac:dyDescent="0.3">
      <c r="I2" s="115">
        <v>18453.8</v>
      </c>
      <c r="J2" s="116">
        <v>35427.199999999997</v>
      </c>
      <c r="K2" s="116">
        <v>-47.91</v>
      </c>
      <c r="L2" s="126">
        <f t="shared" ref="L2:L11" si="0">(I2-J2)/J2</f>
        <v>-0.47910644928190765</v>
      </c>
      <c r="M2" s="125">
        <v>35400</v>
      </c>
      <c r="N2" s="125">
        <v>-47.87</v>
      </c>
      <c r="O2" s="126">
        <f t="shared" ref="O2:O15" si="1">(I2-M2)/M2</f>
        <v>-0.47870621468926555</v>
      </c>
    </row>
    <row r="3" spans="1:15" ht="15.75" thickBot="1" x14ac:dyDescent="0.3">
      <c r="I3" s="115">
        <v>48330.8</v>
      </c>
      <c r="J3" s="116">
        <v>37840</v>
      </c>
      <c r="K3" s="116">
        <v>27.72</v>
      </c>
      <c r="L3" s="126">
        <f t="shared" si="0"/>
        <v>0.27724101479915442</v>
      </c>
      <c r="M3" s="125">
        <v>37800</v>
      </c>
      <c r="N3" s="125">
        <v>27.86</v>
      </c>
      <c r="O3" s="126">
        <f t="shared" si="1"/>
        <v>0.27859259259259267</v>
      </c>
    </row>
    <row r="4" spans="1:15" ht="15.75" thickBot="1" x14ac:dyDescent="0.3">
      <c r="C4" s="119">
        <f>(A1-_Hlk113937779)/_Hlk113937779</f>
        <v>-8.1785312952803974E-2</v>
      </c>
      <c r="I4" s="115">
        <v>34169.199999999997</v>
      </c>
      <c r="J4" s="116">
        <v>36357.19</v>
      </c>
      <c r="K4" s="116">
        <v>-6.02</v>
      </c>
      <c r="L4" s="126">
        <f t="shared" si="0"/>
        <v>-6.0180393479254177E-2</v>
      </c>
      <c r="M4" s="125">
        <v>36400</v>
      </c>
      <c r="N4" s="125">
        <v>-6.13</v>
      </c>
      <c r="O4" s="126">
        <f t="shared" si="1"/>
        <v>-6.1285714285714367E-2</v>
      </c>
    </row>
    <row r="5" spans="1:15" ht="15.75" thickBot="1" x14ac:dyDescent="0.3">
      <c r="I5" s="115">
        <v>32936.6</v>
      </c>
      <c r="J5" s="116">
        <v>31490.67</v>
      </c>
      <c r="K5" s="116">
        <v>4.59</v>
      </c>
      <c r="L5" s="126">
        <f t="shared" si="0"/>
        <v>4.5916139605794361E-2</v>
      </c>
      <c r="M5" s="125">
        <v>31500</v>
      </c>
      <c r="N5" s="125">
        <v>4.5599999999999996</v>
      </c>
      <c r="O5" s="126">
        <f t="shared" si="1"/>
        <v>4.5606349206349157E-2</v>
      </c>
    </row>
    <row r="6" spans="1:15" ht="15.75" thickBot="1" x14ac:dyDescent="0.3">
      <c r="I6" s="115">
        <v>29032.3</v>
      </c>
      <c r="J6" s="116">
        <v>32436.400000000001</v>
      </c>
      <c r="K6" s="116">
        <v>-10.49</v>
      </c>
      <c r="L6" s="126">
        <f t="shared" si="0"/>
        <v>-0.10494691149449391</v>
      </c>
      <c r="M6" s="125">
        <v>7722</v>
      </c>
      <c r="N6" s="125">
        <v>275.97000000000003</v>
      </c>
      <c r="O6" s="126">
        <f t="shared" si="1"/>
        <v>2.7596866096866095</v>
      </c>
    </row>
    <row r="7" spans="1:15" ht="15.75" thickBot="1" x14ac:dyDescent="0.3">
      <c r="I7" s="115">
        <v>23635.8</v>
      </c>
      <c r="J7" s="116">
        <v>27151.55</v>
      </c>
      <c r="K7" s="116">
        <v>-12.95</v>
      </c>
      <c r="L7" s="126">
        <f t="shared" si="0"/>
        <v>-0.12948616193182341</v>
      </c>
      <c r="M7" s="125">
        <v>21286</v>
      </c>
      <c r="N7" s="125">
        <v>11.04</v>
      </c>
      <c r="O7" s="126">
        <f t="shared" si="1"/>
        <v>0.11039180682138491</v>
      </c>
    </row>
    <row r="8" spans="1:15" ht="15.75" thickBot="1" x14ac:dyDescent="0.3">
      <c r="I8" s="115">
        <v>23406.5</v>
      </c>
      <c r="J8" s="116">
        <v>26286.34</v>
      </c>
      <c r="K8" s="116">
        <v>-10.96</v>
      </c>
      <c r="L8" s="126">
        <f t="shared" si="0"/>
        <v>-0.10955652251321409</v>
      </c>
      <c r="M8" s="125">
        <v>25447</v>
      </c>
      <c r="N8" s="125">
        <v>-8.02</v>
      </c>
      <c r="O8" s="126">
        <f t="shared" si="1"/>
        <v>-8.0186269501316465E-2</v>
      </c>
    </row>
    <row r="9" spans="1:15" ht="15.75" thickBot="1" x14ac:dyDescent="0.3">
      <c r="I9" s="115">
        <v>21763.200000000001</v>
      </c>
      <c r="J9" s="116">
        <v>23827.62</v>
      </c>
      <c r="K9" s="116">
        <v>-8.66</v>
      </c>
      <c r="L9" s="126">
        <f t="shared" si="0"/>
        <v>-8.6639790293785046E-2</v>
      </c>
      <c r="M9" s="125">
        <v>23828</v>
      </c>
      <c r="N9" s="125">
        <v>-8.67</v>
      </c>
      <c r="O9" s="126">
        <f t="shared" si="1"/>
        <v>-8.6654356219573583E-2</v>
      </c>
    </row>
    <row r="10" spans="1:15" ht="15.75" thickBot="1" x14ac:dyDescent="0.3">
      <c r="I10" s="115">
        <v>20957.11</v>
      </c>
      <c r="J10" s="116">
        <v>26254.38</v>
      </c>
      <c r="K10" s="116">
        <v>-20.18</v>
      </c>
      <c r="L10" s="126">
        <f t="shared" si="0"/>
        <v>-0.20176709562366357</v>
      </c>
      <c r="M10" s="125">
        <v>25000</v>
      </c>
      <c r="N10" s="125">
        <v>-16.170000000000002</v>
      </c>
      <c r="O10" s="126">
        <f t="shared" si="1"/>
        <v>-0.16171559999999999</v>
      </c>
    </row>
    <row r="11" spans="1:15" ht="15.75" thickBot="1" x14ac:dyDescent="0.3">
      <c r="I11" s="115">
        <v>29575.19</v>
      </c>
      <c r="J11" s="116">
        <v>30459.35</v>
      </c>
      <c r="K11" s="116">
        <v>-2.9</v>
      </c>
      <c r="L11" s="126">
        <f t="shared" si="0"/>
        <v>-2.9027539983617505E-2</v>
      </c>
      <c r="M11" s="125">
        <v>31000</v>
      </c>
      <c r="N11" s="125">
        <v>-4.5999999999999996</v>
      </c>
      <c r="O11" s="126">
        <f t="shared" si="1"/>
        <v>-4.5961612903225847E-2</v>
      </c>
    </row>
    <row r="12" spans="1:15" ht="15.75" thickBot="1" x14ac:dyDescent="0.3">
      <c r="O12" s="126" t="e">
        <f t="shared" si="1"/>
        <v>#DIV/0!</v>
      </c>
    </row>
    <row r="13" spans="1:15" ht="15.75" thickBot="1" x14ac:dyDescent="0.3">
      <c r="O13" s="126" t="e">
        <f t="shared" si="1"/>
        <v>#DIV/0!</v>
      </c>
    </row>
    <row r="14" spans="1:15" ht="15.75" thickBot="1" x14ac:dyDescent="0.3">
      <c r="I14" s="120">
        <v>286610.09999999998</v>
      </c>
      <c r="J14" s="121">
        <v>312138.44</v>
      </c>
      <c r="K14" s="121">
        <v>-8.18</v>
      </c>
      <c r="L14" s="122">
        <v>279990.74</v>
      </c>
      <c r="M14" s="127">
        <f>(I14-L14)/L14</f>
        <v>2.3641353281897773E-2</v>
      </c>
      <c r="O14" s="126">
        <f t="shared" si="1"/>
        <v>12123251.699728396</v>
      </c>
    </row>
    <row r="15" spans="1:15" ht="15.75" thickBot="1" x14ac:dyDescent="0.3">
      <c r="O15" s="126" t="e">
        <f t="shared" si="1"/>
        <v>#DIV/0!</v>
      </c>
    </row>
    <row r="19" spans="9:20" ht="15.75" thickBot="1" x14ac:dyDescent="0.3"/>
    <row r="20" spans="9:20" ht="15.75" thickBot="1" x14ac:dyDescent="0.3">
      <c r="I20" s="128" t="s">
        <v>166</v>
      </c>
      <c r="J20" s="121">
        <v>725443.1</v>
      </c>
      <c r="K20" s="121">
        <v>921720.76</v>
      </c>
      <c r="L20" s="121">
        <v>-21.29</v>
      </c>
      <c r="M20" s="122">
        <v>813118.33</v>
      </c>
      <c r="N20" s="122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20">
        <v>840969.7</v>
      </c>
      <c r="J24" s="121">
        <v>887239.43</v>
      </c>
      <c r="K24" s="121">
        <v>-5.22</v>
      </c>
      <c r="L24" s="122">
        <v>883161.03</v>
      </c>
      <c r="M24" s="122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20">
        <v>112141.7</v>
      </c>
      <c r="Q25" s="121">
        <v>119917.72</v>
      </c>
      <c r="R25" s="121">
        <v>-6.48</v>
      </c>
      <c r="S25" s="122">
        <v>116609.48</v>
      </c>
      <c r="T25" s="122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9AB16-0473-4744-ACE7-0FF2C0D76EC5}"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9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9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9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9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9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9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9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9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9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9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9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9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6F80-0EC6-4224-827B-560E4C1C46C1}">
  <dimension ref="A1:V70"/>
  <sheetViews>
    <sheetView workbookViewId="0">
      <selection activeCell="E71" sqref="E71"/>
    </sheetView>
  </sheetViews>
  <sheetFormatPr defaultRowHeight="15.75" x14ac:dyDescent="0.25"/>
  <cols>
    <col min="1" max="2" width="16" style="40" customWidth="1"/>
    <col min="3" max="3" width="21.140625" style="40" customWidth="1"/>
    <col min="4" max="4" width="27" style="40" customWidth="1"/>
    <col min="5" max="5" width="21.140625" style="40" customWidth="1"/>
    <col min="6" max="6" width="26.85546875" style="47" customWidth="1"/>
    <col min="7" max="7" width="25.140625" style="40" customWidth="1"/>
    <col min="8" max="8" width="20.42578125" style="40" customWidth="1"/>
    <col min="9" max="9" width="15" style="40" customWidth="1"/>
    <col min="10" max="10" width="15.140625" style="40" customWidth="1"/>
    <col min="11" max="11" width="15.42578125" style="40" customWidth="1"/>
    <col min="12" max="12" width="24.5703125" style="40" customWidth="1"/>
    <col min="13" max="13" width="13.85546875" style="40" customWidth="1"/>
    <col min="14" max="14" width="14" style="40" customWidth="1"/>
    <col min="15" max="15" width="14.28515625" style="40" customWidth="1"/>
    <col min="16" max="16" width="12.28515625" style="40" customWidth="1"/>
    <col min="17" max="17" width="11.42578125" style="40" customWidth="1"/>
    <col min="18" max="18" width="14.28515625" style="40" customWidth="1"/>
    <col min="19" max="19" width="14.85546875" style="40" customWidth="1"/>
    <col min="20" max="16384" width="9.140625" style="40"/>
  </cols>
  <sheetData>
    <row r="1" spans="1:22" s="52" customFormat="1" ht="16.5" thickBot="1" x14ac:dyDescent="0.3">
      <c r="A1" s="206" t="s">
        <v>0</v>
      </c>
      <c r="B1" s="206"/>
      <c r="C1" s="48" t="s">
        <v>22</v>
      </c>
      <c r="D1" s="48" t="s">
        <v>29</v>
      </c>
      <c r="E1" s="49" t="s">
        <v>151</v>
      </c>
      <c r="F1" s="50" t="s">
        <v>28</v>
      </c>
      <c r="G1" s="51" t="s">
        <v>152</v>
      </c>
      <c r="H1" s="48" t="s">
        <v>153</v>
      </c>
      <c r="I1" s="48" t="s">
        <v>154</v>
      </c>
      <c r="J1" s="48" t="s">
        <v>155</v>
      </c>
      <c r="K1" s="48" t="s">
        <v>156</v>
      </c>
      <c r="L1" s="48" t="s">
        <v>157</v>
      </c>
      <c r="M1" s="52" t="s">
        <v>160</v>
      </c>
    </row>
    <row r="2" spans="1:22" x14ac:dyDescent="0.25">
      <c r="A2" s="191">
        <v>44470</v>
      </c>
      <c r="B2" s="192"/>
      <c r="C2" s="53" t="s">
        <v>25</v>
      </c>
      <c r="D2" s="53" t="s">
        <v>30</v>
      </c>
      <c r="E2" s="54">
        <v>44470</v>
      </c>
      <c r="F2" s="55">
        <v>0</v>
      </c>
      <c r="G2" s="53" t="s">
        <v>158</v>
      </c>
      <c r="H2" s="55">
        <v>0.60660000000000003</v>
      </c>
      <c r="I2" s="55">
        <f>F2*H2</f>
        <v>0</v>
      </c>
      <c r="J2" s="55">
        <f>15%</f>
        <v>0.15</v>
      </c>
      <c r="K2" s="55">
        <f>I2*J2</f>
        <v>0</v>
      </c>
      <c r="L2" s="56">
        <f>I2+K2</f>
        <v>0</v>
      </c>
    </row>
    <row r="3" spans="1:22" x14ac:dyDescent="0.25">
      <c r="A3" s="193"/>
      <c r="B3" s="194"/>
      <c r="C3" s="45" t="s">
        <v>23</v>
      </c>
      <c r="D3" s="45" t="s">
        <v>30</v>
      </c>
      <c r="E3" s="57">
        <v>44470</v>
      </c>
      <c r="F3" s="43">
        <v>4349.6000000000004</v>
      </c>
      <c r="G3" s="45" t="s">
        <v>158</v>
      </c>
      <c r="H3" s="43">
        <v>0.67410000000000003</v>
      </c>
      <c r="I3" s="43">
        <f>F3*H3</f>
        <v>2932.0653600000005</v>
      </c>
      <c r="J3" s="43">
        <f>15%</f>
        <v>0.15</v>
      </c>
      <c r="K3" s="43">
        <f t="shared" ref="K3:K35" si="0">I3*J3</f>
        <v>439.80980400000004</v>
      </c>
      <c r="L3" s="58">
        <f t="shared" ref="L3:L9" si="1">I3+K3</f>
        <v>3371.8751640000005</v>
      </c>
    </row>
    <row r="4" spans="1:22" ht="16.5" customHeight="1" thickBot="1" x14ac:dyDescent="0.3">
      <c r="A4" s="197"/>
      <c r="B4" s="198"/>
      <c r="C4" s="59" t="s">
        <v>24</v>
      </c>
      <c r="D4" s="59" t="s">
        <v>30</v>
      </c>
      <c r="E4" s="60">
        <v>44470</v>
      </c>
      <c r="F4" s="61">
        <v>15875.699999999999</v>
      </c>
      <c r="G4" s="59" t="s">
        <v>158</v>
      </c>
      <c r="H4" s="61">
        <v>0.61480000000000001</v>
      </c>
      <c r="J4" s="61">
        <f>15%</f>
        <v>0.15</v>
      </c>
      <c r="K4" s="61">
        <f>V5*J4</f>
        <v>1464.0570539999999</v>
      </c>
      <c r="L4" s="62">
        <f>V5+K4</f>
        <v>11224.437414</v>
      </c>
    </row>
    <row r="5" spans="1:22" s="66" customFormat="1" ht="16.5" thickBot="1" x14ac:dyDescent="0.3">
      <c r="A5" s="191">
        <v>44501</v>
      </c>
      <c r="B5" s="192"/>
      <c r="C5" s="63" t="s">
        <v>25</v>
      </c>
      <c r="D5" s="63" t="s">
        <v>30</v>
      </c>
      <c r="E5" s="64">
        <v>44501</v>
      </c>
      <c r="F5" s="63">
        <v>67694.7</v>
      </c>
      <c r="G5" s="63" t="s">
        <v>158</v>
      </c>
      <c r="H5" s="63">
        <v>0.60660000000000003</v>
      </c>
      <c r="I5" s="63">
        <f t="shared" ref="I5:I13" si="2">F5*H5</f>
        <v>41063.605020000003</v>
      </c>
      <c r="J5" s="63">
        <f>15%</f>
        <v>0.15</v>
      </c>
      <c r="K5" s="55">
        <f t="shared" si="0"/>
        <v>6159.5407530000002</v>
      </c>
      <c r="L5" s="65">
        <f t="shared" si="1"/>
        <v>47223.145773000004</v>
      </c>
      <c r="V5" s="61">
        <f>F4*H4</f>
        <v>9760.3803599999992</v>
      </c>
    </row>
    <row r="6" spans="1:22" x14ac:dyDescent="0.25">
      <c r="A6" s="193"/>
      <c r="B6" s="194"/>
      <c r="C6" s="45" t="s">
        <v>23</v>
      </c>
      <c r="D6" s="45" t="s">
        <v>30</v>
      </c>
      <c r="E6" s="57">
        <v>44501</v>
      </c>
      <c r="F6" s="43">
        <v>18453.8</v>
      </c>
      <c r="G6" s="45" t="s">
        <v>158</v>
      </c>
      <c r="H6" s="43">
        <v>0.67410000000000003</v>
      </c>
      <c r="I6" s="43">
        <f t="shared" si="2"/>
        <v>12439.70658</v>
      </c>
      <c r="J6" s="43">
        <f>15%</f>
        <v>0.15</v>
      </c>
      <c r="K6" s="43">
        <f t="shared" si="0"/>
        <v>1865.9559869999998</v>
      </c>
      <c r="L6" s="58">
        <f t="shared" si="1"/>
        <v>14305.662566999999</v>
      </c>
    </row>
    <row r="7" spans="1:22" ht="16.5" thickBot="1" x14ac:dyDescent="0.3">
      <c r="A7" s="197"/>
      <c r="B7" s="198"/>
      <c r="C7" s="59" t="s">
        <v>24</v>
      </c>
      <c r="D7" s="59" t="s">
        <v>30</v>
      </c>
      <c r="E7" s="60">
        <v>44501</v>
      </c>
      <c r="F7" s="61">
        <v>114666.79999999999</v>
      </c>
      <c r="G7" s="59" t="s">
        <v>158</v>
      </c>
      <c r="H7" s="61">
        <v>0.61480000000000001</v>
      </c>
      <c r="I7" s="61">
        <f t="shared" si="2"/>
        <v>70497.148639999999</v>
      </c>
      <c r="J7" s="61">
        <f>15%</f>
        <v>0.15</v>
      </c>
      <c r="K7" s="61">
        <f t="shared" si="0"/>
        <v>10574.572296</v>
      </c>
      <c r="L7" s="62">
        <f t="shared" si="1"/>
        <v>81071.720935999998</v>
      </c>
    </row>
    <row r="8" spans="1:22" x14ac:dyDescent="0.25">
      <c r="A8" s="191">
        <v>44531</v>
      </c>
      <c r="B8" s="192"/>
      <c r="C8" s="53" t="s">
        <v>25</v>
      </c>
      <c r="D8" s="53" t="s">
        <v>30</v>
      </c>
      <c r="E8" s="54">
        <v>44531</v>
      </c>
      <c r="F8" s="55">
        <v>94632.700000000026</v>
      </c>
      <c r="G8" s="53" t="s">
        <v>158</v>
      </c>
      <c r="H8" s="55">
        <v>0.60660000000000003</v>
      </c>
      <c r="I8" s="55">
        <f t="shared" si="2"/>
        <v>57404.195820000015</v>
      </c>
      <c r="J8" s="55">
        <f>15%</f>
        <v>0.15</v>
      </c>
      <c r="K8" s="55">
        <f t="shared" si="0"/>
        <v>8610.6293730000016</v>
      </c>
      <c r="L8" s="56">
        <f t="shared" si="1"/>
        <v>66014.825193000011</v>
      </c>
    </row>
    <row r="9" spans="1:22" x14ac:dyDescent="0.25">
      <c r="A9" s="193"/>
      <c r="B9" s="194"/>
      <c r="C9" s="45" t="s">
        <v>23</v>
      </c>
      <c r="D9" s="45" t="s">
        <v>30</v>
      </c>
      <c r="E9" s="57">
        <v>44531</v>
      </c>
      <c r="F9" s="43">
        <v>48330.802999999993</v>
      </c>
      <c r="G9" s="45" t="s">
        <v>158</v>
      </c>
      <c r="H9" s="43">
        <v>0.67410000000000003</v>
      </c>
      <c r="I9" s="43">
        <f t="shared" si="2"/>
        <v>32579.794302299997</v>
      </c>
      <c r="J9" s="43">
        <f>15%</f>
        <v>0.15</v>
      </c>
      <c r="K9" s="43">
        <f t="shared" si="0"/>
        <v>4886.9691453449996</v>
      </c>
      <c r="L9" s="58">
        <f t="shared" si="1"/>
        <v>37466.763447644997</v>
      </c>
    </row>
    <row r="10" spans="1:22" ht="16.5" thickBot="1" x14ac:dyDescent="0.3">
      <c r="A10" s="197"/>
      <c r="B10" s="198"/>
      <c r="C10" s="59" t="s">
        <v>24</v>
      </c>
      <c r="D10" s="59" t="s">
        <v>30</v>
      </c>
      <c r="E10" s="60">
        <v>44531</v>
      </c>
      <c r="F10" s="59">
        <v>126249.60000000002</v>
      </c>
      <c r="G10" s="59" t="s">
        <v>158</v>
      </c>
      <c r="H10" s="61">
        <v>0.61480000000000001</v>
      </c>
      <c r="I10" s="61">
        <f t="shared" si="2"/>
        <v>77618.254080000013</v>
      </c>
      <c r="J10" s="61">
        <f>15%</f>
        <v>0.15</v>
      </c>
      <c r="K10" s="61">
        <f t="shared" si="0"/>
        <v>11642.738112000001</v>
      </c>
      <c r="L10" s="62">
        <f>I10+K10</f>
        <v>89260.99219200002</v>
      </c>
    </row>
    <row r="11" spans="1:22" x14ac:dyDescent="0.25">
      <c r="A11" s="191" t="s">
        <v>159</v>
      </c>
      <c r="B11" s="192"/>
      <c r="C11" s="53" t="s">
        <v>25</v>
      </c>
      <c r="D11" s="53" t="s">
        <v>30</v>
      </c>
      <c r="E11" s="54">
        <v>44562</v>
      </c>
      <c r="F11" s="55">
        <v>100806.39999999998</v>
      </c>
      <c r="G11" s="53" t="s">
        <v>158</v>
      </c>
      <c r="H11" s="55">
        <v>0.60660000000000003</v>
      </c>
      <c r="I11" s="55">
        <f t="shared" si="2"/>
        <v>61149.162239999991</v>
      </c>
      <c r="J11" s="55">
        <f>15%</f>
        <v>0.15</v>
      </c>
      <c r="K11" s="55">
        <f>I11*J11</f>
        <v>9172.3743359999989</v>
      </c>
      <c r="L11" s="56">
        <f>I11+K11</f>
        <v>70321.536575999984</v>
      </c>
    </row>
    <row r="12" spans="1:22" x14ac:dyDescent="0.25">
      <c r="A12" s="193"/>
      <c r="B12" s="194"/>
      <c r="C12" s="45" t="s">
        <v>23</v>
      </c>
      <c r="D12" s="45" t="s">
        <v>30</v>
      </c>
      <c r="E12" s="57">
        <v>44562</v>
      </c>
      <c r="F12" s="43">
        <v>34169.195000000007</v>
      </c>
      <c r="G12" s="45" t="s">
        <v>158</v>
      </c>
      <c r="H12" s="43">
        <v>0.67410000000000003</v>
      </c>
      <c r="I12" s="43">
        <f t="shared" si="2"/>
        <v>23033.454349500007</v>
      </c>
      <c r="J12" s="43">
        <f>15%</f>
        <v>0.15</v>
      </c>
      <c r="K12" s="43">
        <f>I12*J12</f>
        <v>3455.0181524250011</v>
      </c>
      <c r="L12" s="58">
        <f>I12+K12</f>
        <v>26488.472501925007</v>
      </c>
    </row>
    <row r="13" spans="1:22" ht="16.5" thickBot="1" x14ac:dyDescent="0.3">
      <c r="A13" s="197"/>
      <c r="B13" s="198"/>
      <c r="C13" s="59" t="s">
        <v>24</v>
      </c>
      <c r="D13" s="59" t="s">
        <v>30</v>
      </c>
      <c r="E13" s="60">
        <v>44562</v>
      </c>
      <c r="F13" s="67">
        <v>127624.6</v>
      </c>
      <c r="G13" s="59" t="s">
        <v>158</v>
      </c>
      <c r="H13" s="61">
        <v>0.61480000000000001</v>
      </c>
      <c r="I13" s="61">
        <f t="shared" si="2"/>
        <v>78463.604080000005</v>
      </c>
      <c r="J13" s="61">
        <f>15%</f>
        <v>0.15</v>
      </c>
      <c r="K13" s="61">
        <f t="shared" si="0"/>
        <v>11769.540612000001</v>
      </c>
      <c r="L13" s="68">
        <f>I13+K13</f>
        <v>90233.144692000002</v>
      </c>
      <c r="M13" s="40">
        <f>L13+L16+L20</f>
        <v>225694.28808199998</v>
      </c>
      <c r="N13" s="40">
        <f>F13+F16+F20</f>
        <v>319219.09999999998</v>
      </c>
    </row>
    <row r="14" spans="1:22" x14ac:dyDescent="0.25">
      <c r="A14" s="191">
        <v>44593</v>
      </c>
      <c r="B14" s="192"/>
      <c r="C14" s="53" t="s">
        <v>25</v>
      </c>
      <c r="D14" s="53" t="s">
        <v>30</v>
      </c>
      <c r="E14" s="54">
        <v>44593</v>
      </c>
      <c r="F14" s="63">
        <v>91369.8</v>
      </c>
      <c r="G14" s="53" t="s">
        <v>158</v>
      </c>
      <c r="H14" s="55">
        <v>0.60660000000000003</v>
      </c>
      <c r="I14" s="55">
        <f>H14*F14</f>
        <v>55424.920680000003</v>
      </c>
      <c r="J14" s="55">
        <v>0.15</v>
      </c>
      <c r="K14" s="55">
        <f t="shared" si="0"/>
        <v>8313.7381019999993</v>
      </c>
      <c r="L14" s="56">
        <f t="shared" ref="L14:L70" si="3">I14+K14</f>
        <v>63738.658781999999</v>
      </c>
    </row>
    <row r="15" spans="1:22" x14ac:dyDescent="0.25">
      <c r="A15" s="193"/>
      <c r="B15" s="194"/>
      <c r="C15" s="45" t="s">
        <v>23</v>
      </c>
      <c r="D15" s="45" t="s">
        <v>30</v>
      </c>
      <c r="E15" s="57">
        <v>44593</v>
      </c>
      <c r="F15" s="69">
        <v>32936.601999999999</v>
      </c>
      <c r="G15" s="45" t="s">
        <v>158</v>
      </c>
      <c r="H15" s="43">
        <v>0.67410000000000003</v>
      </c>
      <c r="I15" s="43">
        <f t="shared" ref="I15:I27" si="4">H15*F15</f>
        <v>22202.5634082</v>
      </c>
      <c r="J15" s="43">
        <v>0.15</v>
      </c>
      <c r="K15" s="43">
        <f t="shared" si="0"/>
        <v>3330.38451123</v>
      </c>
      <c r="L15" s="58">
        <f t="shared" si="3"/>
        <v>25532.94791943</v>
      </c>
    </row>
    <row r="16" spans="1:22" ht="15.75" customHeight="1" thickBot="1" x14ac:dyDescent="0.3">
      <c r="A16" s="195"/>
      <c r="B16" s="196"/>
      <c r="C16" s="70" t="s">
        <v>24</v>
      </c>
      <c r="D16" s="70" t="s">
        <v>30</v>
      </c>
      <c r="E16" s="71">
        <v>44593</v>
      </c>
      <c r="F16" s="72">
        <v>96946.4</v>
      </c>
      <c r="G16" s="70" t="s">
        <v>158</v>
      </c>
      <c r="H16" s="73">
        <v>0.61480000000000001</v>
      </c>
      <c r="I16" s="73">
        <f t="shared" si="4"/>
        <v>59602.646719999997</v>
      </c>
      <c r="J16" s="73">
        <v>0.15</v>
      </c>
      <c r="K16" s="73">
        <f t="shared" si="0"/>
        <v>8940.3970079999999</v>
      </c>
      <c r="L16" s="74">
        <f t="shared" si="3"/>
        <v>68543.04372799999</v>
      </c>
    </row>
    <row r="17" spans="1:13" ht="14.25" customHeight="1" thickBot="1" x14ac:dyDescent="0.3">
      <c r="A17" s="191">
        <v>44621</v>
      </c>
      <c r="B17" s="192"/>
      <c r="C17" s="75" t="s">
        <v>25</v>
      </c>
      <c r="D17" s="53" t="s">
        <v>30</v>
      </c>
      <c r="E17" s="54">
        <v>44621</v>
      </c>
      <c r="F17" s="55">
        <v>89806.300000000017</v>
      </c>
      <c r="G17" s="53" t="s">
        <v>158</v>
      </c>
      <c r="H17" s="55">
        <v>0.60660000000000003</v>
      </c>
      <c r="I17" s="73">
        <f t="shared" si="4"/>
        <v>54476.501580000011</v>
      </c>
      <c r="J17" s="55">
        <v>0.15</v>
      </c>
      <c r="K17" s="55">
        <f>J17*I17</f>
        <v>8171.4752370000015</v>
      </c>
      <c r="L17" s="56">
        <f>I17+K17</f>
        <v>62647.97681700001</v>
      </c>
    </row>
    <row r="18" spans="1:13" ht="16.5" thickBot="1" x14ac:dyDescent="0.3">
      <c r="A18" s="193"/>
      <c r="B18" s="194"/>
      <c r="C18" s="76" t="s">
        <v>23</v>
      </c>
      <c r="D18" s="45" t="s">
        <v>30</v>
      </c>
      <c r="E18" s="57">
        <v>44621</v>
      </c>
      <c r="F18" s="77">
        <v>29032.3</v>
      </c>
      <c r="G18" s="45" t="s">
        <v>158</v>
      </c>
      <c r="H18" s="43">
        <v>0.67410000000000003</v>
      </c>
      <c r="I18" s="43">
        <f t="shared" si="4"/>
        <v>19570.673429999999</v>
      </c>
      <c r="J18" s="43">
        <v>0.15</v>
      </c>
      <c r="K18" s="55">
        <f>J18*I18</f>
        <v>2935.6010144999996</v>
      </c>
      <c r="L18" s="58">
        <f t="shared" si="3"/>
        <v>22506.274444499999</v>
      </c>
    </row>
    <row r="19" spans="1:13" s="84" customFormat="1" ht="16.5" thickBot="1" x14ac:dyDescent="0.3">
      <c r="A19" s="195"/>
      <c r="B19" s="196"/>
      <c r="C19" s="78" t="s">
        <v>26</v>
      </c>
      <c r="D19" s="79" t="s">
        <v>30</v>
      </c>
      <c r="E19" s="80">
        <v>44621</v>
      </c>
      <c r="F19" s="81">
        <v>17949.203000000001</v>
      </c>
      <c r="G19" s="79" t="s">
        <v>158</v>
      </c>
      <c r="H19" s="82">
        <v>0.7944</v>
      </c>
      <c r="I19" s="46">
        <f t="shared" si="4"/>
        <v>14258.8468632</v>
      </c>
      <c r="J19" s="46">
        <v>0.15</v>
      </c>
      <c r="K19" s="55">
        <f>J19*I19</f>
        <v>2138.82702948</v>
      </c>
      <c r="L19" s="83">
        <f t="shared" si="3"/>
        <v>16397.673892679999</v>
      </c>
    </row>
    <row r="20" spans="1:13" ht="16.5" thickBot="1" x14ac:dyDescent="0.3">
      <c r="A20" s="197"/>
      <c r="B20" s="198"/>
      <c r="C20" s="85" t="s">
        <v>24</v>
      </c>
      <c r="D20" s="59" t="s">
        <v>30</v>
      </c>
      <c r="E20" s="60">
        <v>44621</v>
      </c>
      <c r="F20" s="67">
        <v>94648.1</v>
      </c>
      <c r="G20" s="59" t="s">
        <v>158</v>
      </c>
      <c r="H20" s="61">
        <v>0.61480000000000001</v>
      </c>
      <c r="I20" s="61">
        <f t="shared" si="4"/>
        <v>58189.651880000005</v>
      </c>
      <c r="J20" s="61">
        <v>0.15</v>
      </c>
      <c r="K20" s="55">
        <f>J20*I20</f>
        <v>8728.4477820000011</v>
      </c>
      <c r="L20" s="68">
        <f t="shared" si="3"/>
        <v>66918.099662000008</v>
      </c>
      <c r="M20" s="40" t="e">
        <f>#REF!+L20</f>
        <v>#REF!</v>
      </c>
    </row>
    <row r="21" spans="1:13" ht="16.5" x14ac:dyDescent="0.3">
      <c r="A21" s="199">
        <v>44652</v>
      </c>
      <c r="B21" s="200"/>
      <c r="C21" s="86" t="s">
        <v>26</v>
      </c>
      <c r="D21" s="87" t="s">
        <v>30</v>
      </c>
      <c r="E21" s="57">
        <v>44652</v>
      </c>
      <c r="F21" s="88">
        <v>21947</v>
      </c>
      <c r="G21" s="87" t="s">
        <v>158</v>
      </c>
      <c r="H21" s="89">
        <v>0.7944</v>
      </c>
      <c r="I21" s="89">
        <f t="shared" si="4"/>
        <v>17434.696800000002</v>
      </c>
      <c r="J21" s="41">
        <v>0.15</v>
      </c>
      <c r="K21" s="41">
        <f t="shared" si="0"/>
        <v>2615.2045200000002</v>
      </c>
      <c r="L21" s="90">
        <f t="shared" si="3"/>
        <v>20049.901320000001</v>
      </c>
    </row>
    <row r="22" spans="1:13" ht="16.5" x14ac:dyDescent="0.3">
      <c r="A22" s="187"/>
      <c r="B22" s="201"/>
      <c r="C22" s="86" t="s">
        <v>27</v>
      </c>
      <c r="D22" s="87" t="s">
        <v>30</v>
      </c>
      <c r="E22" s="57">
        <v>44652</v>
      </c>
      <c r="F22" s="88">
        <v>21643.97</v>
      </c>
      <c r="G22" s="87" t="s">
        <v>158</v>
      </c>
      <c r="H22" s="89">
        <v>0.65890000000000004</v>
      </c>
      <c r="I22" s="89">
        <f t="shared" si="4"/>
        <v>14261.211833000001</v>
      </c>
      <c r="J22" s="41">
        <v>0.15</v>
      </c>
      <c r="K22" s="41">
        <f t="shared" si="0"/>
        <v>2139.1817749500001</v>
      </c>
      <c r="L22" s="90">
        <f t="shared" si="3"/>
        <v>16400.393607950002</v>
      </c>
    </row>
    <row r="23" spans="1:13" ht="16.5" x14ac:dyDescent="0.3">
      <c r="A23" s="187"/>
      <c r="B23" s="201"/>
      <c r="C23" s="87" t="s">
        <v>25</v>
      </c>
      <c r="D23" s="87" t="s">
        <v>30</v>
      </c>
      <c r="E23" s="57">
        <v>44652</v>
      </c>
      <c r="F23" s="91">
        <v>70141.499999999971</v>
      </c>
      <c r="G23" s="87" t="s">
        <v>158</v>
      </c>
      <c r="H23" s="41">
        <v>0.60660000000000003</v>
      </c>
      <c r="I23" s="41">
        <f t="shared" si="4"/>
        <v>42547.833899999983</v>
      </c>
      <c r="J23" s="41">
        <v>0.15</v>
      </c>
      <c r="K23" s="41">
        <f t="shared" si="0"/>
        <v>6382.1750849999971</v>
      </c>
      <c r="L23" s="90">
        <f t="shared" si="3"/>
        <v>48930.008984999979</v>
      </c>
    </row>
    <row r="24" spans="1:13" ht="16.5" x14ac:dyDescent="0.3">
      <c r="A24" s="187"/>
      <c r="B24" s="201"/>
      <c r="C24" s="45" t="s">
        <v>23</v>
      </c>
      <c r="D24" s="45" t="s">
        <v>30</v>
      </c>
      <c r="E24" s="57">
        <v>44652</v>
      </c>
      <c r="F24" s="92">
        <v>23635.79700000002</v>
      </c>
      <c r="G24" s="45" t="s">
        <v>158</v>
      </c>
      <c r="H24" s="43">
        <v>0.67410000000000003</v>
      </c>
      <c r="I24" s="43">
        <f t="shared" si="4"/>
        <v>15932.890757700015</v>
      </c>
      <c r="J24" s="43">
        <v>0.15</v>
      </c>
      <c r="K24" s="43">
        <f t="shared" si="0"/>
        <v>2389.9336136550023</v>
      </c>
      <c r="L24" s="58">
        <f t="shared" si="3"/>
        <v>18322.824371355018</v>
      </c>
    </row>
    <row r="25" spans="1:13" ht="17.25" thickBot="1" x14ac:dyDescent="0.35">
      <c r="A25" s="187"/>
      <c r="B25" s="201"/>
      <c r="C25" s="73" t="s">
        <v>24</v>
      </c>
      <c r="D25" s="73" t="s">
        <v>30</v>
      </c>
      <c r="E25" s="71">
        <v>44652</v>
      </c>
      <c r="F25" s="93">
        <v>70139.100000000006</v>
      </c>
      <c r="G25" s="73" t="s">
        <v>158</v>
      </c>
      <c r="H25" s="73">
        <v>0.61480000000000001</v>
      </c>
      <c r="I25" s="73">
        <f t="shared" si="4"/>
        <v>43121.518680000001</v>
      </c>
      <c r="J25" s="73">
        <v>0.15</v>
      </c>
      <c r="K25" s="73">
        <f t="shared" si="0"/>
        <v>6468.2278020000003</v>
      </c>
      <c r="L25" s="94">
        <f t="shared" si="3"/>
        <v>49589.746482000002</v>
      </c>
    </row>
    <row r="26" spans="1:13" ht="16.5" x14ac:dyDescent="0.3">
      <c r="A26" s="199">
        <v>44682</v>
      </c>
      <c r="B26" s="200"/>
      <c r="C26" s="95" t="s">
        <v>26</v>
      </c>
      <c r="D26" s="53" t="s">
        <v>30</v>
      </c>
      <c r="E26" s="54">
        <v>44682</v>
      </c>
      <c r="F26" s="96">
        <v>19453</v>
      </c>
      <c r="G26" s="53" t="s">
        <v>158</v>
      </c>
      <c r="H26" s="97">
        <v>0.7944</v>
      </c>
      <c r="I26" s="55">
        <f t="shared" si="4"/>
        <v>15453.4632</v>
      </c>
      <c r="J26" s="55">
        <v>0.15</v>
      </c>
      <c r="K26" s="55">
        <f t="shared" si="0"/>
        <v>2318.0194799999999</v>
      </c>
      <c r="L26" s="56">
        <f t="shared" si="3"/>
        <v>17771.482680000001</v>
      </c>
    </row>
    <row r="27" spans="1:13" ht="16.5" x14ac:dyDescent="0.3">
      <c r="A27" s="187"/>
      <c r="B27" s="201"/>
      <c r="C27" s="86" t="s">
        <v>27</v>
      </c>
      <c r="D27" s="87" t="s">
        <v>30</v>
      </c>
      <c r="E27" s="57">
        <v>44682</v>
      </c>
      <c r="F27" s="96">
        <v>28195.21</v>
      </c>
      <c r="G27" s="87" t="s">
        <v>158</v>
      </c>
      <c r="H27" s="89">
        <v>0.65890000000000004</v>
      </c>
      <c r="I27" s="41">
        <f t="shared" si="4"/>
        <v>18577.823869</v>
      </c>
      <c r="J27" s="41">
        <v>0.15</v>
      </c>
      <c r="K27" s="41">
        <f t="shared" si="0"/>
        <v>2786.6735803500001</v>
      </c>
      <c r="L27" s="90">
        <f t="shared" si="3"/>
        <v>21364.497449350001</v>
      </c>
    </row>
    <row r="28" spans="1:13" x14ac:dyDescent="0.25">
      <c r="A28" s="187"/>
      <c r="B28" s="201"/>
      <c r="C28" s="87" t="s">
        <v>25</v>
      </c>
      <c r="D28" s="87" t="s">
        <v>30</v>
      </c>
      <c r="E28" s="57">
        <v>44682</v>
      </c>
      <c r="F28" s="77">
        <v>60420.899999999994</v>
      </c>
      <c r="G28" s="87" t="s">
        <v>158</v>
      </c>
      <c r="H28" s="41">
        <v>0.60660000000000003</v>
      </c>
      <c r="I28" s="41">
        <f>H28*F28</f>
        <v>36651.317940000001</v>
      </c>
      <c r="J28" s="41">
        <v>0.15</v>
      </c>
      <c r="K28" s="41">
        <f t="shared" si="0"/>
        <v>5497.6976910000003</v>
      </c>
      <c r="L28" s="90">
        <f t="shared" si="3"/>
        <v>42149.015631000002</v>
      </c>
    </row>
    <row r="29" spans="1:13" ht="16.5" x14ac:dyDescent="0.3">
      <c r="A29" s="187"/>
      <c r="B29" s="201"/>
      <c r="C29" s="45" t="s">
        <v>23</v>
      </c>
      <c r="D29" s="45" t="s">
        <v>30</v>
      </c>
      <c r="E29" s="57">
        <v>44682</v>
      </c>
      <c r="F29" s="98">
        <v>23406.5</v>
      </c>
      <c r="G29" s="45" t="s">
        <v>158</v>
      </c>
      <c r="H29" s="43">
        <v>0.67410000000000003</v>
      </c>
      <c r="I29" s="43">
        <f t="shared" ref="I29:I70" si="5">H29*F29</f>
        <v>15778.32165</v>
      </c>
      <c r="J29" s="43">
        <v>0.15</v>
      </c>
      <c r="K29" s="43">
        <f t="shared" si="0"/>
        <v>2366.7482474999997</v>
      </c>
      <c r="L29" s="58">
        <f t="shared" si="3"/>
        <v>18145.069897499998</v>
      </c>
    </row>
    <row r="30" spans="1:13" ht="17.25" thickBot="1" x14ac:dyDescent="0.35">
      <c r="A30" s="189"/>
      <c r="B30" s="202"/>
      <c r="C30" s="61" t="s">
        <v>24</v>
      </c>
      <c r="D30" s="61" t="s">
        <v>30</v>
      </c>
      <c r="E30" s="99">
        <v>44682</v>
      </c>
      <c r="F30" s="98">
        <v>52487.9</v>
      </c>
      <c r="G30" s="61" t="s">
        <v>158</v>
      </c>
      <c r="H30" s="61">
        <v>0.61480000000000001</v>
      </c>
      <c r="I30" s="61">
        <f t="shared" si="5"/>
        <v>32269.56092</v>
      </c>
      <c r="J30" s="61">
        <v>0.15</v>
      </c>
      <c r="K30" s="61">
        <f t="shared" si="0"/>
        <v>4840.4341379999996</v>
      </c>
      <c r="L30" s="62">
        <f>I30+K30</f>
        <v>37109.995058</v>
      </c>
      <c r="M30" s="47">
        <f>F25+F30</f>
        <v>122627</v>
      </c>
    </row>
    <row r="31" spans="1:13" ht="16.5" thickBot="1" x14ac:dyDescent="0.3">
      <c r="A31" s="199">
        <v>44713</v>
      </c>
      <c r="B31" s="203"/>
      <c r="C31" s="100" t="s">
        <v>26</v>
      </c>
      <c r="D31" s="53" t="s">
        <v>30</v>
      </c>
      <c r="E31" s="54">
        <v>44713</v>
      </c>
      <c r="F31" s="41">
        <v>15026.093999999999</v>
      </c>
      <c r="G31" s="53" t="s">
        <v>158</v>
      </c>
      <c r="H31" s="55">
        <v>0.7944</v>
      </c>
      <c r="I31" s="55">
        <f t="shared" si="5"/>
        <v>11936.7290736</v>
      </c>
      <c r="J31" s="55">
        <v>0.15</v>
      </c>
      <c r="K31" s="55">
        <f>I31*J31</f>
        <v>1790.5093610399999</v>
      </c>
      <c r="L31" s="101">
        <f t="shared" si="3"/>
        <v>13727.238434639999</v>
      </c>
    </row>
    <row r="32" spans="1:13" ht="16.5" thickBot="1" x14ac:dyDescent="0.3">
      <c r="A32" s="187"/>
      <c r="B32" s="188"/>
      <c r="C32" s="102" t="s">
        <v>27</v>
      </c>
      <c r="D32" s="45" t="s">
        <v>30</v>
      </c>
      <c r="E32" s="57">
        <v>44713</v>
      </c>
      <c r="F32" s="41">
        <v>13021.790999999999</v>
      </c>
      <c r="G32" s="45" t="s">
        <v>158</v>
      </c>
      <c r="H32" s="43">
        <v>0.65890000000000004</v>
      </c>
      <c r="I32" s="43">
        <f t="shared" si="5"/>
        <v>8580.0580898999997</v>
      </c>
      <c r="J32" s="43">
        <v>0.15</v>
      </c>
      <c r="K32" s="43">
        <f t="shared" si="0"/>
        <v>1287.0087134849998</v>
      </c>
      <c r="L32" s="62">
        <f t="shared" si="3"/>
        <v>9867.0668033849997</v>
      </c>
    </row>
    <row r="33" spans="1:12" ht="16.5" thickBot="1" x14ac:dyDescent="0.3">
      <c r="A33" s="187"/>
      <c r="B33" s="188"/>
      <c r="C33" s="103" t="s">
        <v>25</v>
      </c>
      <c r="D33" s="45" t="s">
        <v>30</v>
      </c>
      <c r="E33" s="57">
        <v>44713</v>
      </c>
      <c r="F33" s="77">
        <v>48239.9</v>
      </c>
      <c r="G33" s="45" t="s">
        <v>158</v>
      </c>
      <c r="H33" s="43">
        <v>0.60660000000000003</v>
      </c>
      <c r="I33" s="43">
        <f t="shared" si="5"/>
        <v>29262.323340000003</v>
      </c>
      <c r="J33" s="43">
        <v>0.15</v>
      </c>
      <c r="K33" s="43">
        <f t="shared" si="0"/>
        <v>4389.3485010000004</v>
      </c>
      <c r="L33" s="62">
        <f t="shared" si="3"/>
        <v>33651.671841000003</v>
      </c>
    </row>
    <row r="34" spans="1:12" ht="16.5" thickBot="1" x14ac:dyDescent="0.3">
      <c r="A34" s="187"/>
      <c r="B34" s="188"/>
      <c r="C34" s="103" t="s">
        <v>23</v>
      </c>
      <c r="D34" s="45" t="s">
        <v>30</v>
      </c>
      <c r="E34" s="57">
        <v>44713</v>
      </c>
      <c r="F34" s="77">
        <v>21763.202999999899</v>
      </c>
      <c r="G34" s="45" t="s">
        <v>158</v>
      </c>
      <c r="H34" s="43">
        <v>0.67410000000000003</v>
      </c>
      <c r="I34" s="43">
        <f t="shared" si="5"/>
        <v>14670.575142299933</v>
      </c>
      <c r="J34" s="43">
        <v>0.15</v>
      </c>
      <c r="K34" s="43">
        <f t="shared" si="0"/>
        <v>2200.5862713449897</v>
      </c>
      <c r="L34" s="62">
        <f t="shared" si="3"/>
        <v>16871.161413644921</v>
      </c>
    </row>
    <row r="35" spans="1:12" ht="16.5" thickBot="1" x14ac:dyDescent="0.3">
      <c r="A35" s="187"/>
      <c r="B35" s="188"/>
      <c r="C35" s="104" t="s">
        <v>24</v>
      </c>
      <c r="D35" s="73" t="s">
        <v>30</v>
      </c>
      <c r="E35" s="71">
        <v>44713</v>
      </c>
      <c r="F35" s="73">
        <v>39237.9</v>
      </c>
      <c r="G35" s="73" t="s">
        <v>158</v>
      </c>
      <c r="H35" s="73">
        <v>0.61480000000000001</v>
      </c>
      <c r="I35" s="73">
        <f t="shared" si="5"/>
        <v>24123.460920000001</v>
      </c>
      <c r="J35" s="73">
        <v>0.15</v>
      </c>
      <c r="K35" s="73">
        <f t="shared" si="0"/>
        <v>3618.5191380000001</v>
      </c>
      <c r="L35" s="94">
        <f t="shared" si="3"/>
        <v>27741.980058000001</v>
      </c>
    </row>
    <row r="36" spans="1:12" x14ac:dyDescent="0.25">
      <c r="A36" s="191">
        <v>44743</v>
      </c>
      <c r="B36" s="192"/>
      <c r="C36" s="55" t="s">
        <v>26</v>
      </c>
      <c r="D36" s="53" t="s">
        <v>30</v>
      </c>
      <c r="E36" s="54">
        <v>44743</v>
      </c>
      <c r="F36" s="105">
        <v>15238.202999999899</v>
      </c>
      <c r="G36" s="53" t="s">
        <v>158</v>
      </c>
      <c r="H36" s="55">
        <v>0.7944</v>
      </c>
      <c r="I36" s="55">
        <f t="shared" si="5"/>
        <v>12105.228463199921</v>
      </c>
      <c r="J36" s="55">
        <v>0.15</v>
      </c>
      <c r="K36" s="55">
        <f>I36*J36</f>
        <v>1815.7842694799881</v>
      </c>
      <c r="L36" s="56">
        <f t="shared" si="3"/>
        <v>13921.012732679908</v>
      </c>
    </row>
    <row r="37" spans="1:12" x14ac:dyDescent="0.25">
      <c r="A37" s="193"/>
      <c r="B37" s="194"/>
      <c r="C37" s="43" t="s">
        <v>27</v>
      </c>
      <c r="D37" s="45" t="s">
        <v>30</v>
      </c>
      <c r="E37" s="57">
        <v>44743</v>
      </c>
      <c r="F37" s="44">
        <v>26510.879999999997</v>
      </c>
      <c r="G37" s="45" t="s">
        <v>158</v>
      </c>
      <c r="H37" s="43">
        <v>0.65890000000000004</v>
      </c>
      <c r="I37" s="43">
        <f t="shared" si="5"/>
        <v>17468.018831999998</v>
      </c>
      <c r="J37" s="43">
        <v>0.15</v>
      </c>
      <c r="K37" s="43">
        <f t="shared" ref="K37:K60" si="6">I37*J37</f>
        <v>2620.2028247999997</v>
      </c>
      <c r="L37" s="58">
        <f t="shared" si="3"/>
        <v>20088.221656799997</v>
      </c>
    </row>
    <row r="38" spans="1:12" x14ac:dyDescent="0.25">
      <c r="A38" s="193"/>
      <c r="B38" s="194"/>
      <c r="C38" s="45" t="s">
        <v>25</v>
      </c>
      <c r="D38" s="45" t="s">
        <v>30</v>
      </c>
      <c r="E38" s="57">
        <v>44743</v>
      </c>
      <c r="F38" s="106">
        <v>44538.000000000029</v>
      </c>
      <c r="G38" s="45" t="s">
        <v>158</v>
      </c>
      <c r="H38" s="43">
        <v>0.60660000000000003</v>
      </c>
      <c r="I38" s="43">
        <f t="shared" si="5"/>
        <v>27016.75080000002</v>
      </c>
      <c r="J38" s="43">
        <v>0.15</v>
      </c>
      <c r="K38" s="43">
        <f t="shared" si="6"/>
        <v>4052.5126200000027</v>
      </c>
      <c r="L38" s="58">
        <f t="shared" si="3"/>
        <v>31069.263420000021</v>
      </c>
    </row>
    <row r="39" spans="1:12" x14ac:dyDescent="0.25">
      <c r="A39" s="193"/>
      <c r="B39" s="194"/>
      <c r="C39" s="45" t="s">
        <v>23</v>
      </c>
      <c r="D39" s="45" t="s">
        <v>30</v>
      </c>
      <c r="E39" s="57">
        <v>44743</v>
      </c>
      <c r="F39" s="106">
        <v>20957.108999999997</v>
      </c>
      <c r="G39" s="45" t="s">
        <v>158</v>
      </c>
      <c r="H39" s="43">
        <v>0.67410000000000003</v>
      </c>
      <c r="I39" s="43">
        <f t="shared" si="5"/>
        <v>14127.187176899999</v>
      </c>
      <c r="J39" s="43">
        <v>0.15</v>
      </c>
      <c r="K39" s="43">
        <f t="shared" si="6"/>
        <v>2119.0780765349996</v>
      </c>
      <c r="L39" s="58">
        <f t="shared" si="3"/>
        <v>16246.265253434998</v>
      </c>
    </row>
    <row r="40" spans="1:12" ht="16.5" thickBot="1" x14ac:dyDescent="0.3">
      <c r="A40" s="197"/>
      <c r="B40" s="198"/>
      <c r="C40" s="61" t="s">
        <v>24</v>
      </c>
      <c r="D40" s="61" t="s">
        <v>30</v>
      </c>
      <c r="E40" s="60">
        <v>44743</v>
      </c>
      <c r="F40" s="107">
        <v>42440.399999999965</v>
      </c>
      <c r="G40" s="61" t="s">
        <v>158</v>
      </c>
      <c r="H40" s="61">
        <v>0.61480000000000001</v>
      </c>
      <c r="I40" s="61">
        <f t="shared" si="5"/>
        <v>26092.35791999998</v>
      </c>
      <c r="J40" s="61">
        <v>0.15</v>
      </c>
      <c r="K40" s="61">
        <f t="shared" si="6"/>
        <v>3913.853687999997</v>
      </c>
      <c r="L40" s="62">
        <f t="shared" si="3"/>
        <v>30006.211607999976</v>
      </c>
    </row>
    <row r="41" spans="1:12" ht="16.5" thickBot="1" x14ac:dyDescent="0.3">
      <c r="A41" s="204">
        <v>44774</v>
      </c>
      <c r="B41" s="205"/>
      <c r="C41" s="108" t="s">
        <v>26</v>
      </c>
      <c r="D41" s="87" t="s">
        <v>30</v>
      </c>
      <c r="E41" s="57">
        <v>44774</v>
      </c>
      <c r="F41" s="42">
        <v>22528.203000000009</v>
      </c>
      <c r="G41" s="87" t="s">
        <v>158</v>
      </c>
      <c r="H41" s="41">
        <v>0.7944</v>
      </c>
      <c r="I41" s="41">
        <f t="shared" si="5"/>
        <v>17896.404463200008</v>
      </c>
      <c r="J41" s="41">
        <v>0.15</v>
      </c>
      <c r="K41" s="41">
        <f>I41*J41</f>
        <v>2684.4606694800009</v>
      </c>
      <c r="L41" s="109">
        <f t="shared" si="3"/>
        <v>20580.86513268001</v>
      </c>
    </row>
    <row r="42" spans="1:12" ht="16.5" thickBot="1" x14ac:dyDescent="0.3">
      <c r="A42" s="193"/>
      <c r="B42" s="194"/>
      <c r="C42" s="102" t="s">
        <v>27</v>
      </c>
      <c r="D42" s="45" t="s">
        <v>30</v>
      </c>
      <c r="E42" s="57">
        <v>44774</v>
      </c>
      <c r="F42" s="42">
        <v>31390.296999999999</v>
      </c>
      <c r="G42" s="45" t="s">
        <v>158</v>
      </c>
      <c r="H42" s="43">
        <v>0.65890000000000004</v>
      </c>
      <c r="I42" s="43">
        <f t="shared" si="5"/>
        <v>20683.066693299999</v>
      </c>
      <c r="J42" s="43">
        <v>0.15</v>
      </c>
      <c r="K42" s="43">
        <f>I42*J42</f>
        <v>3102.4600039949996</v>
      </c>
      <c r="L42" s="62">
        <f t="shared" si="3"/>
        <v>23785.526697294998</v>
      </c>
    </row>
    <row r="43" spans="1:12" x14ac:dyDescent="0.25">
      <c r="A43" s="193"/>
      <c r="B43" s="194"/>
      <c r="C43" s="45" t="s">
        <v>25</v>
      </c>
      <c r="D43" s="45" t="s">
        <v>30</v>
      </c>
      <c r="E43" s="57">
        <v>44774</v>
      </c>
      <c r="F43" s="106">
        <v>57792.900000000023</v>
      </c>
      <c r="G43" s="45" t="s">
        <v>158</v>
      </c>
      <c r="H43" s="43">
        <v>0.60660000000000003</v>
      </c>
      <c r="I43" s="43">
        <f t="shared" si="5"/>
        <v>35057.173140000014</v>
      </c>
      <c r="J43" s="43">
        <v>0.15</v>
      </c>
      <c r="K43" s="43">
        <f t="shared" si="6"/>
        <v>5258.575971000002</v>
      </c>
      <c r="L43" s="58">
        <f t="shared" si="3"/>
        <v>40315.749111000012</v>
      </c>
    </row>
    <row r="44" spans="1:12" x14ac:dyDescent="0.25">
      <c r="A44" s="193"/>
      <c r="B44" s="194"/>
      <c r="C44" s="45" t="s">
        <v>23</v>
      </c>
      <c r="D44" s="45" t="s">
        <v>30</v>
      </c>
      <c r="E44" s="57">
        <v>44774</v>
      </c>
      <c r="F44" s="106">
        <v>29575.187999999995</v>
      </c>
      <c r="G44" s="45" t="s">
        <v>158</v>
      </c>
      <c r="H44" s="43">
        <v>0.67410000000000003</v>
      </c>
      <c r="I44" s="43">
        <f t="shared" si="5"/>
        <v>19936.634230799998</v>
      </c>
      <c r="J44" s="43">
        <v>0.15</v>
      </c>
      <c r="K44" s="43">
        <f t="shared" si="6"/>
        <v>2990.4951346199996</v>
      </c>
      <c r="L44" s="58">
        <f t="shared" si="3"/>
        <v>22927.129365419998</v>
      </c>
    </row>
    <row r="45" spans="1:12" ht="16.5" thickBot="1" x14ac:dyDescent="0.3">
      <c r="A45" s="197"/>
      <c r="B45" s="198"/>
      <c r="C45" s="61" t="s">
        <v>24</v>
      </c>
      <c r="D45" s="61" t="s">
        <v>30</v>
      </c>
      <c r="E45" s="60">
        <v>44774</v>
      </c>
      <c r="F45" s="107">
        <v>60653.200000000099</v>
      </c>
      <c r="G45" s="61" t="s">
        <v>158</v>
      </c>
      <c r="H45" s="61">
        <v>0.61480000000000001</v>
      </c>
      <c r="I45" s="61">
        <f t="shared" si="5"/>
        <v>37289.587360000063</v>
      </c>
      <c r="J45" s="61">
        <v>0.15</v>
      </c>
      <c r="K45" s="61">
        <f t="shared" si="6"/>
        <v>5593.4381040000089</v>
      </c>
      <c r="L45" s="62">
        <f>I45+K45</f>
        <v>42883.025464000071</v>
      </c>
    </row>
    <row r="46" spans="1:12" ht="16.5" thickBot="1" x14ac:dyDescent="0.3">
      <c r="A46" s="191">
        <v>44805</v>
      </c>
      <c r="B46" s="192"/>
      <c r="C46" s="100" t="s">
        <v>26</v>
      </c>
      <c r="D46" s="53" t="s">
        <v>30</v>
      </c>
      <c r="E46" s="57">
        <v>44805</v>
      </c>
      <c r="F46" s="41"/>
      <c r="G46" s="53" t="s">
        <v>158</v>
      </c>
      <c r="H46" s="55">
        <v>0.7944</v>
      </c>
      <c r="I46" s="55">
        <f t="shared" si="5"/>
        <v>0</v>
      </c>
      <c r="J46" s="55">
        <v>0.15</v>
      </c>
      <c r="K46" s="55">
        <f>I46*J46</f>
        <v>0</v>
      </c>
      <c r="L46" s="101">
        <f t="shared" si="3"/>
        <v>0</v>
      </c>
    </row>
    <row r="47" spans="1:12" ht="16.5" thickBot="1" x14ac:dyDescent="0.3">
      <c r="A47" s="193"/>
      <c r="B47" s="194"/>
      <c r="C47" s="102" t="s">
        <v>27</v>
      </c>
      <c r="D47" s="45" t="s">
        <v>30</v>
      </c>
      <c r="E47" s="57">
        <v>44805</v>
      </c>
      <c r="F47" s="41"/>
      <c r="G47" s="45" t="s">
        <v>158</v>
      </c>
      <c r="H47" s="43">
        <v>0.65890000000000004</v>
      </c>
      <c r="I47" s="43">
        <f t="shared" si="5"/>
        <v>0</v>
      </c>
      <c r="J47" s="43">
        <v>0.15</v>
      </c>
      <c r="K47" s="43">
        <f>I47*J47</f>
        <v>0</v>
      </c>
      <c r="L47" s="62">
        <f t="shared" si="3"/>
        <v>0</v>
      </c>
    </row>
    <row r="48" spans="1:12" x14ac:dyDescent="0.25">
      <c r="A48" s="193"/>
      <c r="B48" s="194"/>
      <c r="C48" s="45" t="s">
        <v>25</v>
      </c>
      <c r="D48" s="45" t="s">
        <v>30</v>
      </c>
      <c r="E48" s="57">
        <v>44805</v>
      </c>
      <c r="F48" s="77"/>
      <c r="G48" s="45" t="s">
        <v>158</v>
      </c>
      <c r="H48" s="43">
        <v>0.60660000000000003</v>
      </c>
      <c r="I48" s="43">
        <f t="shared" si="5"/>
        <v>0</v>
      </c>
      <c r="J48" s="43">
        <v>0.15</v>
      </c>
      <c r="K48" s="43">
        <f t="shared" si="6"/>
        <v>0</v>
      </c>
      <c r="L48" s="58">
        <f t="shared" si="3"/>
        <v>0</v>
      </c>
    </row>
    <row r="49" spans="1:12" x14ac:dyDescent="0.25">
      <c r="A49" s="193"/>
      <c r="B49" s="194"/>
      <c r="C49" s="45" t="s">
        <v>23</v>
      </c>
      <c r="D49" s="45" t="s">
        <v>30</v>
      </c>
      <c r="E49" s="57">
        <v>44805</v>
      </c>
      <c r="F49" s="77"/>
      <c r="G49" s="45" t="s">
        <v>158</v>
      </c>
      <c r="H49" s="43">
        <v>0.67410000000000003</v>
      </c>
      <c r="I49" s="43">
        <f t="shared" si="5"/>
        <v>0</v>
      </c>
      <c r="J49" s="43">
        <v>0.15</v>
      </c>
      <c r="K49" s="43">
        <f t="shared" si="6"/>
        <v>0</v>
      </c>
      <c r="L49" s="58">
        <f t="shared" si="3"/>
        <v>0</v>
      </c>
    </row>
    <row r="50" spans="1:12" ht="16.5" thickBot="1" x14ac:dyDescent="0.3">
      <c r="A50" s="197"/>
      <c r="B50" s="198"/>
      <c r="C50" s="61" t="s">
        <v>24</v>
      </c>
      <c r="D50" s="61" t="s">
        <v>30</v>
      </c>
      <c r="E50" s="60">
        <v>44805</v>
      </c>
      <c r="F50" s="61"/>
      <c r="G50" s="61" t="s">
        <v>158</v>
      </c>
      <c r="H50" s="61">
        <v>0.61480000000000001</v>
      </c>
      <c r="I50" s="61">
        <f t="shared" si="5"/>
        <v>0</v>
      </c>
      <c r="J50" s="61">
        <v>0.15</v>
      </c>
      <c r="K50" s="61">
        <f t="shared" si="6"/>
        <v>0</v>
      </c>
      <c r="L50" s="62">
        <f t="shared" si="3"/>
        <v>0</v>
      </c>
    </row>
    <row r="51" spans="1:12" ht="16.5" thickBot="1" x14ac:dyDescent="0.3">
      <c r="A51" s="204">
        <v>44835</v>
      </c>
      <c r="B51" s="205"/>
      <c r="C51" s="100" t="s">
        <v>26</v>
      </c>
      <c r="D51" s="53" t="s">
        <v>30</v>
      </c>
      <c r="E51" s="57">
        <v>44835</v>
      </c>
      <c r="F51" s="41"/>
      <c r="G51" s="53" t="s">
        <v>158</v>
      </c>
      <c r="H51" s="55">
        <v>0.7944</v>
      </c>
      <c r="I51" s="55">
        <f t="shared" si="5"/>
        <v>0</v>
      </c>
      <c r="J51" s="55">
        <v>0.15</v>
      </c>
      <c r="K51" s="55">
        <f>I51*J51</f>
        <v>0</v>
      </c>
      <c r="L51" s="101">
        <f t="shared" si="3"/>
        <v>0</v>
      </c>
    </row>
    <row r="52" spans="1:12" ht="16.5" thickBot="1" x14ac:dyDescent="0.3">
      <c r="A52" s="193"/>
      <c r="B52" s="194"/>
      <c r="C52" s="102" t="s">
        <v>27</v>
      </c>
      <c r="D52" s="45" t="s">
        <v>30</v>
      </c>
      <c r="E52" s="57">
        <v>44835</v>
      </c>
      <c r="F52" s="41"/>
      <c r="G52" s="45" t="s">
        <v>158</v>
      </c>
      <c r="H52" s="43">
        <v>0.65890000000000004</v>
      </c>
      <c r="I52" s="43">
        <f t="shared" si="5"/>
        <v>0</v>
      </c>
      <c r="J52" s="43">
        <v>0.15</v>
      </c>
      <c r="K52" s="43">
        <f>I52*J52</f>
        <v>0</v>
      </c>
      <c r="L52" s="62">
        <f t="shared" si="3"/>
        <v>0</v>
      </c>
    </row>
    <row r="53" spans="1:12" x14ac:dyDescent="0.25">
      <c r="A53" s="193"/>
      <c r="B53" s="194"/>
      <c r="C53" s="45" t="s">
        <v>25</v>
      </c>
      <c r="D53" s="45" t="s">
        <v>30</v>
      </c>
      <c r="E53" s="57">
        <v>44835</v>
      </c>
      <c r="F53" s="77"/>
      <c r="G53" s="45" t="s">
        <v>158</v>
      </c>
      <c r="H53" s="43">
        <v>0.60660000000000003</v>
      </c>
      <c r="I53" s="43">
        <f t="shared" si="5"/>
        <v>0</v>
      </c>
      <c r="J53" s="43">
        <v>0.15</v>
      </c>
      <c r="K53" s="43">
        <f t="shared" si="6"/>
        <v>0</v>
      </c>
      <c r="L53" s="58">
        <f t="shared" si="3"/>
        <v>0</v>
      </c>
    </row>
    <row r="54" spans="1:12" x14ac:dyDescent="0.25">
      <c r="A54" s="193"/>
      <c r="B54" s="194"/>
      <c r="C54" s="45" t="s">
        <v>23</v>
      </c>
      <c r="D54" s="45" t="s">
        <v>30</v>
      </c>
      <c r="E54" s="57">
        <v>44835</v>
      </c>
      <c r="F54" s="77"/>
      <c r="G54" s="45" t="s">
        <v>158</v>
      </c>
      <c r="H54" s="43">
        <v>0.67410000000000003</v>
      </c>
      <c r="I54" s="43">
        <f t="shared" si="5"/>
        <v>0</v>
      </c>
      <c r="J54" s="43">
        <v>0.15</v>
      </c>
      <c r="K54" s="43">
        <f t="shared" si="6"/>
        <v>0</v>
      </c>
      <c r="L54" s="58">
        <f t="shared" si="3"/>
        <v>0</v>
      </c>
    </row>
    <row r="55" spans="1:12" ht="16.5" thickBot="1" x14ac:dyDescent="0.3">
      <c r="A55" s="197"/>
      <c r="B55" s="198"/>
      <c r="C55" s="61" t="s">
        <v>24</v>
      </c>
      <c r="D55" s="61" t="s">
        <v>30</v>
      </c>
      <c r="E55" s="60">
        <v>44835</v>
      </c>
      <c r="F55" s="61"/>
      <c r="G55" s="61" t="s">
        <v>158</v>
      </c>
      <c r="H55" s="61">
        <v>0.61480000000000001</v>
      </c>
      <c r="I55" s="61">
        <f t="shared" si="5"/>
        <v>0</v>
      </c>
      <c r="J55" s="61">
        <v>0.15</v>
      </c>
      <c r="K55" s="61">
        <f t="shared" si="6"/>
        <v>0</v>
      </c>
      <c r="L55" s="62">
        <f t="shared" si="3"/>
        <v>0</v>
      </c>
    </row>
    <row r="56" spans="1:12" ht="16.5" thickBot="1" x14ac:dyDescent="0.3">
      <c r="A56" s="204">
        <v>44866</v>
      </c>
      <c r="B56" s="205"/>
      <c r="C56" s="100" t="s">
        <v>26</v>
      </c>
      <c r="D56" s="53" t="s">
        <v>30</v>
      </c>
      <c r="E56" s="60">
        <v>44866</v>
      </c>
      <c r="F56" s="41"/>
      <c r="G56" s="53" t="s">
        <v>158</v>
      </c>
      <c r="H56" s="55">
        <v>0.7944</v>
      </c>
      <c r="I56" s="55">
        <f t="shared" si="5"/>
        <v>0</v>
      </c>
      <c r="J56" s="55">
        <v>0.15</v>
      </c>
      <c r="K56" s="55">
        <f>I56*J56</f>
        <v>0</v>
      </c>
      <c r="L56" s="101">
        <f t="shared" si="3"/>
        <v>0</v>
      </c>
    </row>
    <row r="57" spans="1:12" ht="16.5" thickBot="1" x14ac:dyDescent="0.3">
      <c r="A57" s="193"/>
      <c r="B57" s="194"/>
      <c r="C57" s="102" t="s">
        <v>27</v>
      </c>
      <c r="D57" s="45" t="s">
        <v>30</v>
      </c>
      <c r="E57" s="57">
        <v>44866</v>
      </c>
      <c r="F57" s="41"/>
      <c r="G57" s="45" t="s">
        <v>158</v>
      </c>
      <c r="H57" s="43">
        <v>0.65890000000000004</v>
      </c>
      <c r="I57" s="43">
        <f t="shared" si="5"/>
        <v>0</v>
      </c>
      <c r="J57" s="43">
        <v>0.15</v>
      </c>
      <c r="K57" s="43">
        <f>I57*J57</f>
        <v>0</v>
      </c>
      <c r="L57" s="62">
        <f t="shared" si="3"/>
        <v>0</v>
      </c>
    </row>
    <row r="58" spans="1:12" ht="16.5" thickBot="1" x14ac:dyDescent="0.3">
      <c r="A58" s="193"/>
      <c r="B58" s="194"/>
      <c r="C58" s="45" t="s">
        <v>25</v>
      </c>
      <c r="D58" s="45" t="s">
        <v>30</v>
      </c>
      <c r="E58" s="60">
        <v>44866</v>
      </c>
      <c r="F58" s="77"/>
      <c r="G58" s="45" t="s">
        <v>158</v>
      </c>
      <c r="H58" s="43">
        <v>0.60660000000000003</v>
      </c>
      <c r="I58" s="43">
        <f t="shared" si="5"/>
        <v>0</v>
      </c>
      <c r="J58" s="43">
        <v>0.15</v>
      </c>
      <c r="K58" s="43">
        <f t="shared" si="6"/>
        <v>0</v>
      </c>
      <c r="L58" s="58">
        <f t="shared" si="3"/>
        <v>0</v>
      </c>
    </row>
    <row r="59" spans="1:12" x14ac:dyDescent="0.25">
      <c r="A59" s="193"/>
      <c r="B59" s="194"/>
      <c r="C59" s="45" t="s">
        <v>23</v>
      </c>
      <c r="D59" s="45" t="s">
        <v>30</v>
      </c>
      <c r="E59" s="57">
        <v>44866</v>
      </c>
      <c r="F59" s="77"/>
      <c r="G59" s="45" t="s">
        <v>158</v>
      </c>
      <c r="H59" s="43">
        <v>0.67410000000000003</v>
      </c>
      <c r="I59" s="43">
        <f t="shared" si="5"/>
        <v>0</v>
      </c>
      <c r="J59" s="43">
        <v>0.15</v>
      </c>
      <c r="K59" s="43">
        <f t="shared" si="6"/>
        <v>0</v>
      </c>
      <c r="L59" s="58">
        <f t="shared" si="3"/>
        <v>0</v>
      </c>
    </row>
    <row r="60" spans="1:12" ht="16.5" thickBot="1" x14ac:dyDescent="0.3">
      <c r="A60" s="197"/>
      <c r="B60" s="198"/>
      <c r="C60" s="61" t="s">
        <v>24</v>
      </c>
      <c r="D60" s="61" t="s">
        <v>30</v>
      </c>
      <c r="E60" s="60">
        <v>44866</v>
      </c>
      <c r="F60" s="61"/>
      <c r="G60" s="61" t="s">
        <v>158</v>
      </c>
      <c r="H60" s="61">
        <v>0.61480000000000001</v>
      </c>
      <c r="I60" s="61">
        <f t="shared" si="5"/>
        <v>0</v>
      </c>
      <c r="J60" s="61">
        <v>0.15</v>
      </c>
      <c r="K60" s="61">
        <f t="shared" si="6"/>
        <v>0</v>
      </c>
      <c r="L60" s="62">
        <f t="shared" si="3"/>
        <v>0</v>
      </c>
    </row>
    <row r="61" spans="1:12" ht="16.5" thickBot="1" x14ac:dyDescent="0.3">
      <c r="A61" s="204">
        <v>44896</v>
      </c>
      <c r="B61" s="205"/>
      <c r="C61" s="100" t="s">
        <v>26</v>
      </c>
      <c r="D61" s="53" t="s">
        <v>30</v>
      </c>
      <c r="E61" s="60">
        <v>44896</v>
      </c>
      <c r="F61" s="41"/>
      <c r="G61" s="53" t="s">
        <v>158</v>
      </c>
      <c r="H61" s="55">
        <v>0.7944</v>
      </c>
      <c r="I61" s="55">
        <f t="shared" si="5"/>
        <v>0</v>
      </c>
      <c r="J61" s="55">
        <v>0.15</v>
      </c>
      <c r="K61" s="55">
        <f>I61*J61</f>
        <v>0</v>
      </c>
      <c r="L61" s="101">
        <f t="shared" si="3"/>
        <v>0</v>
      </c>
    </row>
    <row r="62" spans="1:12" ht="16.5" thickBot="1" x14ac:dyDescent="0.3">
      <c r="A62" s="193"/>
      <c r="B62" s="194"/>
      <c r="C62" s="102" t="s">
        <v>27</v>
      </c>
      <c r="D62" s="45" t="s">
        <v>30</v>
      </c>
      <c r="E62" s="57">
        <v>44896</v>
      </c>
      <c r="F62" s="41"/>
      <c r="G62" s="45" t="s">
        <v>158</v>
      </c>
      <c r="H62" s="43">
        <v>0.65890000000000004</v>
      </c>
      <c r="I62" s="43">
        <f t="shared" si="5"/>
        <v>0</v>
      </c>
      <c r="J62" s="43">
        <v>0.15</v>
      </c>
      <c r="K62" s="43">
        <f t="shared" ref="K62:K70" si="7">I62*J62</f>
        <v>0</v>
      </c>
      <c r="L62" s="62">
        <f t="shared" si="3"/>
        <v>0</v>
      </c>
    </row>
    <row r="63" spans="1:12" ht="16.5" thickBot="1" x14ac:dyDescent="0.3">
      <c r="A63" s="193"/>
      <c r="B63" s="194"/>
      <c r="C63" s="45" t="s">
        <v>25</v>
      </c>
      <c r="D63" s="45" t="s">
        <v>30</v>
      </c>
      <c r="E63" s="60">
        <v>44896</v>
      </c>
      <c r="F63" s="77"/>
      <c r="G63" s="45" t="s">
        <v>158</v>
      </c>
      <c r="H63" s="43">
        <v>0.60660000000000003</v>
      </c>
      <c r="I63" s="43">
        <f t="shared" si="5"/>
        <v>0</v>
      </c>
      <c r="J63" s="43">
        <v>0.15</v>
      </c>
      <c r="K63" s="43">
        <f t="shared" si="7"/>
        <v>0</v>
      </c>
      <c r="L63" s="58">
        <f t="shared" si="3"/>
        <v>0</v>
      </c>
    </row>
    <row r="64" spans="1:12" x14ac:dyDescent="0.25">
      <c r="A64" s="193"/>
      <c r="B64" s="194"/>
      <c r="C64" s="45" t="s">
        <v>23</v>
      </c>
      <c r="D64" s="45" t="s">
        <v>30</v>
      </c>
      <c r="E64" s="57">
        <v>44896</v>
      </c>
      <c r="F64" s="77"/>
      <c r="G64" s="45" t="s">
        <v>158</v>
      </c>
      <c r="H64" s="43">
        <v>0.67410000000000003</v>
      </c>
      <c r="I64" s="43">
        <f t="shared" si="5"/>
        <v>0</v>
      </c>
      <c r="J64" s="43">
        <v>0.15</v>
      </c>
      <c r="K64" s="43">
        <f t="shared" si="7"/>
        <v>0</v>
      </c>
      <c r="L64" s="58">
        <f t="shared" si="3"/>
        <v>0</v>
      </c>
    </row>
    <row r="65" spans="1:12" ht="16.5" thickBot="1" x14ac:dyDescent="0.3">
      <c r="A65" s="197"/>
      <c r="B65" s="198"/>
      <c r="C65" s="61" t="s">
        <v>24</v>
      </c>
      <c r="D65" s="61" t="s">
        <v>30</v>
      </c>
      <c r="E65" s="60">
        <v>44896</v>
      </c>
      <c r="F65" s="61"/>
      <c r="G65" s="61" t="s">
        <v>158</v>
      </c>
      <c r="H65" s="61">
        <v>0.61480000000000001</v>
      </c>
      <c r="I65" s="61">
        <f t="shared" si="5"/>
        <v>0</v>
      </c>
      <c r="J65" s="61">
        <v>0.15</v>
      </c>
      <c r="K65" s="61">
        <f t="shared" si="7"/>
        <v>0</v>
      </c>
      <c r="L65" s="62">
        <f t="shared" si="3"/>
        <v>0</v>
      </c>
    </row>
    <row r="66" spans="1:12" ht="16.5" thickBot="1" x14ac:dyDescent="0.3">
      <c r="A66" s="187">
        <v>44927</v>
      </c>
      <c r="B66" s="188"/>
      <c r="C66" s="100" t="s">
        <v>26</v>
      </c>
      <c r="D66" s="53" t="s">
        <v>30</v>
      </c>
      <c r="E66" s="57">
        <v>44927</v>
      </c>
      <c r="F66" s="41"/>
      <c r="G66" s="53" t="s">
        <v>158</v>
      </c>
      <c r="H66" s="55">
        <v>0.7944</v>
      </c>
      <c r="I66" s="55">
        <f t="shared" si="5"/>
        <v>0</v>
      </c>
      <c r="J66" s="55">
        <v>0.15</v>
      </c>
      <c r="K66" s="55">
        <f>I66*J66</f>
        <v>0</v>
      </c>
      <c r="L66" s="101">
        <f t="shared" si="3"/>
        <v>0</v>
      </c>
    </row>
    <row r="67" spans="1:12" ht="16.5" thickBot="1" x14ac:dyDescent="0.3">
      <c r="A67" s="187"/>
      <c r="B67" s="188"/>
      <c r="C67" s="102" t="s">
        <v>27</v>
      </c>
      <c r="D67" s="45" t="s">
        <v>30</v>
      </c>
      <c r="E67" s="57">
        <v>44927</v>
      </c>
      <c r="F67" s="41"/>
      <c r="G67" s="45" t="s">
        <v>158</v>
      </c>
      <c r="H67" s="43">
        <v>0.65890000000000004</v>
      </c>
      <c r="I67" s="43">
        <f t="shared" si="5"/>
        <v>0</v>
      </c>
      <c r="J67" s="43">
        <v>0.15</v>
      </c>
      <c r="K67" s="43">
        <f>I67*J67</f>
        <v>0</v>
      </c>
      <c r="L67" s="62">
        <f t="shared" si="3"/>
        <v>0</v>
      </c>
    </row>
    <row r="68" spans="1:12" x14ac:dyDescent="0.25">
      <c r="A68" s="187"/>
      <c r="B68" s="188"/>
      <c r="C68" s="45" t="s">
        <v>25</v>
      </c>
      <c r="D68" s="45" t="s">
        <v>30</v>
      </c>
      <c r="E68" s="57">
        <v>44927</v>
      </c>
      <c r="F68" s="77"/>
      <c r="G68" s="45" t="s">
        <v>158</v>
      </c>
      <c r="H68" s="43">
        <v>0.60660000000000003</v>
      </c>
      <c r="I68" s="43">
        <f t="shared" si="5"/>
        <v>0</v>
      </c>
      <c r="J68" s="43">
        <v>0.15</v>
      </c>
      <c r="K68" s="43">
        <f t="shared" si="7"/>
        <v>0</v>
      </c>
      <c r="L68" s="58">
        <f t="shared" si="3"/>
        <v>0</v>
      </c>
    </row>
    <row r="69" spans="1:12" x14ac:dyDescent="0.25">
      <c r="A69" s="187"/>
      <c r="B69" s="188"/>
      <c r="C69" s="45" t="s">
        <v>23</v>
      </c>
      <c r="D69" s="45" t="s">
        <v>30</v>
      </c>
      <c r="E69" s="57">
        <v>44927</v>
      </c>
      <c r="F69" s="77"/>
      <c r="G69" s="45" t="s">
        <v>158</v>
      </c>
      <c r="H69" s="43">
        <v>0.67410000000000003</v>
      </c>
      <c r="I69" s="43">
        <f t="shared" si="5"/>
        <v>0</v>
      </c>
      <c r="J69" s="43">
        <v>0.15</v>
      </c>
      <c r="K69" s="43">
        <f t="shared" si="7"/>
        <v>0</v>
      </c>
      <c r="L69" s="58">
        <f t="shared" si="3"/>
        <v>0</v>
      </c>
    </row>
    <row r="70" spans="1:12" ht="16.5" thickBot="1" x14ac:dyDescent="0.3">
      <c r="A70" s="189"/>
      <c r="B70" s="190"/>
      <c r="C70" s="61" t="s">
        <v>24</v>
      </c>
      <c r="D70" s="61" t="s">
        <v>30</v>
      </c>
      <c r="E70" s="60">
        <v>44927</v>
      </c>
      <c r="F70" s="61"/>
      <c r="G70" s="61" t="s">
        <v>158</v>
      </c>
      <c r="H70" s="61">
        <v>0.61480000000000001</v>
      </c>
      <c r="I70" s="61">
        <f t="shared" si="5"/>
        <v>0</v>
      </c>
      <c r="J70" s="61">
        <v>0.15</v>
      </c>
      <c r="K70" s="61">
        <f t="shared" si="7"/>
        <v>0</v>
      </c>
      <c r="L70" s="62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8AE8-60EF-41AA-8EAB-E6D23E6F3CA3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E23ED-22B2-4007-9664-BF1CFE0AFFE4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9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D5363-CED2-4D77-8173-FF99F04973D9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E112-F91B-454C-95F6-86D77493328F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029C-9C63-44F2-99AE-2CCC37B13058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134B-A02B-44FC-8013-F83340BE656C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9513-1F92-4A62-8191-E3A899625D0A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2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3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5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6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7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8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9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10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11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2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13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14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15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16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17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18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19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20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21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22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23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24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25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26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27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28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29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30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31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32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33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34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35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36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37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38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39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40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41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42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43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44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45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46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47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48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49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50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51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52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53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54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55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56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57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58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59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60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61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62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63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64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65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66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67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68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69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70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71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72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73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74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75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76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77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78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2022-11-28T04:59:54Z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