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mutali\Documents\GitHub\jupyter-reporting\"/>
    </mc:Choice>
  </mc:AlternateContent>
  <xr:revisionPtr revIDLastSave="0" documentId="13_ncr:1_{AAF07180-2C9F-4475-9E80-2FC5B1B3B65D}" xr6:coauthVersionLast="47" xr6:coauthVersionMax="47" xr10:uidLastSave="{00000000-0000-0000-0000-000000000000}"/>
  <bookViews>
    <workbookView xWindow="-120" yWindow="-120" windowWidth="20730" windowHeight="11160" tabRatio="602" firstSheet="1" activeTab="3" xr2:uid="{00000000-000D-0000-FFFF-FFFF00000000}"/>
  </bookViews>
  <sheets>
    <sheet name="Sheet2" sheetId="59" state="hidden" r:id="rId1"/>
    <sheet name="DataInput" sheetId="76" r:id="rId2"/>
    <sheet name="Sheet1" sheetId="71" r:id="rId3"/>
    <sheet name="Data" sheetId="1" r:id="rId4"/>
    <sheet name="Sheet8" sheetId="75" r:id="rId5"/>
    <sheet name="Sheet7" sheetId="74" r:id="rId6"/>
    <sheet name="Sheet5" sheetId="72" r:id="rId7"/>
    <sheet name="Sheet6" sheetId="73" r:id="rId8"/>
    <sheet name="Finance" sheetId="70" r:id="rId9"/>
    <sheet name="Production" sheetId="8" state="hidden" r:id="rId10"/>
    <sheet name="PR-X" sheetId="18" state="hidden" r:id="rId11"/>
    <sheet name="Irradiationx" sheetId="21" state="hidden" r:id="rId12"/>
    <sheet name="Availability x" sheetId="22" state="hidden" r:id="rId13"/>
    <sheet name="Sheet3" sheetId="35" state="hidden" r:id="rId14"/>
    <sheet name="Sheet4" sheetId="36" state="hidden" r:id="rId15"/>
    <sheet name="Revenue x" sheetId="31" state="hidden" r:id="rId16"/>
  </sheets>
  <definedNames>
    <definedName name="_xlnm._FilterDatabase" localSheetId="1" hidden="1">DataInput!$A$1:$AM$1</definedName>
    <definedName name="_Hlk113935639" localSheetId="6">Sheet5!$L$20</definedName>
    <definedName name="_Hlk113937779" localSheetId="6">Sheet5!$B$1</definedName>
    <definedName name="_xlcn.WorksheetConnection_dataExport6.xlsxTable11" hidden="1">Table1[]</definedName>
    <definedName name="ExternalData_1" localSheetId="13" hidden="1">Sheet3!$A$3:$BI$4</definedName>
    <definedName name="ExternalData_1" localSheetId="14" hidden="1">Sheet4!$A$3:$BI$4</definedName>
  </definedNames>
  <calcPr calcId="191029"/>
  <pivotCaches>
    <pivotCache cacheId="50" r:id="rId17"/>
    <pivotCache cacheId="51" r:id="rId18"/>
    <pivotCache cacheId="52" r:id="rId19"/>
    <pivotCache cacheId="53" r:id="rId20"/>
    <pivotCache cacheId="54" r:id="rId21"/>
    <pivotCache cacheId="55" r:id="rId22"/>
    <pivotCache cacheId="56" r:id="rId23"/>
    <pivotCache cacheId="57" r:id="rId24"/>
    <pivotCache cacheId="58" r:id="rId25"/>
    <pivotCache cacheId="59" r:id="rId26"/>
    <pivotCache cacheId="60" r:id="rId27"/>
    <pivotCache cacheId="61" r:id="rId28"/>
    <pivotCache cacheId="62" r:id="rId29"/>
    <pivotCache cacheId="63" r:id="rId30"/>
    <pivotCache cacheId="64" r:id="rId31"/>
    <pivotCache cacheId="65" r:id="rId32"/>
    <pivotCache cacheId="66" r:id="rId33"/>
    <pivotCache cacheId="67" r:id="rId34"/>
    <pivotCache cacheId="68" r:id="rId35"/>
    <pivotCache cacheId="69" r:id="rId36"/>
    <pivotCache cacheId="70" r:id="rId37"/>
    <pivotCache cacheId="71" r:id="rId38"/>
    <pivotCache cacheId="72" r:id="rId39"/>
    <pivotCache cacheId="73" r:id="rId40"/>
    <pivotCache cacheId="74" r:id="rId41"/>
  </pivotCaches>
  <extLst>
    <ext xmlns:x15="http://schemas.microsoft.com/office/spreadsheetml/2010/11/main" uri="{FCE2AD5D-F65C-4FA6-A056-5C36A1767C68}">
      <x15:dataModel>
        <x15:modelTables>
          <x15:modelTable id="Revenue_ff8ecd52-114b-42a4-8983-5a75727a01d3" name="Revenue" connection="Excel Bluepoint Upload and Tracker1 1"/>
          <x15:modelTable id="Table1" name="Table1" connection="WorksheetConnection_dataExport (6).xlsx!Table1"/>
        </x15:modelTables>
        <x15:modelRelationships>
          <x15:modelRelationship fromTable="Revenue" fromColumn="date" toTable="Table1" toColumn="Dat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Revenu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20" i="1" l="1"/>
  <c r="BW20" i="1"/>
  <c r="AW20" i="1"/>
  <c r="AY20" i="1"/>
  <c r="BE20" i="1"/>
  <c r="AP20" i="1"/>
  <c r="AN20" i="1"/>
  <c r="AI20" i="1"/>
  <c r="AG20" i="1"/>
  <c r="AD20" i="1"/>
  <c r="Y20" i="1"/>
  <c r="W20" i="1"/>
  <c r="U20" i="1"/>
  <c r="U18" i="1"/>
  <c r="U19" i="1"/>
  <c r="U21" i="1"/>
  <c r="U17" i="1"/>
  <c r="U22" i="1"/>
  <c r="U23" i="1"/>
  <c r="U24" i="1"/>
  <c r="U25" i="1"/>
  <c r="U26" i="1"/>
  <c r="O20" i="1"/>
  <c r="M20" i="1"/>
  <c r="E20" i="1"/>
  <c r="D20" i="1"/>
  <c r="C20" i="1"/>
  <c r="K20" i="1"/>
  <c r="I20" i="1"/>
  <c r="X20" i="1"/>
  <c r="AC20" i="1"/>
  <c r="AH20" i="1"/>
  <c r="CK20" i="1" s="1"/>
  <c r="AL20" i="1"/>
  <c r="AQ20" i="1"/>
  <c r="AT20" i="1"/>
  <c r="AX20" i="1"/>
  <c r="BC20" i="1"/>
  <c r="S20" i="1"/>
  <c r="N20" i="1"/>
  <c r="N21" i="1"/>
  <c r="N22" i="1"/>
  <c r="N23" i="1"/>
  <c r="N24" i="1"/>
  <c r="N25" i="1"/>
  <c r="N26" i="1"/>
  <c r="N27" i="1"/>
  <c r="S18" i="1"/>
  <c r="S19" i="1"/>
  <c r="S21" i="1"/>
  <c r="S17" i="1"/>
  <c r="AN17" i="1"/>
  <c r="AN18" i="1"/>
  <c r="AN19" i="1"/>
  <c r="AN21" i="1"/>
  <c r="AN22" i="1"/>
  <c r="AN23" i="1"/>
  <c r="AN24" i="1"/>
  <c r="AN25" i="1"/>
  <c r="AN26" i="1"/>
  <c r="AI17" i="1"/>
  <c r="AI18" i="1"/>
  <c r="AI19" i="1"/>
  <c r="AI21" i="1"/>
  <c r="AI22" i="1"/>
  <c r="AI23" i="1"/>
  <c r="AI24" i="1"/>
  <c r="AI25" i="1"/>
  <c r="AI26" i="1"/>
  <c r="AG17" i="1"/>
  <c r="AG18" i="1"/>
  <c r="AG19" i="1"/>
  <c r="AG21" i="1"/>
  <c r="AG22" i="1"/>
  <c r="AG23" i="1"/>
  <c r="AG24" i="1"/>
  <c r="AG25" i="1"/>
  <c r="AG26" i="1"/>
  <c r="AG27" i="1"/>
  <c r="AH17" i="1"/>
  <c r="AH18" i="1"/>
  <c r="AH19" i="1"/>
  <c r="AH21" i="1"/>
  <c r="AH22" i="1"/>
  <c r="AH23" i="1"/>
  <c r="AH24" i="1"/>
  <c r="AH25" i="1"/>
  <c r="AH26" i="1"/>
  <c r="AH16" i="1"/>
  <c r="N18" i="1"/>
  <c r="N19" i="1"/>
  <c r="BE19" i="1"/>
  <c r="BE21" i="1"/>
  <c r="BE22" i="1"/>
  <c r="BE23" i="1"/>
  <c r="BE24" i="1"/>
  <c r="BE25" i="1"/>
  <c r="BE26" i="1"/>
  <c r="AQ18" i="1"/>
  <c r="AQ19" i="1"/>
  <c r="AQ21" i="1"/>
  <c r="AQ22" i="1"/>
  <c r="AQ23" i="1"/>
  <c r="AQ24" i="1"/>
  <c r="AQ25" i="1"/>
  <c r="AQ26" i="1"/>
  <c r="AQ27" i="1"/>
  <c r="AP18" i="1"/>
  <c r="AP19" i="1"/>
  <c r="AP21" i="1"/>
  <c r="AP22" i="1"/>
  <c r="AP23" i="1"/>
  <c r="AP24" i="1"/>
  <c r="AP25" i="1"/>
  <c r="AP26" i="1"/>
  <c r="AP27" i="1"/>
  <c r="BR20" i="1"/>
  <c r="AO21" i="1"/>
  <c r="AO22" i="1"/>
  <c r="AO23" i="1"/>
  <c r="AO24" i="1"/>
  <c r="AO25" i="1"/>
  <c r="AO26" i="1"/>
  <c r="AO27" i="1"/>
  <c r="AO19" i="1"/>
  <c r="AL19" i="1"/>
  <c r="CK19" i="1" s="1"/>
  <c r="AL21" i="1"/>
  <c r="AL22" i="1"/>
  <c r="AL23" i="1"/>
  <c r="AL24" i="1"/>
  <c r="AL25" i="1"/>
  <c r="AL26" i="1"/>
  <c r="AL27" i="1"/>
  <c r="AL18" i="1"/>
  <c r="AE19" i="1"/>
  <c r="AE21" i="1"/>
  <c r="AE22" i="1"/>
  <c r="AE23" i="1"/>
  <c r="AE24" i="1"/>
  <c r="AF19" i="1"/>
  <c r="BQ19" i="1" s="1"/>
  <c r="AF21" i="1"/>
  <c r="AF22" i="1"/>
  <c r="AF23" i="1"/>
  <c r="AF24" i="1"/>
  <c r="AF25" i="1"/>
  <c r="AF26" i="1"/>
  <c r="AF27" i="1"/>
  <c r="AD17" i="1"/>
  <c r="AD16" i="1"/>
  <c r="AD18" i="1"/>
  <c r="AD19" i="1"/>
  <c r="AD21" i="1"/>
  <c r="AC18" i="1"/>
  <c r="AC19" i="1"/>
  <c r="AC21" i="1"/>
  <c r="AC22" i="1"/>
  <c r="AC23" i="1"/>
  <c r="AC24" i="1"/>
  <c r="AC25" i="1"/>
  <c r="Y18" i="1"/>
  <c r="Z18" i="1"/>
  <c r="Z19" i="1"/>
  <c r="Z21" i="1"/>
  <c r="Z22" i="1"/>
  <c r="Z23" i="1"/>
  <c r="Z24" i="1"/>
  <c r="Z25" i="1"/>
  <c r="Y19" i="1"/>
  <c r="Y21" i="1"/>
  <c r="Y22" i="1"/>
  <c r="Y23" i="1"/>
  <c r="Y24" i="1"/>
  <c r="Y25" i="1"/>
  <c r="Y26" i="1"/>
  <c r="Y27" i="1"/>
  <c r="X18" i="1"/>
  <c r="X19" i="1"/>
  <c r="X21" i="1"/>
  <c r="X22" i="1"/>
  <c r="X23" i="1"/>
  <c r="X24" i="1"/>
  <c r="W19" i="1"/>
  <c r="W21" i="1"/>
  <c r="W22" i="1"/>
  <c r="W23" i="1"/>
  <c r="W24" i="1"/>
  <c r="W25" i="1"/>
  <c r="V19" i="1"/>
  <c r="BP20" i="1"/>
  <c r="AW19" i="1"/>
  <c r="AV19" i="1"/>
  <c r="AX19" i="1"/>
  <c r="AY19" i="1"/>
  <c r="BX19" i="1"/>
  <c r="BX20" i="1"/>
  <c r="BW19" i="1"/>
  <c r="BV19" i="1"/>
  <c r="BT19" i="1"/>
  <c r="BT20" i="1"/>
  <c r="BR19" i="1"/>
  <c r="BQ20" i="1"/>
  <c r="BP19" i="1"/>
  <c r="BN19" i="1"/>
  <c r="BN20" i="1"/>
  <c r="BL19" i="1"/>
  <c r="BL20" i="1"/>
  <c r="BL21" i="1"/>
  <c r="CL11" i="1"/>
  <c r="CL12" i="1"/>
  <c r="CL13" i="1"/>
  <c r="CL14" i="1"/>
  <c r="CL15" i="1"/>
  <c r="AL8" i="1"/>
  <c r="CA2" i="1"/>
  <c r="CF3" i="1"/>
  <c r="CH3" i="1"/>
  <c r="CL3" i="1"/>
  <c r="CL4" i="1"/>
  <c r="CL5" i="1"/>
  <c r="CL6" i="1"/>
  <c r="CL7" i="1"/>
  <c r="CL8" i="1"/>
  <c r="CL9" i="1"/>
  <c r="CL10" i="1"/>
  <c r="CL16" i="1"/>
  <c r="CL2" i="1"/>
  <c r="CK3" i="1"/>
  <c r="CK4" i="1"/>
  <c r="CK5" i="1"/>
  <c r="CK6" i="1"/>
  <c r="CK7" i="1"/>
  <c r="CK8" i="1"/>
  <c r="CK9" i="1"/>
  <c r="CK10" i="1"/>
  <c r="CK11" i="1"/>
  <c r="CK12" i="1"/>
  <c r="CK2" i="1"/>
  <c r="CJ3" i="1"/>
  <c r="CJ4" i="1"/>
  <c r="CJ5" i="1"/>
  <c r="CJ6" i="1"/>
  <c r="CJ7" i="1"/>
  <c r="CJ8" i="1"/>
  <c r="CJ9" i="1"/>
  <c r="CJ10" i="1"/>
  <c r="CJ11" i="1"/>
  <c r="CJ12" i="1"/>
  <c r="CJ13" i="1"/>
  <c r="CJ14" i="1"/>
  <c r="CJ15" i="1"/>
  <c r="CJ2" i="1"/>
  <c r="CF4" i="1"/>
  <c r="CF5" i="1"/>
  <c r="CF6" i="1"/>
  <c r="CF7" i="1"/>
  <c r="CF8" i="1"/>
  <c r="CF9" i="1"/>
  <c r="CF10" i="1"/>
  <c r="CF11" i="1"/>
  <c r="CF12" i="1"/>
  <c r="CF2" i="1"/>
  <c r="BY20" i="1"/>
  <c r="BY19" i="1"/>
  <c r="CJ20" i="1"/>
  <c r="CL20" i="1"/>
  <c r="CJ19" i="1"/>
  <c r="CL19" i="1"/>
  <c r="CA3" i="1"/>
  <c r="CA4" i="1"/>
  <c r="CA5" i="1"/>
  <c r="CA6" i="1"/>
  <c r="CA7" i="1"/>
  <c r="CA8" i="1"/>
  <c r="CA9" i="1"/>
  <c r="CA10" i="1"/>
  <c r="CA11" i="1"/>
  <c r="CA12" i="1"/>
  <c r="F17" i="1"/>
  <c r="I11" i="1"/>
  <c r="CH2" i="1"/>
  <c r="CH4" i="1"/>
  <c r="CH5" i="1"/>
  <c r="CH6" i="1"/>
  <c r="CH7" i="1"/>
  <c r="CH8" i="1"/>
  <c r="CH9" i="1"/>
  <c r="CH10" i="1"/>
  <c r="CH11" i="1"/>
  <c r="CH12" i="1"/>
  <c r="CN16" i="1"/>
  <c r="AX16" i="1"/>
  <c r="CJ16" i="1" s="1"/>
  <c r="N15" i="1"/>
  <c r="BR9" i="1" l="1"/>
  <c r="AO14" i="1"/>
  <c r="AO15" i="1"/>
  <c r="BR15" i="1" s="1"/>
  <c r="AO16" i="1"/>
  <c r="AO17" i="1"/>
  <c r="BR17" i="1" s="1"/>
  <c r="AO18" i="1"/>
  <c r="BR18" i="1" s="1"/>
  <c r="BX2" i="1"/>
  <c r="BX3" i="1"/>
  <c r="BX4" i="1"/>
  <c r="BX5" i="1"/>
  <c r="BX6" i="1"/>
  <c r="BX7" i="1"/>
  <c r="BX8" i="1"/>
  <c r="BX9" i="1"/>
  <c r="BX10" i="1"/>
  <c r="BX11" i="1"/>
  <c r="BX12" i="1"/>
  <c r="BX13" i="1"/>
  <c r="BX14" i="1"/>
  <c r="BX15" i="1"/>
  <c r="BX16" i="1"/>
  <c r="BX17" i="1"/>
  <c r="BX18" i="1"/>
  <c r="BX21" i="1"/>
  <c r="BX22" i="1"/>
  <c r="BX23" i="1"/>
  <c r="BX24" i="1"/>
  <c r="BX25" i="1"/>
  <c r="BX26" i="1"/>
  <c r="BX27" i="1"/>
  <c r="BX28" i="1"/>
  <c r="P27" i="1"/>
  <c r="BS27" i="1" s="1"/>
  <c r="O27" i="1"/>
  <c r="P18" i="1"/>
  <c r="O28" i="1"/>
  <c r="P28" i="1"/>
  <c r="N28" i="1"/>
  <c r="B23" i="1"/>
  <c r="C23" i="1"/>
  <c r="D23" i="1"/>
  <c r="E23" i="1"/>
  <c r="F23" i="1"/>
  <c r="B24" i="1"/>
  <c r="C24" i="1"/>
  <c r="D24" i="1"/>
  <c r="E24" i="1"/>
  <c r="F24" i="1"/>
  <c r="I23" i="1"/>
  <c r="I24" i="1"/>
  <c r="K23" i="1"/>
  <c r="L23" i="1"/>
  <c r="M23" i="1"/>
  <c r="O23" i="1"/>
  <c r="K24" i="1"/>
  <c r="L24" i="1"/>
  <c r="M24" i="1"/>
  <c r="O24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L27" i="1"/>
  <c r="BM27" i="1"/>
  <c r="BN27" i="1"/>
  <c r="BO27" i="1"/>
  <c r="BP27" i="1"/>
  <c r="BQ27" i="1"/>
  <c r="BR27" i="1"/>
  <c r="BT27" i="1"/>
  <c r="BU27" i="1"/>
  <c r="BV27" i="1"/>
  <c r="BW27" i="1"/>
  <c r="BR2" i="1"/>
  <c r="BR3" i="1"/>
  <c r="BR4" i="1"/>
  <c r="BR5" i="1"/>
  <c r="BR6" i="1"/>
  <c r="BR7" i="1"/>
  <c r="BR8" i="1"/>
  <c r="BR10" i="1"/>
  <c r="BR11" i="1"/>
  <c r="BR12" i="1"/>
  <c r="BR14" i="1"/>
  <c r="BR16" i="1"/>
  <c r="AX17" i="1"/>
  <c r="CJ17" i="1" s="1"/>
  <c r="AV17" i="1"/>
  <c r="CC1" i="1"/>
  <c r="CC3" i="1"/>
  <c r="CC4" i="1"/>
  <c r="CC5" i="1"/>
  <c r="CC6" i="1"/>
  <c r="CC7" i="1"/>
  <c r="BE18" i="1"/>
  <c r="AY18" i="1"/>
  <c r="AY21" i="1"/>
  <c r="AY22" i="1"/>
  <c r="AY23" i="1"/>
  <c r="AY24" i="1"/>
  <c r="AY25" i="1"/>
  <c r="AY26" i="1"/>
  <c r="AX18" i="1"/>
  <c r="CJ18" i="1" s="1"/>
  <c r="AX21" i="1"/>
  <c r="CJ21" i="1" s="1"/>
  <c r="AX22" i="1"/>
  <c r="CJ22" i="1" s="1"/>
  <c r="AX23" i="1"/>
  <c r="CJ23" i="1" s="1"/>
  <c r="AX24" i="1"/>
  <c r="CJ24" i="1" s="1"/>
  <c r="AX25" i="1"/>
  <c r="CJ25" i="1" s="1"/>
  <c r="AX26" i="1"/>
  <c r="CJ26" i="1" s="1"/>
  <c r="AW18" i="1"/>
  <c r="AW21" i="1"/>
  <c r="AW22" i="1"/>
  <c r="AW23" i="1"/>
  <c r="AW24" i="1"/>
  <c r="AW25" i="1"/>
  <c r="AW26" i="1"/>
  <c r="AV18" i="1"/>
  <c r="AV21" i="1"/>
  <c r="AV22" i="1"/>
  <c r="AV23" i="1"/>
  <c r="AV24" i="1"/>
  <c r="AV25" i="1"/>
  <c r="AV26" i="1"/>
  <c r="AP17" i="1"/>
  <c r="CL18" i="1"/>
  <c r="CL21" i="1"/>
  <c r="CL22" i="1"/>
  <c r="CL23" i="1"/>
  <c r="CL24" i="1"/>
  <c r="CL25" i="1"/>
  <c r="CL26" i="1"/>
  <c r="BR21" i="1"/>
  <c r="BR22" i="1"/>
  <c r="BR23" i="1"/>
  <c r="BR24" i="1"/>
  <c r="BR25" i="1"/>
  <c r="BR26" i="1"/>
  <c r="CK18" i="1"/>
  <c r="CK21" i="1"/>
  <c r="CK22" i="1"/>
  <c r="CK23" i="1"/>
  <c r="CK25" i="1"/>
  <c r="AF18" i="1"/>
  <c r="AE18" i="1"/>
  <c r="AE25" i="1"/>
  <c r="AE26" i="1"/>
  <c r="AC26" i="1"/>
  <c r="Z26" i="1"/>
  <c r="X25" i="1"/>
  <c r="X26" i="1"/>
  <c r="W18" i="1"/>
  <c r="W26" i="1"/>
  <c r="V18" i="1"/>
  <c r="V21" i="1"/>
  <c r="V22" i="1"/>
  <c r="V23" i="1"/>
  <c r="V24" i="1"/>
  <c r="V25" i="1"/>
  <c r="V26" i="1"/>
  <c r="S22" i="1"/>
  <c r="S23" i="1"/>
  <c r="S24" i="1"/>
  <c r="S25" i="1"/>
  <c r="S26" i="1"/>
  <c r="P19" i="1"/>
  <c r="BS19" i="1" s="1"/>
  <c r="P21" i="1"/>
  <c r="P22" i="1"/>
  <c r="CF22" i="1" s="1"/>
  <c r="P23" i="1"/>
  <c r="CF23" i="1" s="1"/>
  <c r="P24" i="1"/>
  <c r="CF24" i="1" s="1"/>
  <c r="P25" i="1"/>
  <c r="CF25" i="1" s="1"/>
  <c r="P26" i="1"/>
  <c r="CF26" i="1" s="1"/>
  <c r="O18" i="1"/>
  <c r="O19" i="1"/>
  <c r="O21" i="1"/>
  <c r="O22" i="1"/>
  <c r="O25" i="1"/>
  <c r="O26" i="1"/>
  <c r="N17" i="1"/>
  <c r="M18" i="1"/>
  <c r="M19" i="1"/>
  <c r="M21" i="1"/>
  <c r="M22" i="1"/>
  <c r="M25" i="1"/>
  <c r="M26" i="1"/>
  <c r="L18" i="1"/>
  <c r="BM18" i="1" s="1"/>
  <c r="L19" i="1"/>
  <c r="BM19" i="1" s="1"/>
  <c r="BM20" i="1"/>
  <c r="L21" i="1"/>
  <c r="BM21" i="1" s="1"/>
  <c r="L22" i="1"/>
  <c r="BM22" i="1" s="1"/>
  <c r="BM23" i="1"/>
  <c r="BM24" i="1"/>
  <c r="L25" i="1"/>
  <c r="BM25" i="1" s="1"/>
  <c r="L26" i="1"/>
  <c r="BM26" i="1" s="1"/>
  <c r="K18" i="1"/>
  <c r="K19" i="1"/>
  <c r="K21" i="1"/>
  <c r="K22" i="1"/>
  <c r="K25" i="1"/>
  <c r="K26" i="1"/>
  <c r="I18" i="1"/>
  <c r="I19" i="1"/>
  <c r="I21" i="1"/>
  <c r="I22" i="1"/>
  <c r="I25" i="1"/>
  <c r="I26" i="1"/>
  <c r="F18" i="1"/>
  <c r="F19" i="1"/>
  <c r="F21" i="1"/>
  <c r="F22" i="1"/>
  <c r="F25" i="1"/>
  <c r="F26" i="1"/>
  <c r="E18" i="1"/>
  <c r="E19" i="1"/>
  <c r="E21" i="1"/>
  <c r="E22" i="1"/>
  <c r="E25" i="1"/>
  <c r="E26" i="1"/>
  <c r="E17" i="1"/>
  <c r="D17" i="1"/>
  <c r="CA17" i="1" s="1"/>
  <c r="D18" i="1"/>
  <c r="D19" i="1"/>
  <c r="D21" i="1"/>
  <c r="D22" i="1"/>
  <c r="D25" i="1"/>
  <c r="D26" i="1"/>
  <c r="C18" i="1"/>
  <c r="C19" i="1"/>
  <c r="C21" i="1"/>
  <c r="C22" i="1"/>
  <c r="C25" i="1"/>
  <c r="C26" i="1"/>
  <c r="B18" i="1"/>
  <c r="B19" i="1"/>
  <c r="BO19" i="1" s="1"/>
  <c r="BO20" i="1"/>
  <c r="B21" i="1"/>
  <c r="B22" i="1"/>
  <c r="B25" i="1"/>
  <c r="B26" i="1"/>
  <c r="C17" i="1"/>
  <c r="M17" i="1"/>
  <c r="X17" i="1"/>
  <c r="CK17" i="1"/>
  <c r="A7" i="76"/>
  <c r="A8" i="76"/>
  <c r="A9" i="76"/>
  <c r="A10" i="76"/>
  <c r="A11" i="76"/>
  <c r="A12" i="76"/>
  <c r="A13" i="76"/>
  <c r="A14" i="76"/>
  <c r="A15" i="76"/>
  <c r="A16" i="76"/>
  <c r="AQ17" i="1"/>
  <c r="CL17" i="1" s="1"/>
  <c r="AW17" i="1"/>
  <c r="BE14" i="1"/>
  <c r="BE15" i="1"/>
  <c r="BE16" i="1"/>
  <c r="BE17" i="1"/>
  <c r="AY17" i="1"/>
  <c r="AY16" i="1"/>
  <c r="AY15" i="1"/>
  <c r="AW14" i="1"/>
  <c r="AW15" i="1"/>
  <c r="AW16" i="1"/>
  <c r="AV16" i="1"/>
  <c r="BN16" i="1" s="1"/>
  <c r="AV14" i="1"/>
  <c r="AV15" i="1"/>
  <c r="AV13" i="1"/>
  <c r="AN16" i="1"/>
  <c r="AN14" i="1"/>
  <c r="AN15" i="1"/>
  <c r="BW16" i="1"/>
  <c r="AK13" i="1"/>
  <c r="AK14" i="1"/>
  <c r="AK15" i="1"/>
  <c r="AK16" i="1"/>
  <c r="AI16" i="1"/>
  <c r="AI14" i="1"/>
  <c r="AI15" i="1"/>
  <c r="CK16" i="1"/>
  <c r="AH14" i="1"/>
  <c r="CK14" i="1" s="1"/>
  <c r="AH15" i="1"/>
  <c r="CK15" i="1" s="1"/>
  <c r="AG16" i="1"/>
  <c r="AG14" i="1"/>
  <c r="AG15" i="1"/>
  <c r="AF17" i="1"/>
  <c r="AF16" i="1"/>
  <c r="BQ16" i="1" s="1"/>
  <c r="AF14" i="1"/>
  <c r="AF15" i="1"/>
  <c r="AE17" i="1"/>
  <c r="AE16" i="1"/>
  <c r="AE14" i="1"/>
  <c r="AE15" i="1"/>
  <c r="AD14" i="1"/>
  <c r="AD15" i="1"/>
  <c r="Z17" i="1"/>
  <c r="AA14" i="1"/>
  <c r="AB14" i="1"/>
  <c r="AA15" i="1"/>
  <c r="AB15" i="1"/>
  <c r="AA16" i="1"/>
  <c r="AB16" i="1"/>
  <c r="Z16" i="1"/>
  <c r="BV16" i="1" s="1"/>
  <c r="Z15" i="1"/>
  <c r="CH15" i="1" s="1"/>
  <c r="Z14" i="1"/>
  <c r="CH14" i="1" s="1"/>
  <c r="AA13" i="1"/>
  <c r="AB13" i="1"/>
  <c r="Z13" i="1"/>
  <c r="CH13" i="1" s="1"/>
  <c r="Y17" i="1"/>
  <c r="Y16" i="1"/>
  <c r="Y14" i="1"/>
  <c r="Y15" i="1"/>
  <c r="Y13" i="1"/>
  <c r="X16" i="1"/>
  <c r="W13" i="1"/>
  <c r="W17" i="1"/>
  <c r="W16" i="1"/>
  <c r="W14" i="1"/>
  <c r="W15" i="1"/>
  <c r="V17" i="1"/>
  <c r="V16" i="1"/>
  <c r="BP16" i="1" s="1"/>
  <c r="V14" i="1"/>
  <c r="V15" i="1"/>
  <c r="U16" i="1"/>
  <c r="U14" i="1"/>
  <c r="U15" i="1"/>
  <c r="T13" i="1"/>
  <c r="T14" i="1"/>
  <c r="T15" i="1"/>
  <c r="T16" i="1"/>
  <c r="P17" i="1"/>
  <c r="P16" i="1"/>
  <c r="P14" i="1"/>
  <c r="CF14" i="1" s="1"/>
  <c r="P15" i="1"/>
  <c r="CF15" i="1" s="1"/>
  <c r="P13" i="1"/>
  <c r="CF13" i="1" s="1"/>
  <c r="Q13" i="1"/>
  <c r="R13" i="1"/>
  <c r="Q14" i="1"/>
  <c r="R14" i="1"/>
  <c r="Q15" i="1"/>
  <c r="R15" i="1"/>
  <c r="O17" i="1"/>
  <c r="O16" i="1"/>
  <c r="O14" i="1"/>
  <c r="O15" i="1"/>
  <c r="N16" i="1"/>
  <c r="M16" i="1"/>
  <c r="M14" i="1"/>
  <c r="M15" i="1"/>
  <c r="L17" i="1"/>
  <c r="L16" i="1"/>
  <c r="BM16" i="1" s="1"/>
  <c r="L14" i="1"/>
  <c r="L15" i="1"/>
  <c r="K17" i="1"/>
  <c r="K16" i="1"/>
  <c r="K14" i="1"/>
  <c r="K15" i="1"/>
  <c r="K13" i="1"/>
  <c r="F14" i="1"/>
  <c r="CA14" i="1" s="1"/>
  <c r="F15" i="1"/>
  <c r="F16" i="1"/>
  <c r="E14" i="1"/>
  <c r="E15" i="1"/>
  <c r="E16" i="1"/>
  <c r="D14" i="1"/>
  <c r="D15" i="1"/>
  <c r="D16" i="1"/>
  <c r="C14" i="1"/>
  <c r="C15" i="1"/>
  <c r="C16" i="1"/>
  <c r="B14" i="1"/>
  <c r="B15" i="1"/>
  <c r="B16" i="1"/>
  <c r="BO16" i="1" s="1"/>
  <c r="B17" i="1"/>
  <c r="A4" i="76"/>
  <c r="A5" i="76"/>
  <c r="A6" i="76"/>
  <c r="G16" i="1"/>
  <c r="H16" i="1"/>
  <c r="G15" i="1"/>
  <c r="H15" i="1"/>
  <c r="BL16" i="1"/>
  <c r="BT16" i="1"/>
  <c r="CA18" i="1" l="1"/>
  <c r="CA25" i="1"/>
  <c r="CF20" i="1"/>
  <c r="BS20" i="1"/>
  <c r="BU19" i="1"/>
  <c r="CA19" i="1"/>
  <c r="BU20" i="1"/>
  <c r="CA20" i="1"/>
  <c r="BU16" i="1"/>
  <c r="CA16" i="1"/>
  <c r="CA15" i="1"/>
  <c r="CF19" i="1"/>
  <c r="CA24" i="1"/>
  <c r="CA26" i="1"/>
  <c r="CK26" i="1"/>
  <c r="BS16" i="1"/>
  <c r="CF16" i="1"/>
  <c r="CF17" i="1"/>
  <c r="CA22" i="1"/>
  <c r="CA23" i="1"/>
  <c r="CA21" i="1"/>
  <c r="CF21" i="1"/>
  <c r="CK24" i="1"/>
  <c r="CF18" i="1"/>
  <c r="CC14" i="1"/>
  <c r="CH21" i="1"/>
  <c r="CC21" i="1"/>
  <c r="CH22" i="1"/>
  <c r="CH24" i="1"/>
  <c r="CH19" i="1"/>
  <c r="CC25" i="1"/>
  <c r="CH26" i="1"/>
  <c r="CH18" i="1"/>
  <c r="CC24" i="1"/>
  <c r="CH25" i="1"/>
  <c r="CC20" i="1"/>
  <c r="CC23" i="1"/>
  <c r="CC22" i="1"/>
  <c r="CH23" i="1"/>
  <c r="CC19" i="1"/>
  <c r="CC26" i="1"/>
  <c r="CC18" i="1"/>
  <c r="CC16" i="1"/>
  <c r="CC15" i="1"/>
  <c r="CH16" i="1"/>
  <c r="CH17" i="1"/>
  <c r="CC17" i="1"/>
  <c r="BN17" i="1"/>
  <c r="BN18" i="1"/>
  <c r="BN21" i="1"/>
  <c r="BN22" i="1"/>
  <c r="BN25" i="1"/>
  <c r="BN26" i="1"/>
  <c r="AY14" i="1"/>
  <c r="BW15" i="1"/>
  <c r="BW17" i="1"/>
  <c r="BW18" i="1"/>
  <c r="BW21" i="1"/>
  <c r="BW23" i="1"/>
  <c r="BW24" i="1"/>
  <c r="BW25" i="1"/>
  <c r="BW26" i="1"/>
  <c r="BQ14" i="1"/>
  <c r="BQ15" i="1"/>
  <c r="BQ17" i="1"/>
  <c r="BQ21" i="1"/>
  <c r="BQ22" i="1"/>
  <c r="BQ23" i="1"/>
  <c r="BQ24" i="1"/>
  <c r="BQ25" i="1"/>
  <c r="BQ26" i="1"/>
  <c r="BV14" i="1"/>
  <c r="BV15" i="1"/>
  <c r="BV17" i="1"/>
  <c r="BV18" i="1"/>
  <c r="BV21" i="1"/>
  <c r="BV22" i="1"/>
  <c r="BV23" i="1"/>
  <c r="BV24" i="1"/>
  <c r="BV25" i="1"/>
  <c r="BV26" i="1"/>
  <c r="BP15" i="1"/>
  <c r="BP17" i="1"/>
  <c r="BP18" i="1"/>
  <c r="BP21" i="1"/>
  <c r="BP22" i="1"/>
  <c r="BP23" i="1"/>
  <c r="BP24" i="1"/>
  <c r="BP25" i="1"/>
  <c r="BP26" i="1"/>
  <c r="BS17" i="1"/>
  <c r="BS18" i="1"/>
  <c r="BS21" i="1"/>
  <c r="BS22" i="1"/>
  <c r="BS23" i="1"/>
  <c r="BS24" i="1"/>
  <c r="BS25" i="1"/>
  <c r="BS26" i="1"/>
  <c r="BM14" i="1"/>
  <c r="BM15" i="1"/>
  <c r="BM17" i="1"/>
  <c r="C13" i="1"/>
  <c r="BU17" i="1"/>
  <c r="BU18" i="1"/>
  <c r="BU21" i="1"/>
  <c r="BU22" i="1"/>
  <c r="BU23" i="1"/>
  <c r="BU24" i="1"/>
  <c r="BU25" i="1"/>
  <c r="BU26" i="1"/>
  <c r="F13" i="1"/>
  <c r="CA13" i="1" s="1"/>
  <c r="BO18" i="1"/>
  <c r="BO21" i="1"/>
  <c r="BO24" i="1"/>
  <c r="BO25" i="1"/>
  <c r="BO26" i="1"/>
  <c r="B13" i="1"/>
  <c r="BO13" i="1" s="1"/>
  <c r="BT14" i="1"/>
  <c r="BT15" i="1"/>
  <c r="BT17" i="1"/>
  <c r="BT18" i="1"/>
  <c r="BT21" i="1"/>
  <c r="BT22" i="1"/>
  <c r="BT23" i="1"/>
  <c r="BT24" i="1"/>
  <c r="BT25" i="1"/>
  <c r="BT26" i="1"/>
  <c r="BS14" i="1"/>
  <c r="BS15" i="1"/>
  <c r="BQ18" i="1"/>
  <c r="BL13" i="1"/>
  <c r="BL14" i="1"/>
  <c r="BL15" i="1"/>
  <c r="BL17" i="1"/>
  <c r="BL18" i="1"/>
  <c r="BL22" i="1"/>
  <c r="BL23" i="1"/>
  <c r="BL24" i="1"/>
  <c r="BL25" i="1"/>
  <c r="BL26" i="1"/>
  <c r="BN15" i="1"/>
  <c r="BO15" i="1"/>
  <c r="BU15" i="1"/>
  <c r="AN13" i="1"/>
  <c r="A3" i="76"/>
  <c r="A2" i="76"/>
  <c r="BE13" i="1"/>
  <c r="AW13" i="1"/>
  <c r="AY13" i="1"/>
  <c r="AG13" i="1"/>
  <c r="AH13" i="1"/>
  <c r="CK13" i="1" s="1"/>
  <c r="AI13" i="1"/>
  <c r="AF13" i="1"/>
  <c r="AE13" i="1"/>
  <c r="V13" i="1"/>
  <c r="U13" i="1"/>
  <c r="M13" i="1"/>
  <c r="O13" i="1"/>
  <c r="L13" i="1"/>
  <c r="E13" i="1"/>
  <c r="G13" i="1"/>
  <c r="H13" i="1"/>
  <c r="CB8" i="1"/>
  <c r="K11" i="1"/>
  <c r="K10" i="1"/>
  <c r="K9" i="1"/>
  <c r="AE12" i="1"/>
  <c r="AE11" i="1"/>
  <c r="AE8" i="1"/>
  <c r="BE12" i="1"/>
  <c r="BE11" i="1"/>
  <c r="BE10" i="1"/>
  <c r="BE9" i="1"/>
  <c r="BE8" i="1"/>
  <c r="AN8" i="1"/>
  <c r="AE10" i="1"/>
  <c r="AE9" i="1"/>
  <c r="U12" i="1"/>
  <c r="U11" i="1"/>
  <c r="U9" i="1"/>
  <c r="U10" i="1"/>
  <c r="U8" i="1"/>
  <c r="K8" i="1"/>
  <c r="K12" i="1"/>
  <c r="BW14" i="1"/>
  <c r="BW22" i="1"/>
  <c r="BU14" i="1"/>
  <c r="BP14" i="1"/>
  <c r="BO14" i="1"/>
  <c r="BO17" i="1"/>
  <c r="BO22" i="1"/>
  <c r="BO23" i="1"/>
  <c r="BN14" i="1"/>
  <c r="BN23" i="1"/>
  <c r="BN24" i="1"/>
  <c r="CC13" i="1" l="1"/>
  <c r="CC9" i="1"/>
  <c r="CC11" i="1"/>
  <c r="CC12" i="1"/>
  <c r="CC8" i="1"/>
  <c r="CC10" i="1"/>
  <c r="BQ13" i="1"/>
  <c r="BT13" i="1"/>
  <c r="BM13" i="1"/>
  <c r="BN13" i="1"/>
  <c r="BS13" i="1"/>
  <c r="BU13" i="1"/>
  <c r="BW13" i="1"/>
  <c r="BV13" i="1"/>
  <c r="BP13" i="1"/>
  <c r="Z3" i="1"/>
  <c r="CG3" i="1"/>
  <c r="P2" i="1"/>
  <c r="BZ2" i="1"/>
  <c r="H4" i="73"/>
  <c r="H5" i="73"/>
  <c r="H6" i="73"/>
  <c r="H7" i="73"/>
  <c r="H8" i="73"/>
  <c r="H9" i="73"/>
  <c r="H10" i="73"/>
  <c r="H11" i="73"/>
  <c r="H12" i="73"/>
  <c r="H13" i="73"/>
  <c r="H14" i="73"/>
  <c r="H3" i="73"/>
  <c r="D4" i="73"/>
  <c r="D5" i="73"/>
  <c r="D6" i="73"/>
  <c r="D7" i="73"/>
  <c r="D8" i="73"/>
  <c r="D9" i="73"/>
  <c r="D10" i="73"/>
  <c r="D11" i="73"/>
  <c r="D12" i="73"/>
  <c r="D13" i="73"/>
  <c r="D14" i="73"/>
  <c r="D3" i="73"/>
  <c r="R26" i="72"/>
  <c r="T26" i="72"/>
  <c r="M25" i="72"/>
  <c r="N21" i="72"/>
  <c r="K25" i="72"/>
  <c r="L21" i="72"/>
  <c r="M14" i="72"/>
  <c r="O12" i="72"/>
  <c r="O13" i="72"/>
  <c r="O14" i="72"/>
  <c r="O15" i="72"/>
  <c r="O1" i="72"/>
  <c r="O2" i="72"/>
  <c r="O3" i="72"/>
  <c r="O4" i="72"/>
  <c r="O5" i="72"/>
  <c r="O6" i="72"/>
  <c r="O7" i="72"/>
  <c r="O8" i="72"/>
  <c r="O9" i="72"/>
  <c r="O10" i="72"/>
  <c r="O11" i="72"/>
  <c r="L2" i="72"/>
  <c r="L3" i="72"/>
  <c r="L4" i="72"/>
  <c r="L5" i="72"/>
  <c r="L6" i="72"/>
  <c r="L7" i="72"/>
  <c r="L8" i="72"/>
  <c r="L9" i="72"/>
  <c r="L10" i="72"/>
  <c r="L11" i="72"/>
  <c r="L1" i="72"/>
  <c r="C4" i="72"/>
  <c r="C4" i="71"/>
  <c r="C2" i="71"/>
  <c r="C3" i="71"/>
  <c r="C5" i="71"/>
  <c r="C1" i="71"/>
  <c r="CB9" i="1"/>
  <c r="CB10" i="1"/>
  <c r="CB11" i="1"/>
  <c r="CB12" i="1"/>
  <c r="BN10" i="1"/>
  <c r="BN2" i="1"/>
  <c r="BN3" i="1"/>
  <c r="BN4" i="1"/>
  <c r="BN5" i="1"/>
  <c r="BN6" i="1"/>
  <c r="BN7" i="1"/>
  <c r="BN8" i="1"/>
  <c r="BN9" i="1"/>
  <c r="BN11" i="1"/>
  <c r="BN12" i="1"/>
  <c r="I70" i="70"/>
  <c r="I69" i="70"/>
  <c r="K69" i="70" s="1"/>
  <c r="I68" i="70"/>
  <c r="K68" i="70" s="1"/>
  <c r="I67" i="70"/>
  <c r="I66" i="70"/>
  <c r="K66" i="70" s="1"/>
  <c r="I65" i="70"/>
  <c r="I64" i="70"/>
  <c r="K64" i="70" s="1"/>
  <c r="I63" i="70"/>
  <c r="I62" i="70"/>
  <c r="K62" i="70" s="1"/>
  <c r="L62" i="70" s="1"/>
  <c r="I61" i="70"/>
  <c r="K61" i="70" s="1"/>
  <c r="I60" i="70"/>
  <c r="I59" i="70"/>
  <c r="I58" i="70"/>
  <c r="K58" i="70" s="1"/>
  <c r="L58" i="70" s="1"/>
  <c r="I57" i="70"/>
  <c r="K57" i="70" s="1"/>
  <c r="L57" i="70" s="1"/>
  <c r="I56" i="70"/>
  <c r="I55" i="70"/>
  <c r="I54" i="70"/>
  <c r="I53" i="70"/>
  <c r="K53" i="70" s="1"/>
  <c r="L53" i="70" s="1"/>
  <c r="I52" i="70"/>
  <c r="I51" i="70"/>
  <c r="I50" i="70"/>
  <c r="I49" i="70"/>
  <c r="I48" i="70"/>
  <c r="K48" i="70" s="1"/>
  <c r="I47" i="70"/>
  <c r="K46" i="70"/>
  <c r="L46" i="70" s="1"/>
  <c r="I46" i="70"/>
  <c r="I45" i="70"/>
  <c r="I44" i="70"/>
  <c r="K44" i="70" s="1"/>
  <c r="I43" i="70"/>
  <c r="I42" i="70"/>
  <c r="K42" i="70" s="1"/>
  <c r="L42" i="70" s="1"/>
  <c r="I41" i="70"/>
  <c r="K41" i="70" s="1"/>
  <c r="L41" i="70" s="1"/>
  <c r="I40" i="70"/>
  <c r="K40" i="70" s="1"/>
  <c r="I39" i="70"/>
  <c r="I38" i="70"/>
  <c r="I37" i="70"/>
  <c r="K37" i="70" s="1"/>
  <c r="L37" i="70" s="1"/>
  <c r="I36" i="70"/>
  <c r="K36" i="70" s="1"/>
  <c r="I35" i="70"/>
  <c r="I34" i="70"/>
  <c r="K34" i="70" s="1"/>
  <c r="I33" i="70"/>
  <c r="I32" i="70"/>
  <c r="K32" i="70" s="1"/>
  <c r="I31" i="70"/>
  <c r="M30" i="70"/>
  <c r="I30" i="70"/>
  <c r="I29" i="70"/>
  <c r="I28" i="70"/>
  <c r="K28" i="70" s="1"/>
  <c r="L28" i="70" s="1"/>
  <c r="I27" i="70"/>
  <c r="I26" i="70"/>
  <c r="I25" i="70"/>
  <c r="I24" i="70"/>
  <c r="I23" i="70"/>
  <c r="K23" i="70" s="1"/>
  <c r="I22" i="70"/>
  <c r="K21" i="70"/>
  <c r="L21" i="70" s="1"/>
  <c r="I21" i="70"/>
  <c r="I20" i="70"/>
  <c r="K20" i="70" s="1"/>
  <c r="L20" i="70" s="1"/>
  <c r="M20" i="70" s="1"/>
  <c r="I19" i="70"/>
  <c r="K19" i="70" s="1"/>
  <c r="I18" i="70"/>
  <c r="I17" i="70"/>
  <c r="I16" i="70"/>
  <c r="K16" i="70" s="1"/>
  <c r="L16" i="70" s="1"/>
  <c r="K15" i="70"/>
  <c r="L15" i="70" s="1"/>
  <c r="I15" i="70"/>
  <c r="I14" i="70"/>
  <c r="N13" i="70"/>
  <c r="J13" i="70"/>
  <c r="I13" i="70"/>
  <c r="J12" i="70"/>
  <c r="I12" i="70"/>
  <c r="J11" i="70"/>
  <c r="I11" i="70"/>
  <c r="J10" i="70"/>
  <c r="I10" i="70"/>
  <c r="J9" i="70"/>
  <c r="I9" i="70"/>
  <c r="J8" i="70"/>
  <c r="I8" i="70"/>
  <c r="J7" i="70"/>
  <c r="I7" i="70"/>
  <c r="J6" i="70"/>
  <c r="I6" i="70"/>
  <c r="J5" i="70"/>
  <c r="I5" i="70"/>
  <c r="J4" i="70"/>
  <c r="V5" i="70"/>
  <c r="J3" i="70"/>
  <c r="I3" i="70"/>
  <c r="J2" i="70"/>
  <c r="I2" i="70"/>
  <c r="K25" i="70" l="1"/>
  <c r="L25" i="70" s="1"/>
  <c r="K45" i="70"/>
  <c r="L45" i="70" s="1"/>
  <c r="K50" i="70"/>
  <c r="L50" i="70" s="1"/>
  <c r="K2" i="70"/>
  <c r="L2" i="70" s="1"/>
  <c r="K3" i="70"/>
  <c r="L3" i="70" s="1"/>
  <c r="K4" i="70"/>
  <c r="L4" i="70" s="1"/>
  <c r="K5" i="70"/>
  <c r="L5" i="70" s="1"/>
  <c r="K6" i="70"/>
  <c r="L6" i="70" s="1"/>
  <c r="K7" i="70"/>
  <c r="L7" i="70" s="1"/>
  <c r="K8" i="70"/>
  <c r="L8" i="70" s="1"/>
  <c r="K9" i="70"/>
  <c r="L9" i="70" s="1"/>
  <c r="K10" i="70"/>
  <c r="L10" i="70" s="1"/>
  <c r="K11" i="70"/>
  <c r="L11" i="70" s="1"/>
  <c r="K12" i="70"/>
  <c r="L12" i="70" s="1"/>
  <c r="K13" i="70"/>
  <c r="L13" i="70" s="1"/>
  <c r="M13" i="70" s="1"/>
  <c r="K14" i="70"/>
  <c r="L14" i="70" s="1"/>
  <c r="L19" i="70"/>
  <c r="K24" i="70"/>
  <c r="L24" i="70" s="1"/>
  <c r="K29" i="70"/>
  <c r="L29" i="70" s="1"/>
  <c r="K33" i="70"/>
  <c r="L33" i="70" s="1"/>
  <c r="L34" i="70"/>
  <c r="K38" i="70"/>
  <c r="L38" i="70" s="1"/>
  <c r="L44" i="70"/>
  <c r="K49" i="70"/>
  <c r="L49" i="70" s="1"/>
  <c r="K54" i="70"/>
  <c r="L54" i="70" s="1"/>
  <c r="K56" i="70"/>
  <c r="L56" i="70" s="1"/>
  <c r="L60" i="70"/>
  <c r="L61" i="70"/>
  <c r="K65" i="70"/>
  <c r="L65" i="70" s="1"/>
  <c r="L66" i="70"/>
  <c r="L36" i="70"/>
  <c r="L68" i="70"/>
  <c r="K27" i="70"/>
  <c r="L27" i="70" s="1"/>
  <c r="L40" i="70"/>
  <c r="K52" i="70"/>
  <c r="L52" i="70" s="1"/>
  <c r="K18" i="70"/>
  <c r="L18" i="70" s="1"/>
  <c r="L23" i="70"/>
  <c r="L32" i="70"/>
  <c r="L48" i="70"/>
  <c r="K60" i="70"/>
  <c r="L64" i="70"/>
  <c r="L69" i="70"/>
  <c r="K17" i="70"/>
  <c r="L17" i="70" s="1"/>
  <c r="K22" i="70"/>
  <c r="L22" i="70" s="1"/>
  <c r="K26" i="70"/>
  <c r="L26" i="70" s="1"/>
  <c r="K30" i="70"/>
  <c r="L30" i="70" s="1"/>
  <c r="K31" i="70"/>
  <c r="L31" i="70" s="1"/>
  <c r="K35" i="70"/>
  <c r="L35" i="70" s="1"/>
  <c r="K39" i="70"/>
  <c r="L39" i="70" s="1"/>
  <c r="K43" i="70"/>
  <c r="L43" i="70" s="1"/>
  <c r="K47" i="70"/>
  <c r="L47" i="70" s="1"/>
  <c r="K51" i="70"/>
  <c r="L51" i="70" s="1"/>
  <c r="K55" i="70"/>
  <c r="L55" i="70" s="1"/>
  <c r="K59" i="70"/>
  <c r="L59" i="70" s="1"/>
  <c r="K63" i="70"/>
  <c r="L63" i="70" s="1"/>
  <c r="K67" i="70"/>
  <c r="L67" i="70" s="1"/>
  <c r="K70" i="70"/>
  <c r="L70" i="70" s="1"/>
  <c r="F2" i="1" l="1"/>
  <c r="CC2" i="1" l="1"/>
  <c r="BL11" i="1"/>
  <c r="BL12" i="1"/>
  <c r="BM11" i="1"/>
  <c r="BM12" i="1"/>
  <c r="BO11" i="1"/>
  <c r="BO12" i="1"/>
  <c r="BP11" i="1"/>
  <c r="BP12" i="1"/>
  <c r="BQ11" i="1"/>
  <c r="BQ12" i="1"/>
  <c r="BS11" i="1"/>
  <c r="BS12" i="1"/>
  <c r="BT11" i="1"/>
  <c r="BT12" i="1"/>
  <c r="BU11" i="1"/>
  <c r="BU12" i="1"/>
  <c r="BV11" i="1"/>
  <c r="BV12" i="1"/>
  <c r="BW11" i="1"/>
  <c r="BW12" i="1"/>
  <c r="BM10" i="1"/>
  <c r="BL10" i="1"/>
  <c r="BO10" i="1"/>
  <c r="BP10" i="1"/>
  <c r="BQ10" i="1"/>
  <c r="BS10" i="1"/>
  <c r="BT10" i="1"/>
  <c r="BU10" i="1"/>
  <c r="BV10" i="1"/>
  <c r="BW10" i="1"/>
  <c r="BM5" i="1"/>
  <c r="BM4" i="1"/>
  <c r="BL5" i="1" l="1"/>
  <c r="BL6" i="1"/>
  <c r="BL7" i="1"/>
  <c r="BL8" i="1"/>
  <c r="BL9" i="1"/>
  <c r="BM6" i="1"/>
  <c r="BM7" i="1"/>
  <c r="BM8" i="1"/>
  <c r="BM9" i="1"/>
  <c r="BO5" i="1"/>
  <c r="BO6" i="1"/>
  <c r="BO7" i="1"/>
  <c r="BO8" i="1"/>
  <c r="BO9" i="1"/>
  <c r="BP5" i="1"/>
  <c r="BP6" i="1"/>
  <c r="BP7" i="1"/>
  <c r="BP8" i="1"/>
  <c r="BP9" i="1"/>
  <c r="BQ5" i="1"/>
  <c r="BQ6" i="1"/>
  <c r="BQ7" i="1"/>
  <c r="BQ8" i="1"/>
  <c r="BQ9" i="1"/>
  <c r="BS5" i="1"/>
  <c r="BS6" i="1"/>
  <c r="BS7" i="1"/>
  <c r="BS8" i="1"/>
  <c r="BS9" i="1"/>
  <c r="BT5" i="1"/>
  <c r="BT6" i="1"/>
  <c r="BT7" i="1"/>
  <c r="BT8" i="1"/>
  <c r="BT9" i="1"/>
  <c r="BU5" i="1"/>
  <c r="BU6" i="1"/>
  <c r="BU7" i="1"/>
  <c r="BU8" i="1"/>
  <c r="BU9" i="1"/>
  <c r="BV5" i="1"/>
  <c r="BV6" i="1"/>
  <c r="BV7" i="1"/>
  <c r="BV8" i="1"/>
  <c r="BV9" i="1"/>
  <c r="BW5" i="1"/>
  <c r="BW6" i="1"/>
  <c r="BW7" i="1"/>
  <c r="BW8" i="1"/>
  <c r="BW9" i="1"/>
  <c r="BW2" i="1"/>
  <c r="BW3" i="1"/>
  <c r="BW4" i="1"/>
  <c r="BV2" i="1"/>
  <c r="BV3" i="1"/>
  <c r="BV4" i="1"/>
  <c r="BU2" i="1"/>
  <c r="BU3" i="1"/>
  <c r="BU4" i="1"/>
  <c r="BT2" i="1"/>
  <c r="BT3" i="1"/>
  <c r="BT4" i="1"/>
  <c r="BS2" i="1"/>
  <c r="BS3" i="1"/>
  <c r="BS4" i="1"/>
  <c r="BQ2" i="1"/>
  <c r="BQ3" i="1"/>
  <c r="BQ4" i="1"/>
  <c r="BP2" i="1"/>
  <c r="BP3" i="1"/>
  <c r="BP4" i="1"/>
  <c r="BO2" i="1"/>
  <c r="BO3" i="1"/>
  <c r="BO4" i="1"/>
  <c r="BM2" i="1"/>
  <c r="BM3" i="1"/>
  <c r="BL2" i="1"/>
  <c r="BL3" i="1"/>
  <c r="BL4" i="1"/>
  <c r="AK2" i="76"/>
  <c r="BR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cel Bluepoint Upload and Tracker1 1" type="100" refreshedVersion="8">
    <extLst>
      <ext xmlns:x15="http://schemas.microsoft.com/office/spreadsheetml/2010/11/main" uri="{DE250136-89BD-433C-8126-D09CA5730AF9}">
        <x15:connection id="9ca43cd4-5db2-422e-9b10-fb159b88f689"/>
      </ext>
    </extLst>
  </connection>
  <connection id="2" xr16:uid="{00000000-0015-0000-FFFF-FFFF01000000}" keepAlive="1" name="ModelConnection_ExternalData_1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keepAlive="1" name="ModelConnection_ExternalData_13" description="Data Model" type="5" refreshedVersion="8" minRefreshableVersion="5" saveData="1">
    <dbPr connection="Data Model Connection" command="DRILLTHROUGH MAXROWS 1000 SELECT FROM [Model] WHERE (([Measures].[Sum of DUR Total ZAR],[Table1].[Date].&amp;[2021-11-01T00:00:00])) RETURN [$Table1].[Date],[$Table1].[Aces - Mediclinic Vergelegen Energy produced (kWh)],[$Table1].[Aces - Mediclinic Vergelegen PR (%)],[$Table1].[Aces - Mediclinic Vergelegen Energy Irradiated (kWh/m²)],[$Table1].[Aces - Mediclinic Vergelegen Availability (%)],[$Table1].[Aces - Mediclinic Vergelegen P50 (kWh)],[$Table1].[Aces - Mediclinic Vergelegen estimatedPOA],[$Table1].[Aces - Mediclinic Vergelegen PRP50],[$Table1].[Aces - Mediclinic Midstream Energy produced (kWh)2],[$Table1].[Aces - Mediclinic Midstream PR (%)],[$Table1].[Aces - Mediclinic Midstream Energy Irradiated (kWh/m²)],[$Table1].[Aces - Mediclinic Midstream Availability (%)],[$Table1].[Aces - Mediclinic Midstream P50 (kWh)],[$Table1].[Aces - Mediclinic Midstream estimatedPOA],[$Table1].[Aces - Mediclinic Midstream PRP508],[$Table1].[Aces - Mediclinic Durbanville Energy produced (kWh)],[$Table1].[Aces - Mediclinic Durbanville PR (%)],[$Table1].[Aces - Mediclinic Durbanville Energy Irradiated (kWh/m²)11],[$Table1].[Aces - Mediclinic Durbanville Availability (%)],[$Table1].[Aces - Mediclinic Durbanville P50 (kWh)],[$Table1].[Aces - Mediclinic Durbanville estimatedPOA],[$Table1].[Aces - Mediclinic Durbanville PRP50],[$Table1].[Aces - Mediclinic Hermanus Energy produced (kWh)],[$Table1].[Aces - Mediclinic Hermanus PR (%)],[$Table1].[Aces - Mediclinic Hermanus Energy Irradiated (kWh/m²)],[$Table1].[Aces - Mediclinic Hermanus Availability (%)],[$Table1].[Aces - Mediclinic HermanusP50 (kWh)],[$Table1].[Aces - Mediclinic Hermanus estimatedPOA],[$Table1].[Aces - Mediclinic Hermanus PRP50],[$Table1].[Aces - Mediclinic Highveld Energy produced (kWh)],[$Table1].[Aces - Mediclinic Highveld PR (%)],[$Table1].[Aces - Mediclinic Highveld Energy Irradiated (kWh/m²)],[$Table1].[Aces - Mediclinic Highveld Availability (%)],[$Table1].[Aces - Mediclinic Highveld P50 (kWh)],[$Table1].[Aces - Mediclinic Highveld estimatedPOA],[$Table1].[Aces - Mediclinic Highveld PRP50],[$Table1].[Veregelegen production Varriance],[$Table1].[Midstream Production Variance],[$Table1].[Durbanville Production variance],[$Table1].[Hermanus production variance],[$Table1].[Highveld  production Variance],[$Table1].[Vergelegen  PR variance],[$Table1].[Midstream PR Variance],[$Table1].[Durbanville],[$Table1].[Mid ZAR/kWh],[$Table1].[HIG ZAR/kWh],[$Table1].[VER ZAR/kWh],[$Table1].[DUR ZAR/kWh],[$Table1].[HER ZAR/kWh2],[$Table1].[Vat],[$Table1].[MID Total ZAR],[$Table1].[HIG Total ZAR],[$Table1].[VER Total ZAR],[$Table1].[DUR Total ZAR],[$Table1].[HER  Total  ZAR],[$Table1].[Forecast MID Total ZAR2],[$Table1].[Forecast HIG Total ZAR3],[$Table1].[Forecast  VER Total ZAR4],[$Table1].[Forecast  DUR Total ZAR5],[$Table1].[Forecast HER  Total  ZAR6],[$Table1].[Date (Month Index)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00000000-0015-0000-FFFF-FFFF04000000}" name="WorksheetConnection_dataExport (6).xlsx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dataExport6.xlsxTable11"/>
        </x15:connection>
      </ext>
    </extLst>
  </connection>
</connections>
</file>

<file path=xl/sharedStrings.xml><?xml version="1.0" encoding="utf-8"?>
<sst xmlns="http://schemas.openxmlformats.org/spreadsheetml/2006/main" count="583" uniqueCount="203">
  <si>
    <t>Month</t>
  </si>
  <si>
    <t>Grand Total</t>
  </si>
  <si>
    <t>Durbanville</t>
  </si>
  <si>
    <t>Hermanus</t>
  </si>
  <si>
    <t>Row Labels</t>
  </si>
  <si>
    <t>Ghi</t>
  </si>
  <si>
    <t>POA</t>
  </si>
  <si>
    <t>Grid</t>
  </si>
  <si>
    <t xml:space="preserve">  Jan</t>
  </si>
  <si>
    <t xml:space="preserve">  Feb</t>
  </si>
  <si>
    <t xml:space="preserve">  Mar</t>
  </si>
  <si>
    <t xml:space="preserve">  Apr</t>
  </si>
  <si>
    <t xml:space="preserve">  May</t>
  </si>
  <si>
    <t xml:space="preserve">  Jun</t>
  </si>
  <si>
    <t xml:space="preserve">  Jul</t>
  </si>
  <si>
    <t xml:space="preserve">  Aug</t>
  </si>
  <si>
    <t xml:space="preserve">  Sep</t>
  </si>
  <si>
    <t xml:space="preserve">  Oct</t>
  </si>
  <si>
    <t xml:space="preserve">  Nov</t>
  </si>
  <si>
    <t xml:space="preserve">  Dec</t>
  </si>
  <si>
    <t>Highveld</t>
  </si>
  <si>
    <t>Date</t>
  </si>
  <si>
    <t>Plant ID</t>
  </si>
  <si>
    <t>MID-001</t>
  </si>
  <si>
    <t>VER-001</t>
  </si>
  <si>
    <t>DUR-001</t>
  </si>
  <si>
    <t>HER-001</t>
  </si>
  <si>
    <t>HIG-001</t>
  </si>
  <si>
    <t>Value</t>
  </si>
  <si>
    <t>Meter</t>
  </si>
  <si>
    <t>Gross Generation</t>
  </si>
  <si>
    <t>Sum of Durbanville</t>
  </si>
  <si>
    <t>Forecast</t>
  </si>
  <si>
    <t>Availability Guaranteed (%)</t>
  </si>
  <si>
    <t>Data returned for Sum of DUR Total ZAR, 2021/11/01 (First 1000 rows).</t>
  </si>
  <si>
    <t>Table1[Date]</t>
  </si>
  <si>
    <t>Table1[Aces - Mediclinic Vergelegen Energy produced (kWh)]</t>
  </si>
  <si>
    <t>Table1[Aces - Mediclinic Vergelegen PR (%)]</t>
  </si>
  <si>
    <t>Table1[Aces - Mediclinic Vergelegen Energy Irradiated (kWh/m²)]</t>
  </si>
  <si>
    <t>Table1[Aces - Mediclinic Vergelegen Availability (%)]</t>
  </si>
  <si>
    <t>Table1[Aces - Mediclinic Vergelegen P50 (kWh)]</t>
  </si>
  <si>
    <t>Table1[Aces - Mediclinic Vergelegen estimatedPOA]</t>
  </si>
  <si>
    <t>Table1[Aces - Mediclinic Vergelegen PRP50]</t>
  </si>
  <si>
    <t>Table1[Aces - Mediclinic Midstream Energy produced (kWh)2]</t>
  </si>
  <si>
    <t>Table1[Aces - Mediclinic Midstream PR (%)]</t>
  </si>
  <si>
    <t>Table1[Aces - Mediclinic Midstream Energy Irradiated (kWh/m²)]</t>
  </si>
  <si>
    <t>Table1[Aces - Mediclinic Midstream Availability (%)]</t>
  </si>
  <si>
    <t>Table1[Aces - Mediclinic Midstream P50 (kWh)]</t>
  </si>
  <si>
    <t>Table1[Aces - Mediclinic Midstream estimatedPOA]</t>
  </si>
  <si>
    <t>Table1[Aces - Mediclinic Midstream PRP508]</t>
  </si>
  <si>
    <t>Table1[Aces - Mediclinic Durbanville Energy produced (kWh)]</t>
  </si>
  <si>
    <t>Table1[Aces - Mediclinic Durbanville PR (%)]</t>
  </si>
  <si>
    <t>Table1[Aces - Mediclinic Durbanville Energy Irradiated (kWh/m²)11]</t>
  </si>
  <si>
    <t>Table1[Aces - Mediclinic Durbanville Availability (%)]</t>
  </si>
  <si>
    <t>Table1[Aces - Mediclinic Durbanville P50 (kWh)]</t>
  </si>
  <si>
    <t>Table1[Aces - Mediclinic Durbanville estimatedPOA]</t>
  </si>
  <si>
    <t>Table1[Aces - Mediclinic Durbanville PRP50]</t>
  </si>
  <si>
    <t>Table1[Aces - Mediclinic Hermanus Energy produced (kWh)]</t>
  </si>
  <si>
    <t>Table1[Aces - Mediclinic Hermanus PR (%)]</t>
  </si>
  <si>
    <t>Table1[Aces - Mediclinic Hermanus Energy Irradiated (kWh/m²)]</t>
  </si>
  <si>
    <t>Table1[Aces - Mediclinic Hermanus Availability (%)]</t>
  </si>
  <si>
    <t>Table1[Aces - Mediclinic HermanusP50 (kWh)]</t>
  </si>
  <si>
    <t>Table1[Aces - Mediclinic Hermanus estimatedPOA]</t>
  </si>
  <si>
    <t>Table1[Aces - Mediclinic Hermanus PRP50]</t>
  </si>
  <si>
    <t>Table1[Aces - Mediclinic Highveld Energy produced (kWh)]</t>
  </si>
  <si>
    <t>Table1[Aces - Mediclinic Highveld PR (%)]</t>
  </si>
  <si>
    <t>Table1[Aces - Mediclinic Highveld Energy Irradiated (kWh/m²)]</t>
  </si>
  <si>
    <t>Table1[Aces - Mediclinic Highveld Availability (%)]</t>
  </si>
  <si>
    <t>Table1[Aces - Mediclinic Highveld P50 (kWh)]</t>
  </si>
  <si>
    <t>Table1[Aces - Mediclinic Highveld estimatedPOA]</t>
  </si>
  <si>
    <t>Table1[Aces - Mediclinic Highveld PRP50]</t>
  </si>
  <si>
    <t>Table1[Veregelegen production Varriance]</t>
  </si>
  <si>
    <t>Table1[Midstream Production Variance]</t>
  </si>
  <si>
    <t>Table1[Durbanville Production variance]</t>
  </si>
  <si>
    <t>Table1[Hermanus production variance]</t>
  </si>
  <si>
    <t>Table1[Highveld  production Variance]</t>
  </si>
  <si>
    <t>Table1[Vergelegen  PR variance]</t>
  </si>
  <si>
    <t>Table1[Midstream PR Variance]</t>
  </si>
  <si>
    <t>Table1[Durbanville]</t>
  </si>
  <si>
    <t>Table1[Mid ZAR/kWh]</t>
  </si>
  <si>
    <t>Table1[HIG ZAR/kWh]</t>
  </si>
  <si>
    <t>Table1[VER ZAR/kWh]</t>
  </si>
  <si>
    <t>Table1[DUR ZAR/kWh]</t>
  </si>
  <si>
    <t>Table1[HER ZAR/kWh2]</t>
  </si>
  <si>
    <t>Table1[Vat]</t>
  </si>
  <si>
    <t>Table1[MID Total ZAR]</t>
  </si>
  <si>
    <t>Table1[HIG Total ZAR]</t>
  </si>
  <si>
    <t>Table1[VER Total ZAR]</t>
  </si>
  <si>
    <t>Table1[DUR Total ZAR]</t>
  </si>
  <si>
    <t>Table1[HER  Total  ZAR]</t>
  </si>
  <si>
    <t>Table1[Forecast MID Total ZAR2]</t>
  </si>
  <si>
    <t>Table1[Forecast HIG Total ZAR3]</t>
  </si>
  <si>
    <t>Table1[Forecast  VER Total ZAR4]</t>
  </si>
  <si>
    <t>Table1[Forecast  DUR Total ZAR5]</t>
  </si>
  <si>
    <t>Table1[Forecast HER  Total  ZAR6]</t>
  </si>
  <si>
    <t>Table1[Date (Month Index)]</t>
  </si>
  <si>
    <t>Mid_ZAR/kWh</t>
  </si>
  <si>
    <t>HIG_ZAR/kWh</t>
  </si>
  <si>
    <t>VER_ZAR/kWh</t>
  </si>
  <si>
    <t>DUR_ZAR/kWh</t>
  </si>
  <si>
    <t>HER_ZAR/kWh2</t>
  </si>
  <si>
    <t>Vat_</t>
  </si>
  <si>
    <t>MID_Total_(ZAR)</t>
  </si>
  <si>
    <t>HIG_Total_(ZAR)</t>
  </si>
  <si>
    <t>VER_Total_(ZAR)</t>
  </si>
  <si>
    <t>DUR_Total_(ZAR)</t>
  </si>
  <si>
    <t>HER__Total__(ZAR)</t>
  </si>
  <si>
    <t>_Forecast_MID_Total_ZAR2</t>
  </si>
  <si>
    <t>Forecast_HIG_Total_ZAR3</t>
  </si>
  <si>
    <t>Forecast__VER_Total_ZAR4</t>
  </si>
  <si>
    <t>Forecast__DUR_Total_ZAR5</t>
  </si>
  <si>
    <t>Forecast_HER__Total__ZAR6</t>
  </si>
  <si>
    <t>Verg_PR_(%)</t>
  </si>
  <si>
    <t>Verg_Energy_(kWh)</t>
  </si>
  <si>
    <t>Verg_Irradiated_(kWh/m²)</t>
  </si>
  <si>
    <t>Verg_Availability_(%)</t>
  </si>
  <si>
    <t>Verg_P50_(kWh)</t>
  </si>
  <si>
    <t>Verg_estimatedPOA</t>
  </si>
  <si>
    <t>Verg_PRP50</t>
  </si>
  <si>
    <t>Mid_(kWh)2</t>
  </si>
  <si>
    <t>Mid_PR_(%)</t>
  </si>
  <si>
    <t>Mid_Irradiated_(kWh/m²)</t>
  </si>
  <si>
    <t>Mid_Availability_(%)</t>
  </si>
  <si>
    <t>Mid_P50_(kWh)</t>
  </si>
  <si>
    <t>Mid_estimatedPOA</t>
  </si>
  <si>
    <t>Dur_Energy_produced_(kWh)</t>
  </si>
  <si>
    <t>Dur_PR_(%)</t>
  </si>
  <si>
    <t>Dur_Availability_(%)</t>
  </si>
  <si>
    <t>Dur_P50_(kWh)</t>
  </si>
  <si>
    <t>Dur_estimatedPOA</t>
  </si>
  <si>
    <t>Dur_PRP50</t>
  </si>
  <si>
    <t>Her_Energy_produced_(kWh)</t>
  </si>
  <si>
    <t>Her_PR_(%)</t>
  </si>
  <si>
    <t>Her_Energy_Irradiated_(kWh/m²)</t>
  </si>
  <si>
    <t>Her_P50_(kWh)</t>
  </si>
  <si>
    <t>Her_Availability_(%)</t>
  </si>
  <si>
    <t>Her_PRP50</t>
  </si>
  <si>
    <t>Hig_PR_(%)</t>
  </si>
  <si>
    <t>Hig_Energy_Irradiated_(kWh/m²)</t>
  </si>
  <si>
    <t>Hig_Availability_(%)</t>
  </si>
  <si>
    <t>Hig_P50_(kWh)</t>
  </si>
  <si>
    <t>Hig_estimatedPOA</t>
  </si>
  <si>
    <t>Hig_PRP50</t>
  </si>
  <si>
    <t>Her_estimatedPOA</t>
  </si>
  <si>
    <t>Dur_Availability</t>
  </si>
  <si>
    <t>Ver_ Availability</t>
  </si>
  <si>
    <t>Her_ Availability</t>
  </si>
  <si>
    <t>Hig_Availability</t>
  </si>
  <si>
    <t>Mid_PRP50</t>
  </si>
  <si>
    <t>Dur_Energy_Irradiated_(kWh/m²)</t>
  </si>
  <si>
    <t>Hig_Energy_produced_(kWh)2</t>
  </si>
  <si>
    <t>Date (start)</t>
  </si>
  <si>
    <t>Interval</t>
  </si>
  <si>
    <t>Rate (ZAR)</t>
  </si>
  <si>
    <t xml:space="preserve"> Price </t>
  </si>
  <si>
    <t xml:space="preserve"> Vat%</t>
  </si>
  <si>
    <t xml:space="preserve"> Vat ZAR</t>
  </si>
  <si>
    <t xml:space="preserve"> Total (ZAR)</t>
  </si>
  <si>
    <t>Monthly</t>
  </si>
  <si>
    <t xml:space="preserve"> Jan 2022</t>
  </si>
  <si>
    <t xml:space="preserve">unpaid </t>
  </si>
  <si>
    <t>Ver_W kwh</t>
  </si>
  <si>
    <t>Mid_W kWh</t>
  </si>
  <si>
    <t>Dur_ W kWh</t>
  </si>
  <si>
    <t>Hig_W kWh</t>
  </si>
  <si>
    <t>Her_ W KWh</t>
  </si>
  <si>
    <t>Total</t>
  </si>
  <si>
    <t>Production (kWh)</t>
  </si>
  <si>
    <t>A</t>
  </si>
  <si>
    <t>F</t>
  </si>
  <si>
    <t>Δ (%)</t>
  </si>
  <si>
    <t xml:space="preserve">W </t>
  </si>
  <si>
    <t>Mid_Availability</t>
  </si>
  <si>
    <t>Column1</t>
  </si>
  <si>
    <t>Unavailable days</t>
  </si>
  <si>
    <t>Column3</t>
  </si>
  <si>
    <t>unavailability days</t>
  </si>
  <si>
    <t>Column4</t>
  </si>
  <si>
    <t>Unavailability days2</t>
  </si>
  <si>
    <t>Column5</t>
  </si>
  <si>
    <t>Column6</t>
  </si>
  <si>
    <t>unavailability days3</t>
  </si>
  <si>
    <t>Column7</t>
  </si>
  <si>
    <t>Column22</t>
  </si>
  <si>
    <t>Column8</t>
  </si>
  <si>
    <t>Column9</t>
  </si>
  <si>
    <t>Column10</t>
  </si>
  <si>
    <t>Tzaneen kWh</t>
  </si>
  <si>
    <t>TZA ZAR/kWh</t>
  </si>
  <si>
    <t>TZA Irradiation Kwh/m2</t>
  </si>
  <si>
    <t>TZA PR %</t>
  </si>
  <si>
    <t>TZA_Energy_produced_(kWh)</t>
  </si>
  <si>
    <t>TZA_PR_(%)</t>
  </si>
  <si>
    <t>TZA_Energy_Irradiated_(kWh/m²)</t>
  </si>
  <si>
    <t>TZA_Availability_(%)</t>
  </si>
  <si>
    <t>TZA_P50_(kWh)</t>
  </si>
  <si>
    <t>TZA_estimatedPOA</t>
  </si>
  <si>
    <t>TZA_PRP50</t>
  </si>
  <si>
    <t>TZA_Total_(ZAR)</t>
  </si>
  <si>
    <t>Forecast_TZA__Total__ZAR</t>
  </si>
  <si>
    <t>TZA_W kWh</t>
  </si>
  <si>
    <t>TZA_Availability</t>
  </si>
  <si>
    <t>Column2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</si>
</sst>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[$R-1C09]* #,##0.00_-;\-[$R-1C09]* #,##0.00_-;_-[$R-1C09]* &quot;-&quot;??_-;_-@_-"/>
    <numFmt numFmtId="165" formatCode="#,##0.0000_ ;\-#,##0.0000\ "/>
    <numFmt numFmtId="166" formatCode="mmm\ \-\ yy"/>
    <numFmt numFmtId="167" formatCode="dd\-mm\-yyyy"/>
    <numFmt numFmtId="168" formatCode="0.00000"/>
    <numFmt numFmtId="169" formatCode="mmm\-yyyy"/>
  </numFmts>
  <fonts count="19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</font>
    <font>
      <sz val="10"/>
      <color rgb="FF000000"/>
      <name val="Arial Narrow"/>
      <family val="2"/>
    </font>
    <font>
      <sz val="11"/>
      <color rgb="FF000000"/>
      <name val="Arial Narrow"/>
      <family val="2"/>
    </font>
    <font>
      <sz val="8"/>
      <name val="Calibri"/>
      <family val="2"/>
    </font>
    <font>
      <sz val="12"/>
      <color rgb="FF000000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2"/>
      <color rgb="FFFF0000"/>
      <name val="Arial Narrow"/>
      <family val="2"/>
    </font>
    <font>
      <sz val="11"/>
      <color theme="1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CC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D8E4BC"/>
        <bgColor indexed="64"/>
      </patternFill>
    </fill>
    <fill>
      <patternFill patternType="solid">
        <fgColor rgb="FF4BACC6"/>
        <bgColor indexed="64"/>
      </patternFill>
    </fill>
    <fill>
      <patternFill patternType="solid">
        <fgColor rgb="FF0BC57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/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/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18">
    <xf numFmtId="0" fontId="0" fillId="0" borderId="0" xfId="0"/>
    <xf numFmtId="14" fontId="0" fillId="0" borderId="0" xfId="0" applyNumberFormat="1"/>
    <xf numFmtId="0" fontId="0" fillId="0" borderId="1" xfId="0" applyBorder="1"/>
    <xf numFmtId="17" fontId="0" fillId="0" borderId="1" xfId="0" pivotButton="1" applyNumberFormat="1" applyBorder="1"/>
    <xf numFmtId="17" fontId="0" fillId="0" borderId="1" xfId="0" applyNumberFormat="1" applyBorder="1" applyAlignment="1">
      <alignment horizontal="left"/>
    </xf>
    <xf numFmtId="17" fontId="0" fillId="0" borderId="0" xfId="0" applyNumberFormat="1"/>
    <xf numFmtId="10" fontId="0" fillId="0" borderId="0" xfId="1" applyNumberFormat="1" applyFont="1"/>
    <xf numFmtId="2" fontId="0" fillId="0" borderId="1" xfId="0" applyNumberFormat="1" applyBorder="1"/>
    <xf numFmtId="164" fontId="0" fillId="0" borderId="0" xfId="0" applyNumberFormat="1"/>
    <xf numFmtId="17" fontId="5" fillId="0" borderId="1" xfId="0" pivotButton="1" applyNumberFormat="1" applyFont="1" applyBorder="1"/>
    <xf numFmtId="0" fontId="5" fillId="0" borderId="0" xfId="0" applyFont="1"/>
    <xf numFmtId="17" fontId="5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left"/>
    </xf>
    <xf numFmtId="166" fontId="0" fillId="0" borderId="0" xfId="0" applyNumberFormat="1"/>
    <xf numFmtId="0" fontId="0" fillId="0" borderId="0" xfId="1" applyNumberFormat="1" applyFont="1"/>
    <xf numFmtId="165" fontId="0" fillId="2" borderId="0" xfId="1" applyNumberFormat="1" applyFont="1" applyFill="1"/>
    <xf numFmtId="165" fontId="2" fillId="2" borderId="0" xfId="1" applyNumberFormat="1" applyFont="1" applyFill="1"/>
    <xf numFmtId="2" fontId="0" fillId="0" borderId="0" xfId="0" applyNumberFormat="1"/>
    <xf numFmtId="0" fontId="0" fillId="0" borderId="1" xfId="0" pivotButton="1" applyBorder="1"/>
    <xf numFmtId="166" fontId="2" fillId="0" borderId="0" xfId="0" applyNumberFormat="1" applyFont="1"/>
    <xf numFmtId="168" fontId="0" fillId="0" borderId="0" xfId="0" applyNumberFormat="1"/>
    <xf numFmtId="2" fontId="2" fillId="3" borderId="0" xfId="0" applyNumberFormat="1" applyFont="1" applyFill="1"/>
    <xf numFmtId="2" fontId="2" fillId="3" borderId="0" xfId="1" applyNumberFormat="1" applyFont="1" applyFill="1"/>
    <xf numFmtId="2" fontId="2" fillId="4" borderId="0" xfId="0" applyNumberFormat="1" applyFont="1" applyFill="1"/>
    <xf numFmtId="2" fontId="2" fillId="4" borderId="0" xfId="1" applyNumberFormat="1" applyFont="1" applyFill="1"/>
    <xf numFmtId="2" fontId="2" fillId="5" borderId="0" xfId="0" applyNumberFormat="1" applyFont="1" applyFill="1"/>
    <xf numFmtId="2" fontId="2" fillId="5" borderId="0" xfId="1" applyNumberFormat="1" applyFont="1" applyFill="1"/>
    <xf numFmtId="2" fontId="2" fillId="6" borderId="0" xfId="1" applyNumberFormat="1" applyFont="1" applyFill="1"/>
    <xf numFmtId="2" fontId="2" fillId="0" borderId="0" xfId="1" applyNumberFormat="1" applyFont="1"/>
    <xf numFmtId="2" fontId="2" fillId="2" borderId="0" xfId="1" applyNumberFormat="1" applyFont="1" applyFill="1"/>
    <xf numFmtId="2" fontId="0" fillId="3" borderId="0" xfId="0" applyNumberFormat="1" applyFill="1"/>
    <xf numFmtId="2" fontId="0" fillId="3" borderId="0" xfId="1" applyNumberFormat="1" applyFont="1" applyFill="1"/>
    <xf numFmtId="2" fontId="0" fillId="4" borderId="0" xfId="0" applyNumberFormat="1" applyFill="1"/>
    <xf numFmtId="2" fontId="0" fillId="4" borderId="0" xfId="1" applyNumberFormat="1" applyFont="1" applyFill="1"/>
    <xf numFmtId="2" fontId="0" fillId="5" borderId="0" xfId="0" applyNumberFormat="1" applyFill="1"/>
    <xf numFmtId="2" fontId="0" fillId="5" borderId="0" xfId="1" applyNumberFormat="1" applyFont="1" applyFill="1"/>
    <xf numFmtId="2" fontId="0" fillId="6" borderId="0" xfId="1" applyNumberFormat="1" applyFont="1" applyFill="1"/>
    <xf numFmtId="2" fontId="0" fillId="0" borderId="0" xfId="1" applyNumberFormat="1" applyFont="1"/>
    <xf numFmtId="2" fontId="0" fillId="2" borderId="0" xfId="1" applyNumberFormat="1" applyFont="1" applyFill="1"/>
    <xf numFmtId="0" fontId="10" fillId="0" borderId="0" xfId="0" applyFont="1"/>
    <xf numFmtId="0" fontId="10" fillId="0" borderId="3" xfId="0" applyFont="1" applyBorder="1"/>
    <xf numFmtId="2" fontId="10" fillId="0" borderId="3" xfId="0" applyNumberFormat="1" applyFont="1" applyBorder="1"/>
    <xf numFmtId="0" fontId="10" fillId="0" borderId="1" xfId="0" applyFont="1" applyBorder="1"/>
    <xf numFmtId="2" fontId="10" fillId="0" borderId="1" xfId="0" applyNumberFormat="1" applyFont="1" applyBorder="1"/>
    <xf numFmtId="0" fontId="11" fillId="0" borderId="1" xfId="0" applyFont="1" applyBorder="1"/>
    <xf numFmtId="0" fontId="10" fillId="7" borderId="1" xfId="0" applyFont="1" applyFill="1" applyBorder="1"/>
    <xf numFmtId="2" fontId="10" fillId="0" borderId="0" xfId="0" applyNumberFormat="1" applyFont="1"/>
    <xf numFmtId="0" fontId="12" fillId="8" borderId="4" xfId="0" applyFont="1" applyFill="1" applyBorder="1"/>
    <xf numFmtId="167" fontId="12" fillId="8" borderId="4" xfId="0" applyNumberFormat="1" applyFont="1" applyFill="1" applyBorder="1"/>
    <xf numFmtId="2" fontId="12" fillId="8" borderId="4" xfId="0" applyNumberFormat="1" applyFont="1" applyFill="1" applyBorder="1"/>
    <xf numFmtId="0" fontId="9" fillId="8" borderId="4" xfId="0" applyFont="1" applyFill="1" applyBorder="1"/>
    <xf numFmtId="0" fontId="9" fillId="0" borderId="0" xfId="0" applyFont="1"/>
    <xf numFmtId="0" fontId="11" fillId="0" borderId="6" xfId="0" applyFont="1" applyBorder="1"/>
    <xf numFmtId="167" fontId="11" fillId="0" borderId="6" xfId="0" applyNumberFormat="1" applyFont="1" applyBorder="1"/>
    <xf numFmtId="0" fontId="10" fillId="0" borderId="6" xfId="0" applyFont="1" applyBorder="1"/>
    <xf numFmtId="0" fontId="10" fillId="0" borderId="7" xfId="0" applyFont="1" applyBorder="1"/>
    <xf numFmtId="167" fontId="11" fillId="0" borderId="1" xfId="0" applyNumberFormat="1" applyFont="1" applyBorder="1"/>
    <xf numFmtId="0" fontId="10" fillId="0" borderId="9" xfId="0" applyFont="1" applyBorder="1"/>
    <xf numFmtId="0" fontId="11" fillId="0" borderId="11" xfId="0" applyFont="1" applyBorder="1"/>
    <xf numFmtId="167" fontId="11" fillId="0" borderId="11" xfId="0" applyNumberFormat="1" applyFont="1" applyBorder="1"/>
    <xf numFmtId="0" fontId="10" fillId="0" borderId="11" xfId="0" applyFont="1" applyBorder="1"/>
    <xf numFmtId="0" fontId="10" fillId="0" borderId="12" xfId="0" applyFont="1" applyBorder="1"/>
    <xf numFmtId="0" fontId="8" fillId="0" borderId="6" xfId="0" applyFont="1" applyBorder="1"/>
    <xf numFmtId="167" fontId="8" fillId="0" borderId="6" xfId="0" applyNumberFormat="1" applyFont="1" applyBorder="1"/>
    <xf numFmtId="0" fontId="8" fillId="0" borderId="7" xfId="0" applyFont="1" applyBorder="1"/>
    <xf numFmtId="0" fontId="8" fillId="0" borderId="0" xfId="0" applyFont="1"/>
    <xf numFmtId="0" fontId="8" fillId="0" borderId="11" xfId="0" applyFont="1" applyBorder="1"/>
    <xf numFmtId="0" fontId="13" fillId="0" borderId="12" xfId="0" applyFont="1" applyBorder="1"/>
    <xf numFmtId="0" fontId="8" fillId="0" borderId="0" xfId="2" applyFont="1"/>
    <xf numFmtId="0" fontId="11" fillId="0" borderId="4" xfId="0" applyFont="1" applyBorder="1"/>
    <xf numFmtId="167" fontId="11" fillId="0" borderId="4" xfId="0" applyNumberFormat="1" applyFont="1" applyBorder="1"/>
    <xf numFmtId="0" fontId="8" fillId="0" borderId="4" xfId="0" applyFont="1" applyBorder="1"/>
    <xf numFmtId="0" fontId="10" fillId="0" borderId="4" xfId="0" applyFont="1" applyBorder="1"/>
    <xf numFmtId="0" fontId="13" fillId="0" borderId="14" xfId="0" applyFont="1" applyBorder="1"/>
    <xf numFmtId="0" fontId="11" fillId="0" borderId="15" xfId="0" applyFont="1" applyBorder="1"/>
    <xf numFmtId="0" fontId="11" fillId="0" borderId="16" xfId="0" applyFont="1" applyBorder="1"/>
    <xf numFmtId="0" fontId="8" fillId="0" borderId="1" xfId="0" applyFont="1" applyBorder="1"/>
    <xf numFmtId="0" fontId="11" fillId="7" borderId="17" xfId="0" applyFont="1" applyFill="1" applyBorder="1"/>
    <xf numFmtId="0" fontId="11" fillId="7" borderId="1" xfId="0" applyFont="1" applyFill="1" applyBorder="1"/>
    <xf numFmtId="167" fontId="11" fillId="7" borderId="6" xfId="0" applyNumberFormat="1" applyFont="1" applyFill="1" applyBorder="1"/>
    <xf numFmtId="0" fontId="8" fillId="7" borderId="4" xfId="0" applyFont="1" applyFill="1" applyBorder="1"/>
    <xf numFmtId="0" fontId="10" fillId="7" borderId="4" xfId="0" applyFont="1" applyFill="1" applyBorder="1"/>
    <xf numFmtId="0" fontId="10" fillId="7" borderId="9" xfId="0" applyFont="1" applyFill="1" applyBorder="1"/>
    <xf numFmtId="0" fontId="10" fillId="7" borderId="0" xfId="0" applyFont="1" applyFill="1"/>
    <xf numFmtId="0" fontId="11" fillId="0" borderId="18" xfId="0" applyFont="1" applyBorder="1"/>
    <xf numFmtId="0" fontId="11" fillId="0" borderId="21" xfId="0" applyFont="1" applyBorder="1"/>
    <xf numFmtId="0" fontId="11" fillId="0" borderId="3" xfId="0" applyFont="1" applyBorder="1"/>
    <xf numFmtId="2" fontId="6" fillId="0" borderId="22" xfId="0" applyNumberFormat="1" applyFont="1" applyBorder="1"/>
    <xf numFmtId="0" fontId="10" fillId="0" borderId="22" xfId="0" applyFont="1" applyBorder="1"/>
    <xf numFmtId="0" fontId="10" fillId="0" borderId="23" xfId="0" applyFont="1" applyBorder="1"/>
    <xf numFmtId="2" fontId="6" fillId="0" borderId="3" xfId="0" applyNumberFormat="1" applyFont="1" applyBorder="1"/>
    <xf numFmtId="2" fontId="14" fillId="0" borderId="0" xfId="0" applyNumberFormat="1" applyFont="1"/>
    <xf numFmtId="2" fontId="14" fillId="0" borderId="4" xfId="0" applyNumberFormat="1" applyFont="1" applyBorder="1"/>
    <xf numFmtId="0" fontId="10" fillId="0" borderId="14" xfId="0" applyFont="1" applyBorder="1"/>
    <xf numFmtId="0" fontId="11" fillId="0" borderId="20" xfId="0" applyFont="1" applyBorder="1"/>
    <xf numFmtId="2" fontId="14" fillId="0" borderId="1" xfId="0" applyNumberFormat="1" applyFont="1" applyBorder="1"/>
    <xf numFmtId="0" fontId="10" fillId="0" borderId="25" xfId="0" applyFont="1" applyBorder="1"/>
    <xf numFmtId="0" fontId="14" fillId="0" borderId="1" xfId="0" applyFont="1" applyBorder="1"/>
    <xf numFmtId="167" fontId="11" fillId="0" borderId="28" xfId="0" applyNumberFormat="1" applyFont="1" applyBorder="1"/>
    <xf numFmtId="0" fontId="10" fillId="0" borderId="5" xfId="0" applyFont="1" applyBorder="1"/>
    <xf numFmtId="0" fontId="10" fillId="0" borderId="2" xfId="0" applyFont="1" applyBorder="1"/>
    <xf numFmtId="0" fontId="10" fillId="0" borderId="8" xfId="0" applyFont="1" applyBorder="1"/>
    <xf numFmtId="0" fontId="11" fillId="0" borderId="8" xfId="0" applyFont="1" applyBorder="1"/>
    <xf numFmtId="0" fontId="10" fillId="0" borderId="13" xfId="0" applyFont="1" applyBorder="1"/>
    <xf numFmtId="2" fontId="0" fillId="0" borderId="29" xfId="0" applyNumberFormat="1" applyBorder="1"/>
    <xf numFmtId="2" fontId="8" fillId="0" borderId="1" xfId="0" applyNumberFormat="1" applyFont="1" applyBorder="1"/>
    <xf numFmtId="2" fontId="10" fillId="0" borderId="11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0" fillId="3" borderId="0" xfId="1" applyNumberFormat="1" applyFont="1" applyFill="1"/>
    <xf numFmtId="0" fontId="0" fillId="4" borderId="0" xfId="1" applyNumberFormat="1" applyFont="1" applyFill="1"/>
    <xf numFmtId="0" fontId="0" fillId="5" borderId="0" xfId="1" applyNumberFormat="1" applyFont="1" applyFill="1"/>
    <xf numFmtId="0" fontId="2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9" fontId="0" fillId="0" borderId="0" xfId="1" applyFont="1"/>
    <xf numFmtId="0" fontId="15" fillId="0" borderId="33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/>
    </xf>
    <xf numFmtId="0" fontId="15" fillId="0" borderId="3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10" fontId="5" fillId="0" borderId="34" xfId="1" applyNumberFormat="1" applyFont="1" applyBorder="1" applyAlignment="1">
      <alignment horizontal="center" vertical="center"/>
    </xf>
    <xf numFmtId="10" fontId="15" fillId="0" borderId="34" xfId="1" applyNumberFormat="1" applyFont="1" applyBorder="1" applyAlignment="1">
      <alignment horizontal="center" vertical="center" wrapText="1"/>
    </xf>
    <xf numFmtId="0" fontId="15" fillId="0" borderId="33" xfId="0" applyFont="1" applyBorder="1" applyAlignment="1">
      <alignment horizontal="justify" vertical="center"/>
    </xf>
    <xf numFmtId="16" fontId="0" fillId="0" borderId="0" xfId="0" applyNumberFormat="1"/>
    <xf numFmtId="0" fontId="16" fillId="10" borderId="39" xfId="0" applyFont="1" applyFill="1" applyBorder="1"/>
    <xf numFmtId="166" fontId="16" fillId="9" borderId="38" xfId="0" applyNumberFormat="1" applyFont="1" applyFill="1" applyBorder="1"/>
    <xf numFmtId="2" fontId="16" fillId="3" borderId="39" xfId="0" applyNumberFormat="1" applyFont="1" applyFill="1" applyBorder="1"/>
    <xf numFmtId="166" fontId="16" fillId="10" borderId="38" xfId="0" applyNumberFormat="1" applyFont="1" applyFill="1" applyBorder="1"/>
    <xf numFmtId="166" fontId="16" fillId="9" borderId="40" xfId="0" applyNumberFormat="1" applyFont="1" applyFill="1" applyBorder="1"/>
    <xf numFmtId="2" fontId="16" fillId="3" borderId="41" xfId="0" applyNumberFormat="1" applyFont="1" applyFill="1" applyBorder="1"/>
    <xf numFmtId="2" fontId="16" fillId="3" borderId="39" xfId="1" applyNumberFormat="1" applyFont="1" applyFill="1" applyBorder="1"/>
    <xf numFmtId="2" fontId="16" fillId="4" borderId="39" xfId="0" applyNumberFormat="1" applyFont="1" applyFill="1" applyBorder="1"/>
    <xf numFmtId="2" fontId="16" fillId="3" borderId="41" xfId="1" applyNumberFormat="1" applyFont="1" applyFill="1" applyBorder="1"/>
    <xf numFmtId="2" fontId="16" fillId="4" borderId="41" xfId="0" applyNumberFormat="1" applyFont="1" applyFill="1" applyBorder="1"/>
    <xf numFmtId="2" fontId="16" fillId="4" borderId="39" xfId="1" applyNumberFormat="1" applyFont="1" applyFill="1" applyBorder="1"/>
    <xf numFmtId="2" fontId="16" fillId="5" borderId="39" xfId="0" applyNumberFormat="1" applyFont="1" applyFill="1" applyBorder="1"/>
    <xf numFmtId="2" fontId="16" fillId="4" borderId="41" xfId="1" applyNumberFormat="1" applyFont="1" applyFill="1" applyBorder="1"/>
    <xf numFmtId="2" fontId="16" fillId="5" borderId="41" xfId="0" applyNumberFormat="1" applyFont="1" applyFill="1" applyBorder="1"/>
    <xf numFmtId="2" fontId="16" fillId="6" borderId="39" xfId="0" applyNumberFormat="1" applyFont="1" applyFill="1" applyBorder="1"/>
    <xf numFmtId="2" fontId="16" fillId="5" borderId="39" xfId="1" applyNumberFormat="1" applyFont="1" applyFill="1" applyBorder="1"/>
    <xf numFmtId="2" fontId="16" fillId="5" borderId="41" xfId="1" applyNumberFormat="1" applyFont="1" applyFill="1" applyBorder="1"/>
    <xf numFmtId="2" fontId="16" fillId="6" borderId="41" xfId="0" applyNumberFormat="1" applyFont="1" applyFill="1" applyBorder="1"/>
    <xf numFmtId="2" fontId="16" fillId="6" borderId="39" xfId="1" applyNumberFormat="1" applyFont="1" applyFill="1" applyBorder="1"/>
    <xf numFmtId="2" fontId="16" fillId="9" borderId="39" xfId="0" applyNumberFormat="1" applyFont="1" applyFill="1" applyBorder="1"/>
    <xf numFmtId="2" fontId="16" fillId="10" borderId="39" xfId="0" applyNumberFormat="1" applyFont="1" applyFill="1" applyBorder="1"/>
    <xf numFmtId="2" fontId="16" fillId="6" borderId="41" xfId="1" applyNumberFormat="1" applyFont="1" applyFill="1" applyBorder="1"/>
    <xf numFmtId="2" fontId="16" fillId="9" borderId="41" xfId="0" applyNumberFormat="1" applyFont="1" applyFill="1" applyBorder="1"/>
    <xf numFmtId="2" fontId="16" fillId="9" borderId="39" xfId="1" applyNumberFormat="1" applyFont="1" applyFill="1" applyBorder="1"/>
    <xf numFmtId="2" fontId="16" fillId="10" borderId="39" xfId="1" applyNumberFormat="1" applyFont="1" applyFill="1" applyBorder="1"/>
    <xf numFmtId="2" fontId="16" fillId="9" borderId="41" xfId="1" applyNumberFormat="1" applyFont="1" applyFill="1" applyBorder="1"/>
    <xf numFmtId="2" fontId="16" fillId="2" borderId="39" xfId="1" applyNumberFormat="1" applyFont="1" applyFill="1" applyBorder="1"/>
    <xf numFmtId="165" fontId="16" fillId="2" borderId="39" xfId="1" applyNumberFormat="1" applyFont="1" applyFill="1" applyBorder="1"/>
    <xf numFmtId="165" fontId="16" fillId="2" borderId="42" xfId="1" applyNumberFormat="1" applyFont="1" applyFill="1" applyBorder="1"/>
    <xf numFmtId="2" fontId="16" fillId="2" borderId="41" xfId="1" applyNumberFormat="1" applyFont="1" applyFill="1" applyBorder="1"/>
    <xf numFmtId="165" fontId="16" fillId="2" borderId="41" xfId="1" applyNumberFormat="1" applyFont="1" applyFill="1" applyBorder="1"/>
    <xf numFmtId="165" fontId="16" fillId="2" borderId="43" xfId="1" applyNumberFormat="1" applyFont="1" applyFill="1" applyBorder="1"/>
    <xf numFmtId="169" fontId="0" fillId="0" borderId="0" xfId="0" applyNumberFormat="1"/>
    <xf numFmtId="2" fontId="0" fillId="11" borderId="0" xfId="0" applyNumberFormat="1" applyFill="1"/>
    <xf numFmtId="0" fontId="0" fillId="11" borderId="0" xfId="0" applyFill="1"/>
    <xf numFmtId="0" fontId="0" fillId="4" borderId="0" xfId="0" applyFill="1"/>
    <xf numFmtId="0" fontId="0" fillId="5" borderId="0" xfId="0" applyFill="1"/>
    <xf numFmtId="2" fontId="0" fillId="12" borderId="0" xfId="0" applyNumberFormat="1" applyFill="1"/>
    <xf numFmtId="2" fontId="2" fillId="12" borderId="0" xfId="0" applyNumberFormat="1" applyFont="1" applyFill="1"/>
    <xf numFmtId="2" fontId="2" fillId="12" borderId="0" xfId="1" applyNumberFormat="1" applyFont="1" applyFill="1"/>
    <xf numFmtId="2" fontId="0" fillId="12" borderId="0" xfId="1" applyNumberFormat="1" applyFont="1" applyFill="1"/>
    <xf numFmtId="0" fontId="0" fillId="12" borderId="0" xfId="0" applyFill="1"/>
    <xf numFmtId="2" fontId="0" fillId="13" borderId="0" xfId="0" applyNumberFormat="1" applyFill="1"/>
    <xf numFmtId="2" fontId="0" fillId="13" borderId="0" xfId="1" applyNumberFormat="1" applyFont="1" applyFill="1"/>
    <xf numFmtId="2" fontId="2" fillId="13" borderId="0" xfId="0" applyNumberFormat="1" applyFont="1" applyFill="1"/>
    <xf numFmtId="2" fontId="2" fillId="13" borderId="0" xfId="1" applyNumberFormat="1" applyFont="1" applyFill="1"/>
    <xf numFmtId="0" fontId="0" fillId="7" borderId="0" xfId="0" applyFill="1"/>
    <xf numFmtId="2" fontId="0" fillId="14" borderId="0" xfId="0" applyNumberFormat="1" applyFill="1"/>
    <xf numFmtId="0" fontId="0" fillId="14" borderId="0" xfId="0" applyFill="1"/>
    <xf numFmtId="169" fontId="17" fillId="0" borderId="1" xfId="0" applyNumberFormat="1" applyFont="1" applyBorder="1"/>
    <xf numFmtId="0" fontId="17" fillId="11" borderId="1" xfId="0" applyFont="1" applyFill="1" applyBorder="1"/>
    <xf numFmtId="0" fontId="17" fillId="12" borderId="1" xfId="0" applyFont="1" applyFill="1" applyBorder="1"/>
    <xf numFmtId="0" fontId="17" fillId="4" borderId="1" xfId="0" applyFont="1" applyFill="1" applyBorder="1"/>
    <xf numFmtId="0" fontId="17" fillId="5" borderId="1" xfId="0" applyFont="1" applyFill="1" applyBorder="1"/>
    <xf numFmtId="0" fontId="17" fillId="7" borderId="1" xfId="0" applyFont="1" applyFill="1" applyBorder="1"/>
    <xf numFmtId="0" fontId="17" fillId="14" borderId="1" xfId="0" applyFont="1" applyFill="1" applyBorder="1"/>
    <xf numFmtId="164" fontId="2" fillId="5" borderId="0" xfId="1" applyNumberFormat="1" applyFont="1" applyFill="1"/>
    <xf numFmtId="165" fontId="2" fillId="5" borderId="0" xfId="1" applyNumberFormat="1" applyFont="1" applyFill="1"/>
    <xf numFmtId="2" fontId="2" fillId="14" borderId="0" xfId="1" applyNumberFormat="1" applyFont="1" applyFill="1"/>
    <xf numFmtId="0" fontId="17" fillId="14" borderId="0" xfId="0" applyFont="1" applyFill="1"/>
    <xf numFmtId="2" fontId="2" fillId="14" borderId="0" xfId="0" applyNumberFormat="1" applyFont="1" applyFill="1"/>
    <xf numFmtId="0" fontId="2" fillId="11" borderId="0" xfId="0" applyFont="1" applyFill="1"/>
    <xf numFmtId="0" fontId="2" fillId="7" borderId="0" xfId="0" applyFont="1" applyFill="1"/>
    <xf numFmtId="0" fontId="2" fillId="14" borderId="0" xfId="0" applyFont="1" applyFill="1"/>
    <xf numFmtId="2" fontId="0" fillId="14" borderId="0" xfId="1" applyNumberFormat="1" applyFont="1" applyFill="1"/>
    <xf numFmtId="0" fontId="18" fillId="0" borderId="0" xfId="0" applyFont="1"/>
    <xf numFmtId="4" fontId="0" fillId="12" borderId="0" xfId="0" applyNumberFormat="1" applyFill="1"/>
    <xf numFmtId="3" fontId="0" fillId="4" borderId="0" xfId="0" applyNumberFormat="1" applyFill="1"/>
    <xf numFmtId="0" fontId="0" fillId="0" borderId="0" xfId="0" applyAlignment="1">
      <alignment horizontal="center"/>
    </xf>
    <xf numFmtId="169" fontId="10" fillId="0" borderId="24" xfId="0" applyNumberFormat="1" applyFont="1" applyBorder="1" applyAlignment="1">
      <alignment horizontal="center"/>
    </xf>
    <xf numFmtId="169" fontId="10" fillId="0" borderId="0" xfId="0" applyNumberFormat="1" applyFont="1" applyAlignment="1">
      <alignment horizontal="center"/>
    </xf>
    <xf numFmtId="169" fontId="10" fillId="0" borderId="26" xfId="0" applyNumberFormat="1" applyFont="1" applyBorder="1" applyAlignment="1">
      <alignment horizontal="center"/>
    </xf>
    <xf numFmtId="169" fontId="10" fillId="0" borderId="32" xfId="0" applyNumberFormat="1" applyFont="1" applyBorder="1" applyAlignment="1">
      <alignment horizontal="center"/>
    </xf>
    <xf numFmtId="169" fontId="10" fillId="0" borderId="5" xfId="0" applyNumberFormat="1" applyFont="1" applyBorder="1" applyAlignment="1">
      <alignment horizontal="center"/>
    </xf>
    <xf numFmtId="169" fontId="10" fillId="0" borderId="6" xfId="0" applyNumberFormat="1" applyFont="1" applyBorder="1" applyAlignment="1">
      <alignment horizontal="center"/>
    </xf>
    <xf numFmtId="169" fontId="10" fillId="0" borderId="8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/>
    </xf>
    <xf numFmtId="169" fontId="10" fillId="0" borderId="13" xfId="0" applyNumberFormat="1" applyFont="1" applyBorder="1" applyAlignment="1">
      <alignment horizontal="center"/>
    </xf>
    <xf numFmtId="169" fontId="10" fillId="0" borderId="4" xfId="0" applyNumberFormat="1" applyFont="1" applyBorder="1" applyAlignment="1">
      <alignment horizontal="center"/>
    </xf>
    <xf numFmtId="169" fontId="10" fillId="0" borderId="10" xfId="0" applyNumberFormat="1" applyFont="1" applyBorder="1" applyAlignment="1">
      <alignment horizontal="center"/>
    </xf>
    <xf numFmtId="169" fontId="10" fillId="0" borderId="11" xfId="0" applyNumberFormat="1" applyFont="1" applyBorder="1" applyAlignment="1">
      <alignment horizontal="center"/>
    </xf>
    <xf numFmtId="169" fontId="10" fillId="0" borderId="19" xfId="0" applyNumberFormat="1" applyFont="1" applyBorder="1" applyAlignment="1">
      <alignment horizontal="center"/>
    </xf>
    <xf numFmtId="169" fontId="10" fillId="0" borderId="20" xfId="0" applyNumberFormat="1" applyFont="1" applyBorder="1" applyAlignment="1">
      <alignment horizontal="center"/>
    </xf>
    <xf numFmtId="169" fontId="10" fillId="0" borderId="21" xfId="0" applyNumberFormat="1" applyFont="1" applyBorder="1" applyAlignment="1">
      <alignment horizontal="center"/>
    </xf>
    <xf numFmtId="169" fontId="10" fillId="0" borderId="27" xfId="0" applyNumberFormat="1" applyFont="1" applyBorder="1" applyAlignment="1">
      <alignment horizontal="center"/>
    </xf>
    <xf numFmtId="169" fontId="10" fillId="0" borderId="29" xfId="0" applyNumberFormat="1" applyFont="1" applyBorder="1" applyAlignment="1">
      <alignment horizontal="center"/>
    </xf>
    <xf numFmtId="169" fontId="10" fillId="0" borderId="30" xfId="0" applyNumberFormat="1" applyFont="1" applyBorder="1" applyAlignment="1">
      <alignment horizontal="center"/>
    </xf>
    <xf numFmtId="169" fontId="10" fillId="0" borderId="3" xfId="0" applyNumberFormat="1" applyFont="1" applyBorder="1" applyAlignment="1">
      <alignment horizontal="center"/>
    </xf>
    <xf numFmtId="0" fontId="9" fillId="0" borderId="4" xfId="0" applyFont="1" applyBorder="1" applyAlignment="1">
      <alignment horizontal="center"/>
    </xf>
  </cellXfs>
  <cellStyles count="4">
    <cellStyle name="Normal" xfId="0" builtinId="0"/>
    <cellStyle name="Normal 2" xfId="2" xr:uid="{00000000-0005-0000-0000-000001000000}"/>
    <cellStyle name="Normal 3" xfId="3" xr:uid="{00000000-0005-0000-0000-000002000000}"/>
    <cellStyle name="Percent" xfId="1" builtinId="5"/>
  </cellStyles>
  <dxfs count="338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font>
        <name val="Arial Narrow"/>
      </font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</dxf>
    <dxf>
      <numFmt numFmtId="19" formatCode="yyyy/mm/dd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2" formatCode="mmm\-yy"/>
    </dxf>
    <dxf>
      <numFmt numFmtId="22" formatCode="mmm\-yy"/>
    </dxf>
    <dxf>
      <numFmt numFmtId="22" formatCode="mmm\-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5" formatCode="#,##0.0000_ ;\-#,##0.0000\ 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theme="3" tint="0.59999389629810485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numFmt numFmtId="2" formatCode="0.00"/>
      <fill>
        <patternFill patternType="solid">
          <fgColor indexed="64"/>
          <bgColor rgb="FF0BC57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2" formatCode="0.00"/>
      <fill>
        <patternFill patternType="solid">
          <fgColor indexed="64"/>
          <bgColor rgb="FFFF0000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4BACC6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00B0F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 patternType="solid">
          <fgColor indexed="64"/>
          <bgColor rgb="FFFFC000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2" formatCode="0.00"/>
      <fill>
        <patternFill patternType="solid">
          <fgColor indexed="64"/>
          <bgColor theme="6" tint="0.59999389629810485"/>
        </patternFill>
      </fill>
    </dxf>
    <dxf>
      <numFmt numFmtId="166" formatCode="mmm\ \-\ yy"/>
    </dxf>
  </dxfs>
  <tableStyles count="0" defaultTableStyle="TableStyleMedium9"/>
  <colors>
    <mruColors>
      <color rgb="FF4BACC6"/>
      <color rgb="FF5F0505"/>
      <color rgb="FFD8E4BC"/>
      <color rgb="FF0BC5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0.xml"/><Relationship Id="rId117" Type="http://schemas.openxmlformats.org/officeDocument/2006/relationships/customXml" Target="../customXml/item70.xml"/><Relationship Id="rId21" Type="http://schemas.openxmlformats.org/officeDocument/2006/relationships/pivotCacheDefinition" Target="pivotCache/pivotCacheDefinition5.xml"/><Relationship Id="rId42" Type="http://schemas.openxmlformats.org/officeDocument/2006/relationships/theme" Target="theme/theme1.xml"/><Relationship Id="rId47" Type="http://schemas.openxmlformats.org/officeDocument/2006/relationships/calcChain" Target="calcChain.xml"/><Relationship Id="rId63" Type="http://schemas.openxmlformats.org/officeDocument/2006/relationships/customXml" Target="../customXml/item16.xml"/><Relationship Id="rId68" Type="http://schemas.openxmlformats.org/officeDocument/2006/relationships/customXml" Target="../customXml/item21.xml"/><Relationship Id="rId84" Type="http://schemas.openxmlformats.org/officeDocument/2006/relationships/customXml" Target="../customXml/item37.xml"/><Relationship Id="rId89" Type="http://schemas.openxmlformats.org/officeDocument/2006/relationships/customXml" Target="../customXml/item42.xml"/><Relationship Id="rId112" Type="http://schemas.openxmlformats.org/officeDocument/2006/relationships/customXml" Target="../customXml/item65.xml"/><Relationship Id="rId16" Type="http://schemas.openxmlformats.org/officeDocument/2006/relationships/worksheet" Target="worksheets/sheet16.xml"/><Relationship Id="rId107" Type="http://schemas.openxmlformats.org/officeDocument/2006/relationships/customXml" Target="../customXml/item60.xml"/><Relationship Id="rId11" Type="http://schemas.openxmlformats.org/officeDocument/2006/relationships/worksheet" Target="worksheets/sheet11.xml"/><Relationship Id="rId32" Type="http://schemas.openxmlformats.org/officeDocument/2006/relationships/pivotCacheDefinition" Target="pivotCache/pivotCacheDefinition16.xml"/><Relationship Id="rId37" Type="http://schemas.openxmlformats.org/officeDocument/2006/relationships/pivotCacheDefinition" Target="pivotCache/pivotCacheDefinition21.xml"/><Relationship Id="rId53" Type="http://schemas.openxmlformats.org/officeDocument/2006/relationships/customXml" Target="../customXml/item6.xml"/><Relationship Id="rId58" Type="http://schemas.openxmlformats.org/officeDocument/2006/relationships/customXml" Target="../customXml/item11.xml"/><Relationship Id="rId74" Type="http://schemas.openxmlformats.org/officeDocument/2006/relationships/customXml" Target="../customXml/item27.xml"/><Relationship Id="rId79" Type="http://schemas.openxmlformats.org/officeDocument/2006/relationships/customXml" Target="../customXml/item32.xml"/><Relationship Id="rId102" Type="http://schemas.openxmlformats.org/officeDocument/2006/relationships/customXml" Target="../customXml/item55.xml"/><Relationship Id="rId123" Type="http://schemas.openxmlformats.org/officeDocument/2006/relationships/customXml" Target="../customXml/item76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43.xml"/><Relationship Id="rId95" Type="http://schemas.openxmlformats.org/officeDocument/2006/relationships/customXml" Target="../customXml/item48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43" Type="http://schemas.openxmlformats.org/officeDocument/2006/relationships/connections" Target="connections.xml"/><Relationship Id="rId48" Type="http://schemas.openxmlformats.org/officeDocument/2006/relationships/customXml" Target="../customXml/item1.xml"/><Relationship Id="rId64" Type="http://schemas.openxmlformats.org/officeDocument/2006/relationships/customXml" Target="../customXml/item17.xml"/><Relationship Id="rId69" Type="http://schemas.openxmlformats.org/officeDocument/2006/relationships/customXml" Target="../customXml/item22.xml"/><Relationship Id="rId113" Type="http://schemas.openxmlformats.org/officeDocument/2006/relationships/customXml" Target="../customXml/item66.xml"/><Relationship Id="rId118" Type="http://schemas.openxmlformats.org/officeDocument/2006/relationships/customXml" Target="../customXml/item71.xml"/><Relationship Id="rId80" Type="http://schemas.openxmlformats.org/officeDocument/2006/relationships/customXml" Target="../customXml/item33.xml"/><Relationship Id="rId85" Type="http://schemas.openxmlformats.org/officeDocument/2006/relationships/customXml" Target="../customXml/item38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33" Type="http://schemas.openxmlformats.org/officeDocument/2006/relationships/pivotCacheDefinition" Target="pivotCache/pivotCacheDefinition17.xml"/><Relationship Id="rId38" Type="http://schemas.openxmlformats.org/officeDocument/2006/relationships/pivotCacheDefinition" Target="pivotCache/pivotCacheDefinition22.xml"/><Relationship Id="rId59" Type="http://schemas.openxmlformats.org/officeDocument/2006/relationships/customXml" Target="../customXml/item12.xml"/><Relationship Id="rId103" Type="http://schemas.openxmlformats.org/officeDocument/2006/relationships/customXml" Target="../customXml/item56.xml"/><Relationship Id="rId108" Type="http://schemas.openxmlformats.org/officeDocument/2006/relationships/customXml" Target="../customXml/item61.xml"/><Relationship Id="rId124" Type="http://schemas.openxmlformats.org/officeDocument/2006/relationships/customXml" Target="../customXml/item77.xml"/><Relationship Id="rId54" Type="http://schemas.openxmlformats.org/officeDocument/2006/relationships/customXml" Target="../customXml/item7.xml"/><Relationship Id="rId70" Type="http://schemas.openxmlformats.org/officeDocument/2006/relationships/customXml" Target="../customXml/item23.xml"/><Relationship Id="rId75" Type="http://schemas.openxmlformats.org/officeDocument/2006/relationships/customXml" Target="../customXml/item28.xml"/><Relationship Id="rId91" Type="http://schemas.openxmlformats.org/officeDocument/2006/relationships/customXml" Target="../customXml/item44.xml"/><Relationship Id="rId96" Type="http://schemas.openxmlformats.org/officeDocument/2006/relationships/customXml" Target="../customXml/item4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2.xml"/><Relationship Id="rId49" Type="http://schemas.openxmlformats.org/officeDocument/2006/relationships/customXml" Target="../customXml/item2.xml"/><Relationship Id="rId114" Type="http://schemas.openxmlformats.org/officeDocument/2006/relationships/customXml" Target="../customXml/item67.xml"/><Relationship Id="rId119" Type="http://schemas.openxmlformats.org/officeDocument/2006/relationships/customXml" Target="../customXml/item72.xml"/><Relationship Id="rId44" Type="http://schemas.openxmlformats.org/officeDocument/2006/relationships/styles" Target="styles.xml"/><Relationship Id="rId60" Type="http://schemas.openxmlformats.org/officeDocument/2006/relationships/customXml" Target="../customXml/item13.xml"/><Relationship Id="rId65" Type="http://schemas.openxmlformats.org/officeDocument/2006/relationships/customXml" Target="../customXml/item18.xml"/><Relationship Id="rId81" Type="http://schemas.openxmlformats.org/officeDocument/2006/relationships/customXml" Target="../customXml/item34.xml"/><Relationship Id="rId86" Type="http://schemas.openxmlformats.org/officeDocument/2006/relationships/customXml" Target="../customXml/item39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9" Type="http://schemas.openxmlformats.org/officeDocument/2006/relationships/pivotCacheDefinition" Target="pivotCache/pivotCacheDefinition23.xml"/><Relationship Id="rId109" Type="http://schemas.openxmlformats.org/officeDocument/2006/relationships/customXml" Target="../customXml/item62.xml"/><Relationship Id="rId34" Type="http://schemas.openxmlformats.org/officeDocument/2006/relationships/pivotCacheDefinition" Target="pivotCache/pivotCacheDefinition18.xml"/><Relationship Id="rId50" Type="http://schemas.openxmlformats.org/officeDocument/2006/relationships/customXml" Target="../customXml/item3.xml"/><Relationship Id="rId55" Type="http://schemas.openxmlformats.org/officeDocument/2006/relationships/customXml" Target="../customXml/item8.xml"/><Relationship Id="rId76" Type="http://schemas.openxmlformats.org/officeDocument/2006/relationships/customXml" Target="../customXml/item29.xml"/><Relationship Id="rId97" Type="http://schemas.openxmlformats.org/officeDocument/2006/relationships/customXml" Target="../customXml/item50.xml"/><Relationship Id="rId104" Type="http://schemas.openxmlformats.org/officeDocument/2006/relationships/customXml" Target="../customXml/item57.xml"/><Relationship Id="rId120" Type="http://schemas.openxmlformats.org/officeDocument/2006/relationships/customXml" Target="../customXml/item73.xml"/><Relationship Id="rId125" Type="http://schemas.openxmlformats.org/officeDocument/2006/relationships/customXml" Target="../customXml/item7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24.xml"/><Relationship Id="rId92" Type="http://schemas.openxmlformats.org/officeDocument/2006/relationships/customXml" Target="../customXml/item45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3.xml"/><Relationship Id="rId24" Type="http://schemas.openxmlformats.org/officeDocument/2006/relationships/pivotCacheDefinition" Target="pivotCache/pivotCacheDefinition8.xml"/><Relationship Id="rId40" Type="http://schemas.openxmlformats.org/officeDocument/2006/relationships/pivotCacheDefinition" Target="pivotCache/pivotCacheDefinition24.xml"/><Relationship Id="rId45" Type="http://schemas.openxmlformats.org/officeDocument/2006/relationships/sharedStrings" Target="sharedStrings.xml"/><Relationship Id="rId66" Type="http://schemas.openxmlformats.org/officeDocument/2006/relationships/customXml" Target="../customXml/item19.xml"/><Relationship Id="rId87" Type="http://schemas.openxmlformats.org/officeDocument/2006/relationships/customXml" Target="../customXml/item40.xml"/><Relationship Id="rId110" Type="http://schemas.openxmlformats.org/officeDocument/2006/relationships/customXml" Target="../customXml/item63.xml"/><Relationship Id="rId115" Type="http://schemas.openxmlformats.org/officeDocument/2006/relationships/customXml" Target="../customXml/item68.xml"/><Relationship Id="rId61" Type="http://schemas.openxmlformats.org/officeDocument/2006/relationships/customXml" Target="../customXml/item14.xml"/><Relationship Id="rId82" Type="http://schemas.openxmlformats.org/officeDocument/2006/relationships/customXml" Target="../customXml/item35.xml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30" Type="http://schemas.openxmlformats.org/officeDocument/2006/relationships/pivotCacheDefinition" Target="pivotCache/pivotCacheDefinition14.xml"/><Relationship Id="rId35" Type="http://schemas.openxmlformats.org/officeDocument/2006/relationships/pivotCacheDefinition" Target="pivotCache/pivotCacheDefinition19.xml"/><Relationship Id="rId56" Type="http://schemas.openxmlformats.org/officeDocument/2006/relationships/customXml" Target="../customXml/item9.xml"/><Relationship Id="rId77" Type="http://schemas.openxmlformats.org/officeDocument/2006/relationships/customXml" Target="../customXml/item30.xml"/><Relationship Id="rId100" Type="http://schemas.openxmlformats.org/officeDocument/2006/relationships/customXml" Target="../customXml/item53.xml"/><Relationship Id="rId105" Type="http://schemas.openxmlformats.org/officeDocument/2006/relationships/customXml" Target="../customXml/item58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ustomXml" Target="../customXml/item4.xml"/><Relationship Id="rId72" Type="http://schemas.openxmlformats.org/officeDocument/2006/relationships/customXml" Target="../customXml/item25.xml"/><Relationship Id="rId93" Type="http://schemas.openxmlformats.org/officeDocument/2006/relationships/customXml" Target="../customXml/item46.xml"/><Relationship Id="rId98" Type="http://schemas.openxmlformats.org/officeDocument/2006/relationships/customXml" Target="../customXml/item51.xml"/><Relationship Id="rId121" Type="http://schemas.openxmlformats.org/officeDocument/2006/relationships/customXml" Target="../customXml/item74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9.xml"/><Relationship Id="rId46" Type="http://schemas.openxmlformats.org/officeDocument/2006/relationships/powerPivotData" Target="model/item.data"/><Relationship Id="rId67" Type="http://schemas.openxmlformats.org/officeDocument/2006/relationships/customXml" Target="../customXml/item20.xml"/><Relationship Id="rId116" Type="http://schemas.openxmlformats.org/officeDocument/2006/relationships/customXml" Target="../customXml/item69.xml"/><Relationship Id="rId20" Type="http://schemas.openxmlformats.org/officeDocument/2006/relationships/pivotCacheDefinition" Target="pivotCache/pivotCacheDefinition4.xml"/><Relationship Id="rId41" Type="http://schemas.openxmlformats.org/officeDocument/2006/relationships/pivotCacheDefinition" Target="pivotCache/pivotCacheDefinition25.xml"/><Relationship Id="rId62" Type="http://schemas.openxmlformats.org/officeDocument/2006/relationships/customXml" Target="../customXml/item15.xml"/><Relationship Id="rId83" Type="http://schemas.openxmlformats.org/officeDocument/2006/relationships/customXml" Target="../customXml/item36.xml"/><Relationship Id="rId88" Type="http://schemas.openxmlformats.org/officeDocument/2006/relationships/customXml" Target="../customXml/item41.xml"/><Relationship Id="rId111" Type="http://schemas.openxmlformats.org/officeDocument/2006/relationships/customXml" Target="../customXml/item64.xml"/><Relationship Id="rId15" Type="http://schemas.openxmlformats.org/officeDocument/2006/relationships/worksheet" Target="worksheets/sheet15.xml"/><Relationship Id="rId36" Type="http://schemas.openxmlformats.org/officeDocument/2006/relationships/pivotCacheDefinition" Target="pivotCache/pivotCacheDefinition20.xml"/><Relationship Id="rId57" Type="http://schemas.openxmlformats.org/officeDocument/2006/relationships/customXml" Target="../customXml/item10.xml"/><Relationship Id="rId106" Type="http://schemas.openxmlformats.org/officeDocument/2006/relationships/customXml" Target="../customXml/item59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5.xml"/><Relationship Id="rId52" Type="http://schemas.openxmlformats.org/officeDocument/2006/relationships/customXml" Target="../customXml/item5.xml"/><Relationship Id="rId73" Type="http://schemas.openxmlformats.org/officeDocument/2006/relationships/customXml" Target="../customXml/item26.xml"/><Relationship Id="rId78" Type="http://schemas.openxmlformats.org/officeDocument/2006/relationships/customXml" Target="../customXml/item31.xml"/><Relationship Id="rId94" Type="http://schemas.openxmlformats.org/officeDocument/2006/relationships/customXml" Target="../customXml/item47.xml"/><Relationship Id="rId99" Type="http://schemas.openxmlformats.org/officeDocument/2006/relationships/customXml" Target="../customXml/item52.xml"/><Relationship Id="rId101" Type="http://schemas.openxmlformats.org/officeDocument/2006/relationships/customXml" Target="../customXml/item54.xml"/><Relationship Id="rId122" Type="http://schemas.openxmlformats.org/officeDocument/2006/relationships/customXml" Target="../customXml/item7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6952"/>
        <c:axId val="508676560"/>
      </c:barChart>
      <c:catAx>
        <c:axId val="508676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560"/>
        <c:crosses val="autoZero"/>
        <c:auto val="1"/>
        <c:lblAlgn val="ctr"/>
        <c:lblOffset val="100"/>
        <c:noMultiLvlLbl val="0"/>
      </c:catAx>
      <c:valAx>
        <c:axId val="50867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6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8673424"/>
        <c:axId val="508673816"/>
      </c:barChart>
      <c:catAx>
        <c:axId val="50867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816"/>
        <c:crosses val="autoZero"/>
        <c:auto val="1"/>
        <c:lblAlgn val="ctr"/>
        <c:lblOffset val="100"/>
        <c:noMultiLvlLbl val="0"/>
      </c:catAx>
      <c:valAx>
        <c:axId val="5086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673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392"/>
        <c:axId val="502764960"/>
      </c:barChart>
      <c:catAx>
        <c:axId val="502763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960"/>
        <c:crosses val="autoZero"/>
        <c:auto val="1"/>
        <c:lblAlgn val="ctr"/>
        <c:lblOffset val="100"/>
        <c:noMultiLvlLbl val="0"/>
      </c:catAx>
      <c:valAx>
        <c:axId val="50276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6136"/>
        <c:axId val="502764176"/>
      </c:barChart>
      <c:catAx>
        <c:axId val="502766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4176"/>
        <c:crosses val="autoZero"/>
        <c:auto val="1"/>
        <c:lblAlgn val="ctr"/>
        <c:lblOffset val="100"/>
        <c:noMultiLvlLbl val="0"/>
      </c:catAx>
      <c:valAx>
        <c:axId val="50276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6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report.xlsm]Production!PivotTable13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6560"/>
        <c:axId val="687706952"/>
      </c:barChart>
      <c:catAx>
        <c:axId val="68770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952"/>
        <c:crosses val="autoZero"/>
        <c:auto val="1"/>
        <c:lblAlgn val="ctr"/>
        <c:lblOffset val="100"/>
        <c:noMultiLvlLbl val="0"/>
      </c:catAx>
      <c:valAx>
        <c:axId val="6877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6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report.xlsm]Irradiationx!PivotTable28</c:name>
    <c:fmtId val="0"/>
  </c:pivotSource>
  <c:chart>
    <c:autoTitleDeleted val="0"/>
    <c:pivotFmts>
      <c:pivotFmt>
        <c:idx val="0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F0505"/>
          </a:solidFill>
          <a:ln>
            <a:solidFill>
              <a:srgbClr val="5F0505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3815048118985129"/>
          <c:y val="0.17171296296296298"/>
          <c:w val="0.6878718285214348"/>
          <c:h val="0.61675707203266261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87709696"/>
        <c:axId val="687707736"/>
      </c:barChart>
      <c:catAx>
        <c:axId val="68770969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7736"/>
        <c:crosses val="autoZero"/>
        <c:auto val="1"/>
        <c:lblAlgn val="ctr"/>
        <c:lblOffset val="100"/>
        <c:noMultiLvlLbl val="0"/>
      </c:catAx>
      <c:valAx>
        <c:axId val="6877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5557798002664"/>
          <c:y val="0.11708038820728806"/>
          <c:w val="0.31323612730440614"/>
          <c:h val="0.394639635562796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report.xlsm]Irradiationx!PivotTable29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5F050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1">
              <a:lumMod val="8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47594050743664E-2"/>
          <c:y val="5.6957917191261177E-2"/>
          <c:w val="0.57446872265966753"/>
          <c:h val="0.82292162721063589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7708520"/>
        <c:axId val="687709304"/>
      </c:barChart>
      <c:dateAx>
        <c:axId val="687708520"/>
        <c:scaling>
          <c:orientation val="minMax"/>
        </c:scaling>
        <c:delete val="0"/>
        <c:axPos val="b"/>
        <c:numFmt formatCode="#\,##0;\-#\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9304"/>
        <c:crosses val="autoZero"/>
        <c:auto val="0"/>
        <c:lblOffset val="100"/>
        <c:baseTimeUnit val="days"/>
      </c:dateAx>
      <c:valAx>
        <c:axId val="68770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7708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666666666666663"/>
          <c:y val="0.47273075240594919"/>
          <c:w val="0.11614073557261038"/>
          <c:h val="0.122951680220300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2440"/>
        <c:axId val="507883224"/>
      </c:barChart>
      <c:catAx>
        <c:axId val="507882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3224"/>
        <c:crosses val="autoZero"/>
        <c:auto val="1"/>
        <c:lblAlgn val="ctr"/>
        <c:lblOffset val="100"/>
        <c:noMultiLvlLbl val="0"/>
      </c:catAx>
      <c:valAx>
        <c:axId val="507883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2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7881264"/>
        <c:axId val="507881656"/>
      </c:barChart>
      <c:catAx>
        <c:axId val="5078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656"/>
        <c:crosses val="autoZero"/>
        <c:auto val="1"/>
        <c:lblAlgn val="ctr"/>
        <c:lblOffset val="100"/>
        <c:noMultiLvlLbl val="0"/>
      </c:catAx>
      <c:valAx>
        <c:axId val="507881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788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report.xlsm]Irradiationx!PivotTable27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2763784"/>
        <c:axId val="458399728"/>
      </c:barChart>
      <c:catAx>
        <c:axId val="502763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99728"/>
        <c:crosses val="autoZero"/>
        <c:auto val="1"/>
        <c:lblAlgn val="ctr"/>
        <c:lblOffset val="100"/>
        <c:noMultiLvlLbl val="0"/>
      </c:catAx>
      <c:valAx>
        <c:axId val="45839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763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x'!$A$2:$A$6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x'!$B$2:$B$6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3E-426E-ACF9-5CAAAA7D74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1296"/>
        <c:axId val="458403256"/>
      </c:barChart>
      <c:dateAx>
        <c:axId val="45840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3256"/>
        <c:crosses val="autoZero"/>
        <c:auto val="0"/>
        <c:lblOffset val="100"/>
        <c:baseTimeUnit val="days"/>
      </c:dateAx>
      <c:valAx>
        <c:axId val="45840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x!PivotTable36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x'!$B$16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x'!$A$17:$A$21</c:f>
              <c:strCache>
                <c:ptCount val="4"/>
                <c:pt idx="0">
                  <c:v>2022/01/01</c:v>
                </c:pt>
                <c:pt idx="1">
                  <c:v>2022/02/01</c:v>
                </c:pt>
                <c:pt idx="2">
                  <c:v>2022/03/01</c:v>
                </c:pt>
                <c:pt idx="3">
                  <c:v>2022/04/01</c:v>
                </c:pt>
              </c:strCache>
            </c:strRef>
          </c:cat>
          <c:val>
            <c:numRef>
              <c:f>'Availability x'!$B$17:$B$21</c:f>
              <c:numCache>
                <c:formatCode>0.00</c:formatCode>
                <c:ptCount val="4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6-41EB-B2C8-58162490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02080"/>
        <c:axId val="458402472"/>
      </c:barChart>
      <c:dateAx>
        <c:axId val="458402080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472"/>
        <c:crosses val="autoZero"/>
        <c:auto val="0"/>
        <c:lblOffset val="100"/>
        <c:baseTimeUnit val="days"/>
        <c:majorUnit val="1"/>
      </c:dateAx>
      <c:valAx>
        <c:axId val="45840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4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x'!$A$33:$A$35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x'!$B$33:$B$35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B3-497A-B75D-B96A79E01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4976"/>
        <c:axId val="512123800"/>
      </c:barChart>
      <c:catAx>
        <c:axId val="5121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800"/>
        <c:crosses val="autoZero"/>
        <c:auto val="1"/>
        <c:lblAlgn val="ctr"/>
        <c:lblOffset val="100"/>
        <c:noMultiLvlLbl val="0"/>
      </c:catAx>
      <c:valAx>
        <c:axId val="512123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x!PivotTable39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x'!$A$48:$A$50</c:f>
              <c:strCache>
                <c:ptCount val="2"/>
                <c:pt idx="0">
                  <c:v>2022/03/01</c:v>
                </c:pt>
                <c:pt idx="1">
                  <c:v>2022/04/01</c:v>
                </c:pt>
              </c:strCache>
            </c:strRef>
          </c:cat>
          <c:val>
            <c:numRef>
              <c:f>'Availability x'!$B$48:$B$50</c:f>
              <c:numCache>
                <c:formatCode>0.00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D-42E5-B704-C2B4D239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3408"/>
        <c:axId val="512124192"/>
      </c:barChart>
      <c:catAx>
        <c:axId val="51212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4192"/>
        <c:crosses val="autoZero"/>
        <c:auto val="1"/>
        <c:lblAlgn val="ctr"/>
        <c:lblOffset val="100"/>
        <c:noMultiLvlLbl val="0"/>
      </c:catAx>
      <c:valAx>
        <c:axId val="51212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report.xlsm]Availability x!PivotTable38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'Availability x'!$B$60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'Availability x'!$A$61:$A$87</c:f>
              <c:strCache>
                <c:ptCount val="26"/>
                <c:pt idx="0">
                  <c:v>2021/10/01</c:v>
                </c:pt>
                <c:pt idx="1">
                  <c:v>2021/11/01</c:v>
                </c:pt>
                <c:pt idx="2">
                  <c:v>2021/12/01</c:v>
                </c:pt>
                <c:pt idx="3">
                  <c:v>2022/01/01</c:v>
                </c:pt>
                <c:pt idx="4">
                  <c:v>2022/02/01</c:v>
                </c:pt>
                <c:pt idx="5">
                  <c:v>2022/03/01</c:v>
                </c:pt>
                <c:pt idx="6">
                  <c:v>2022/04/01</c:v>
                </c:pt>
                <c:pt idx="7">
                  <c:v>2022/05/01</c:v>
                </c:pt>
                <c:pt idx="8">
                  <c:v>2022/06/01</c:v>
                </c:pt>
                <c:pt idx="9">
                  <c:v>2022/07/01</c:v>
                </c:pt>
                <c:pt idx="10">
                  <c:v>2022/08/01</c:v>
                </c:pt>
                <c:pt idx="11">
                  <c:v>2022/09/01</c:v>
                </c:pt>
                <c:pt idx="12">
                  <c:v>2022/10/01</c:v>
                </c:pt>
                <c:pt idx="13">
                  <c:v>2022/11/01</c:v>
                </c:pt>
                <c:pt idx="14">
                  <c:v>2022/12/01</c:v>
                </c:pt>
                <c:pt idx="15">
                  <c:v>2023/01/01</c:v>
                </c:pt>
                <c:pt idx="16">
                  <c:v>2023/02/01</c:v>
                </c:pt>
                <c:pt idx="17">
                  <c:v>2023/03/01</c:v>
                </c:pt>
                <c:pt idx="18">
                  <c:v>2023/04/01</c:v>
                </c:pt>
                <c:pt idx="19">
                  <c:v>2023/05/01</c:v>
                </c:pt>
                <c:pt idx="20">
                  <c:v>2023/06/01</c:v>
                </c:pt>
                <c:pt idx="21">
                  <c:v>2023/07/01</c:v>
                </c:pt>
                <c:pt idx="22">
                  <c:v>2023/08/01</c:v>
                </c:pt>
                <c:pt idx="23">
                  <c:v>2023/09/01</c:v>
                </c:pt>
                <c:pt idx="24">
                  <c:v>2023/10/01</c:v>
                </c:pt>
                <c:pt idx="25">
                  <c:v>2023/11/01</c:v>
                </c:pt>
              </c:strCache>
            </c:strRef>
          </c:cat>
          <c:val>
            <c:numRef>
              <c:f>'Availability x'!$B$61:$B$87</c:f>
              <c:numCache>
                <c:formatCode>0.00</c:formatCode>
                <c:ptCount val="26"/>
                <c:pt idx="0">
                  <c:v>99</c:v>
                </c:pt>
                <c:pt idx="1">
                  <c:v>99</c:v>
                </c:pt>
                <c:pt idx="2">
                  <c:v>99</c:v>
                </c:pt>
                <c:pt idx="3">
                  <c:v>99</c:v>
                </c:pt>
                <c:pt idx="4">
                  <c:v>99</c:v>
                </c:pt>
                <c:pt idx="5">
                  <c:v>99</c:v>
                </c:pt>
                <c:pt idx="6">
                  <c:v>99</c:v>
                </c:pt>
                <c:pt idx="7">
                  <c:v>99</c:v>
                </c:pt>
                <c:pt idx="8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99</c:v>
                </c:pt>
                <c:pt idx="17">
                  <c:v>99</c:v>
                </c:pt>
                <c:pt idx="18">
                  <c:v>99</c:v>
                </c:pt>
                <c:pt idx="19">
                  <c:v>99</c:v>
                </c:pt>
                <c:pt idx="20">
                  <c:v>99</c:v>
                </c:pt>
                <c:pt idx="21">
                  <c:v>99</c:v>
                </c:pt>
                <c:pt idx="22">
                  <c:v>99</c:v>
                </c:pt>
                <c:pt idx="23">
                  <c:v>99</c:v>
                </c:pt>
                <c:pt idx="24">
                  <c:v>99</c:v>
                </c:pt>
                <c:pt idx="25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68-4048-84BB-0C9F40ADA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126152"/>
        <c:axId val="457709184"/>
      </c:barChart>
      <c:catAx>
        <c:axId val="512126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709184"/>
        <c:crosses val="autoZero"/>
        <c:auto val="1"/>
        <c:lblAlgn val="ctr"/>
        <c:lblOffset val="100"/>
        <c:noMultiLvlLbl val="0"/>
      </c:catAx>
      <c:valAx>
        <c:axId val="45770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126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7710752"/>
        <c:axId val="457711144"/>
      </c:barChart>
      <c:catAx>
        <c:axId val="45771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1144"/>
        <c:crosses val="autoZero"/>
        <c:auto val="1"/>
        <c:lblAlgn val="ctr"/>
        <c:lblOffset val="100"/>
        <c:noMultiLvlLbl val="0"/>
      </c:catAx>
      <c:valAx>
        <c:axId val="457711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5771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x!PivotTable47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072"/>
        <c:axId val="515541424"/>
      </c:barChart>
      <c:catAx>
        <c:axId val="51553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424"/>
        <c:crosses val="autoZero"/>
        <c:auto val="1"/>
        <c:lblAlgn val="ctr"/>
        <c:lblOffset val="100"/>
        <c:noMultiLvlLbl val="0"/>
      </c:catAx>
      <c:valAx>
        <c:axId val="51554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x!PivotTable48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3531386070632"/>
          <c:y val="0.22197564571119657"/>
          <c:w val="0.55162741008943084"/>
          <c:h val="0.45584280330993004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39464"/>
        <c:axId val="515540248"/>
      </c:barChart>
      <c:catAx>
        <c:axId val="515539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0248"/>
        <c:crosses val="autoZero"/>
        <c:auto val="1"/>
        <c:lblAlgn val="ctr"/>
        <c:lblOffset val="100"/>
        <c:noMultiLvlLbl val="0"/>
      </c:catAx>
      <c:valAx>
        <c:axId val="51554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39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x!PivotTable49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541032"/>
        <c:axId val="515541816"/>
      </c:barChart>
      <c:catAx>
        <c:axId val="515541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816"/>
        <c:crosses val="autoZero"/>
        <c:auto val="1"/>
        <c:lblAlgn val="ctr"/>
        <c:lblOffset val="100"/>
        <c:noMultiLvlLbl val="0"/>
      </c:catAx>
      <c:valAx>
        <c:axId val="515541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515541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[Monthly report.xlsm]Revenue x!PivotTable50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099848"/>
        <c:axId val="685098280"/>
      </c:barChart>
      <c:catAx>
        <c:axId val="685099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85098280"/>
        <c:crosses val="autoZero"/>
        <c:auto val="1"/>
        <c:lblAlgn val="ctr"/>
        <c:lblOffset val="100"/>
        <c:noMultiLvlLbl val="0"/>
      </c:catAx>
      <c:valAx>
        <c:axId val="685098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099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23812</xdr:rowOff>
    </xdr:from>
    <xdr:to>
      <xdr:col>5</xdr:col>
      <xdr:colOff>2581275</xdr:colOff>
      <xdr:row>14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CD1D3B-071E-59AE-92CA-41620765D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409574</xdr:colOff>
      <xdr:row>15</xdr:row>
      <xdr:rowOff>119062</xdr:rowOff>
    </xdr:from>
    <xdr:to>
      <xdr:col>12</xdr:col>
      <xdr:colOff>504824</xdr:colOff>
      <xdr:row>30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B1CDCC-EDF1-57C4-653E-C567A1E2A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419100</xdr:colOff>
      <xdr:row>30</xdr:row>
      <xdr:rowOff>42862</xdr:rowOff>
    </xdr:from>
    <xdr:to>
      <xdr:col>5</xdr:col>
      <xdr:colOff>2657475</xdr:colOff>
      <xdr:row>44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54C5CEA-2C89-3A8E-E679-6B79EE7B67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457200</xdr:colOff>
      <xdr:row>61</xdr:row>
      <xdr:rowOff>114299</xdr:rowOff>
    </xdr:from>
    <xdr:to>
      <xdr:col>5</xdr:col>
      <xdr:colOff>2590800</xdr:colOff>
      <xdr:row>76</xdr:row>
      <xdr:rowOff>109536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280C669-C330-4EDB-175E-B88C08691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1190625</xdr:colOff>
      <xdr:row>39</xdr:row>
      <xdr:rowOff>61912</xdr:rowOff>
    </xdr:from>
    <xdr:to>
      <xdr:col>12</xdr:col>
      <xdr:colOff>342900</xdr:colOff>
      <xdr:row>53</xdr:row>
      <xdr:rowOff>138112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E1C9753-3072-8EEF-249A-754F1833C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723898</xdr:colOff>
      <xdr:row>0</xdr:row>
      <xdr:rowOff>57150</xdr:rowOff>
    </xdr:from>
    <xdr:to>
      <xdr:col>6</xdr:col>
      <xdr:colOff>600074</xdr:colOff>
      <xdr:row>13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162A02-B73A-DB5E-9FB1-D306751F05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1152525</xdr:colOff>
      <xdr:row>15</xdr:row>
      <xdr:rowOff>161924</xdr:rowOff>
    </xdr:from>
    <xdr:to>
      <xdr:col>5</xdr:col>
      <xdr:colOff>428625</xdr:colOff>
      <xdr:row>24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A58E8F-0169-9493-914D-F3123820F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952500</xdr:colOff>
      <xdr:row>28</xdr:row>
      <xdr:rowOff>14287</xdr:rowOff>
    </xdr:from>
    <xdr:to>
      <xdr:col>6</xdr:col>
      <xdr:colOff>390525</xdr:colOff>
      <xdr:row>40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EA5EC14-F4AC-7ED3-A463-1F570960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561974</xdr:colOff>
      <xdr:row>42</xdr:row>
      <xdr:rowOff>100012</xdr:rowOff>
    </xdr:from>
    <xdr:to>
      <xdr:col>5</xdr:col>
      <xdr:colOff>295274</xdr:colOff>
      <xdr:row>52</xdr:row>
      <xdr:rowOff>66675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5174E9A-824D-9228-2176-BFD6680602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304800</xdr:colOff>
      <xdr:row>53</xdr:row>
      <xdr:rowOff>23812</xdr:rowOff>
    </xdr:from>
    <xdr:to>
      <xdr:col>5</xdr:col>
      <xdr:colOff>390525</xdr:colOff>
      <xdr:row>67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98A1C2A-9F8D-73A3-14D7-D6F04F9F46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0</xdr:row>
      <xdr:rowOff>28575</xdr:rowOff>
    </xdr:from>
    <xdr:to>
      <xdr:col>13</xdr:col>
      <xdr:colOff>171449</xdr:colOff>
      <xdr:row>10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E75A3-5AE5-FDE1-1705-CF0B1833FF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11</xdr:row>
      <xdr:rowOff>152400</xdr:rowOff>
    </xdr:from>
    <xdr:to>
      <xdr:col>13</xdr:col>
      <xdr:colOff>228600</xdr:colOff>
      <xdr:row>22</xdr:row>
      <xdr:rowOff>123826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000EE3-205B-45DB-1F3C-EE23A41D4E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390524</xdr:colOff>
      <xdr:row>30</xdr:row>
      <xdr:rowOff>0</xdr:rowOff>
    </xdr:from>
    <xdr:to>
      <xdr:col>10</xdr:col>
      <xdr:colOff>342899</xdr:colOff>
      <xdr:row>41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7F56E98-042B-FBDF-30BB-53FBB3A66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400050</xdr:colOff>
      <xdr:row>44</xdr:row>
      <xdr:rowOff>114299</xdr:rowOff>
    </xdr:from>
    <xdr:to>
      <xdr:col>9</xdr:col>
      <xdr:colOff>533400</xdr:colOff>
      <xdr:row>56</xdr:row>
      <xdr:rowOff>28574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644C8E-21D7-3E06-CD75-42C842130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400050</xdr:colOff>
      <xdr:row>59</xdr:row>
      <xdr:rowOff>9525</xdr:rowOff>
    </xdr:from>
    <xdr:to>
      <xdr:col>9</xdr:col>
      <xdr:colOff>581025</xdr:colOff>
      <xdr:row>70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AAD0E8A-26C7-603C-121D-5DBAF54476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1749135</xdr:colOff>
      <xdr:row>1</xdr:row>
      <xdr:rowOff>14720</xdr:rowOff>
    </xdr:from>
    <xdr:to>
      <xdr:col>12</xdr:col>
      <xdr:colOff>0</xdr:colOff>
      <xdr:row>14</xdr:row>
      <xdr:rowOff>67235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94F814-693C-7C92-D865-9A3A1D3609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1703294</xdr:colOff>
      <xdr:row>15</xdr:row>
      <xdr:rowOff>40341</xdr:rowOff>
    </xdr:from>
    <xdr:to>
      <xdr:col>10</xdr:col>
      <xdr:colOff>252132</xdr:colOff>
      <xdr:row>27</xdr:row>
      <xdr:rowOff>44824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F59CCC-36B8-FAD7-4B37-6AFB06F19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1647266</xdr:colOff>
      <xdr:row>26</xdr:row>
      <xdr:rowOff>123265</xdr:rowOff>
    </xdr:from>
    <xdr:to>
      <xdr:col>11</xdr:col>
      <xdr:colOff>117661</xdr:colOff>
      <xdr:row>37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79E3A8-DDF8-62D0-E883-FDE6139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1714500</xdr:colOff>
      <xdr:row>38</xdr:row>
      <xdr:rowOff>179295</xdr:rowOff>
    </xdr:from>
    <xdr:to>
      <xdr:col>10</xdr:col>
      <xdr:colOff>593912</xdr:colOff>
      <xdr:row>50</xdr:row>
      <xdr:rowOff>67235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6D3537D-559A-0DD0-1DE8-E0F462765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1837765</xdr:colOff>
      <xdr:row>52</xdr:row>
      <xdr:rowOff>156882</xdr:rowOff>
    </xdr:from>
    <xdr:to>
      <xdr:col>11</xdr:col>
      <xdr:colOff>22412</xdr:colOff>
      <xdr:row>64</xdr:row>
      <xdr:rowOff>33618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08A0E4B-91DB-CAFD-5E2C-F2AE52949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6805555" backgroundQuery="1" createdVersion="8" refreshedVersion="8" minRefreshableVersion="3" recordCount="0" supportSubquery="1" supportAdvancedDrill="1" xr:uid="{00000000-000A-0000-FFFF-FFFF3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38425925" createdVersion="8" refreshedVersion="8" minRefreshableVersion="3" recordCount="0" supportSubquery="1" supportAdvancedDrill="1" xr:uid="{00000000-000A-0000-FFFF-FFFF3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0046295" createdVersion="8" refreshedVersion="8" minRefreshableVersion="3" recordCount="0" supportSubquery="1" supportAdvancedDrill="1" xr:uid="{00000000-000A-0000-FFFF-FFFF34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1666666" createdVersion="8" refreshedVersion="8" minRefreshableVersion="3" recordCount="0" supportSubquery="1" supportAdvancedDrill="1" xr:uid="{00000000-000A-0000-FFFF-FFFF35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0843171297" createdVersion="8" refreshedVersion="8" minRefreshableVersion="3" recordCount="0" supportSubquery="1" supportAdvancedDrill="1" xr:uid="{00000000-000A-0000-FFFF-FFFF36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3-11-02T00:00:00" count="26">
        <d v="2021-10-01T00:00:00"/>
        <d v="2021-11-01T00:00:00"/>
        <d v="2021-12-01T00:00:00"/>
        <d v="2022-01-01T00:00:00"/>
        <d v="2022-02-01T00:00:00"/>
        <d v="2022-03-01T00:00:00"/>
        <d v="2022-04-01T00:00:00"/>
        <d v="2022-05-01T00:00:00"/>
        <d v="2022-06-01T00:00:00"/>
        <d v="2022-07-01T00:00:00"/>
        <d v="2022-08-01T00:00:00"/>
        <d v="2022-09-01T00:00:00"/>
        <d v="2022-10-01T00:00:00"/>
        <d v="2022-11-01T00:00:00"/>
        <d v="2022-12-01T00:00:00"/>
        <d v="2023-01-01T00:00:00"/>
        <d v="2023-02-01T00:00:00"/>
        <d v="2023-03-01T00:00:00"/>
        <d v="2023-04-01T00:00:00"/>
        <d v="2023-05-01T00:00:00"/>
        <d v="2023-06-01T00:00:00"/>
        <d v="2023-07-01T00:00:00"/>
        <d v="2023-08-01T00:00:00"/>
        <d v="2023-09-01T00:00:00"/>
        <d v="2023-10-01T00:00:00"/>
        <d v="2023-11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1041664" createdVersion="8" refreshedVersion="8" minRefreshableVersion="3" recordCount="0" supportSubquery="1" supportAdvancedDrill="1" xr:uid="{00000000-000A-0000-FFFF-FFFF3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2314818" createdVersion="8" refreshedVersion="8" minRefreshableVersion="3" recordCount="0" supportSubquery="1" supportAdvancedDrill="1" xr:uid="{00000000-000A-0000-FFFF-FFFF3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3472219" createdVersion="8" refreshedVersion="8" minRefreshableVersion="3" recordCount="0" supportSubquery="1" supportAdvancedDrill="1" xr:uid="{00000000-000A-0000-FFFF-FFFF3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4745374" backgroundQuery="1" createdVersion="8" refreshedVersion="8" minRefreshableVersion="3" recordCount="0" supportSubquery="1" supportAdvancedDrill="1" xr:uid="{00000000-000A-0000-FFFF-FFFF3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6018521" createdVersion="8" refreshedVersion="8" minRefreshableVersion="3" recordCount="0" supportSubquery="1" supportAdvancedDrill="1" xr:uid="{00000000-000A-0000-FFFF-FFFF3B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7291668" createdVersion="8" refreshedVersion="8" minRefreshableVersion="3" recordCount="0" supportSubquery="1" supportAdvancedDrill="1" xr:uid="{00000000-000A-0000-FFFF-FFFF3C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  <cacheField name="[Measures].[Sum of Durbanville]" caption="Sum of Durbanville" numFmtId="0" hierarchy="129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8680553" createdVersion="8" refreshedVersion="8" minRefreshableVersion="3" recordCount="0" supportSubquery="1" supportAdvancedDrill="1" xr:uid="{00000000-000A-0000-FFFF-FFFF3D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59953701" backgroundQuery="1" createdVersion="8" refreshedVersion="8" minRefreshableVersion="3" recordCount="0" supportSubquery="1" supportAdvancedDrill="1" xr:uid="{00000000-000A-0000-FFFF-FFFF3E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1458332" createdVersion="8" refreshedVersion="8" minRefreshableVersion="3" recordCount="0" supportSubquery="1" supportAdvancedDrill="1" xr:uid="{00000000-000A-0000-FFFF-FFFF3F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2731479" createdVersion="8" refreshedVersion="8" minRefreshableVersion="3" recordCount="0" supportSubquery="1" supportAdvancedDrill="1" xr:uid="{00000000-000A-0000-FFFF-FFFF40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4120372" backgroundQuery="1" createdVersion="8" refreshedVersion="8" minRefreshableVersion="3" recordCount="0" supportSubquery="1" supportAdvancedDrill="1" xr:uid="{00000000-000A-0000-FFFF-FFFF41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5624997" createdVersion="8" refreshedVersion="8" minRefreshableVersion="3" recordCount="0" supportSubquery="1" supportAdvancedDrill="1" xr:uid="{00000000-000A-0000-FFFF-FFFF42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701389" createdVersion="8" refreshedVersion="8" minRefreshableVersion="3" recordCount="0" supportSubquery="1" supportAdvancedDrill="1" xr:uid="{00000000-000A-0000-FFFF-FFFF43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8287037" backgroundQuery="1" createdVersion="8" refreshedVersion="8" minRefreshableVersion="3" recordCount="0" supportSubquery="1" supportAdvancedDrill="1" xr:uid="{00000000-000A-0000-FFFF-FFFF44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69675922" createdVersion="8" refreshedVersion="8" minRefreshableVersion="3" recordCount="0" supportSubquery="1" supportAdvancedDrill="1" xr:uid="{00000000-000A-0000-FFFF-FFFF45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0949077" backgroundQuery="1" createdVersion="8" refreshedVersion="8" minRefreshableVersion="3" recordCount="0" supportSubquery="1" supportAdvancedDrill="1" xr:uid="{00000000-000A-0000-FFFF-FFFF46000000}">
  <cacheSource type="external" connectionId="4"/>
  <cacheFields count="2">
    <cacheField name="[Table1].[Date].[Date]" caption="Date" numFmtId="0" hierarchy="14" level="1">
      <sharedItems containsSemiMixedTypes="0" containsNonDate="0" containsDate="1" containsString="0" minDate="2022-01-01T00:00:00" maxDate="2022-04-02T00:00:00" count="4">
        <d v="2022-01-01T00:00:00"/>
        <d v="2022-02-01T00:00:00"/>
        <d v="2022-03-01T00:00:00"/>
        <d v="2022-04-01T00:00:00"/>
      </sharedItems>
    </cacheField>
    <cacheField name="[Measures].[Availability Guaranteed (%)]" caption="Availability Guaranteed (%)" numFmtId="0" hierarchy="78" level="32767"/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 oneField="1">
      <fieldsUsage count="1">
        <fieldUsage x="1"/>
      </fieldsUsage>
    </cacheHierarchy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2453701" backgroundQuery="1" createdVersion="8" refreshedVersion="8" minRefreshableVersion="3" recordCount="0" supportSubquery="1" supportAdvancedDrill="1" xr:uid="{00000000-000A-0000-FFFF-FFFF47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3842594" backgroundQuery="1" createdVersion="8" refreshedVersion="8" minRefreshableVersion="3" recordCount="0" supportSubquery="1" supportAdvancedDrill="1" xr:uid="{00000000-000A-0000-FFFF-FFFF48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0-01T00:00:00" maxDate="2022-04-02T00:00:00" count="7">
        <d v="2021-10-01T00:00:00"/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523148" backgroundQuery="1" createdVersion="8" refreshedVersion="8" minRefreshableVersion="3" recordCount="0" supportSubquery="1" supportAdvancedDrill="1" xr:uid="{00000000-000A-0000-FFFF-FFFF49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2-03-01T00:00:00" maxDate="2022-04-02T00:00:00" count="2"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utali" refreshedDate="44787.811176736112" backgroundQuery="1" createdVersion="8" refreshedVersion="8" minRefreshableVersion="3" recordCount="0" supportSubquery="1" supportAdvancedDrill="1" xr:uid="{00000000-000A-0000-FFFF-FFFF4A000000}">
  <cacheSource type="external" connectionId="4"/>
  <cacheFields count="1">
    <cacheField name="[Table1].[Date].[Date]" caption="Date" numFmtId="0" hierarchy="14" level="1">
      <sharedItems containsSemiMixedTypes="0" containsNonDate="0" containsDate="1" containsString="0" minDate="2021-11-01T00:00:00" maxDate="2022-04-02T00:00:00" count="6">
        <d v="2021-11-01T00:00:00"/>
        <d v="2021-12-01T00:00:00"/>
        <d v="2022-01-01T00:00:00"/>
        <d v="2022-02-01T00:00:00"/>
        <d v="2022-03-01T00:00:00"/>
        <d v="2022-04-01T00:00:00"/>
      </sharedItems>
    </cacheField>
  </cacheFields>
  <cacheHierarchies count="182">
    <cacheHierarchy uniqueName="[Revenue].[date]" caption="date" attribute="1" time="1" defaultMemberUniqueName="[Revenue].[date].[All]" allUniqueName="[Revenue].[date].[All]" dimensionUniqueName="[Revenue]" displayFolder="" count="0" memberValueDatatype="7" unbalanced="0"/>
    <cacheHierarchy uniqueName="[Revenue].[Plant ID]" caption="Plant ID" attribute="1" defaultMemberUniqueName="[Revenue].[Plant ID].[All]" allUniqueName="[Revenue].[Plant ID].[All]" dimensionUniqueName="[Revenue]" displayFolder="" count="0" memberValueDatatype="130" unbalanced="0"/>
    <cacheHierarchy uniqueName="[Revenue].[Meter]" caption="Meter" attribute="1" defaultMemberUniqueName="[Revenue].[Meter].[All]" allUniqueName="[Revenue].[Meter].[All]" dimensionUniqueName="[Revenue]" displayFolder="" count="0" memberValueDatatype="130" unbalanced="0"/>
    <cacheHierarchy uniqueName="[Revenue].[Date (start)]" caption="Date (start)" attribute="1" defaultMemberUniqueName="[Revenue].[Date (start)].[All]" allUniqueName="[Revenue].[Date (start)].[All]" dimensionUniqueName="[Revenue]" displayFolder="" count="0" memberValueDatatype="5" unbalanced="0"/>
    <cacheHierarchy uniqueName="[Revenue].[Value]" caption="Value" attribute="1" defaultMemberUniqueName="[Revenue].[Value].[All]" allUniqueName="[Revenue].[Value].[All]" dimensionUniqueName="[Revenue]" displayFolder="" count="0" memberValueDatatype="5" unbalanced="0"/>
    <cacheHierarchy uniqueName="[Revenue].[Interval]" caption="Interval" attribute="1" defaultMemberUniqueName="[Revenue].[Interval].[All]" allUniqueName="[Revenue].[Interval].[All]" dimensionUniqueName="[Revenue]" displayFolder="" count="0" memberValueDatatype="130" unbalanced="0"/>
    <cacheHierarchy uniqueName="[Revenue].[Rate (ZAR)]" caption="Rate (ZAR)" attribute="1" defaultMemberUniqueName="[Revenue].[Rate (ZAR)].[All]" allUniqueName="[Revenue].[Rate (ZAR)].[All]" dimensionUniqueName="[Revenue]" displayFolder="" count="0" memberValueDatatype="5" unbalanced="0"/>
    <cacheHierarchy uniqueName="[Revenue].[Price]" caption="Price" attribute="1" defaultMemberUniqueName="[Revenue].[Price].[All]" allUniqueName="[Revenue].[Price].[All]" dimensionUniqueName="[Revenue]" displayFolder="" count="0" memberValueDatatype="5" unbalanced="0"/>
    <cacheHierarchy uniqueName="[Revenue].[Vat%]" caption="Vat%" attribute="1" defaultMemberUniqueName="[Revenue].[Vat%].[All]" allUniqueName="[Revenue].[Vat%].[All]" dimensionUniqueName="[Revenue]" displayFolder="" count="0" memberValueDatatype="5" unbalanced="0"/>
    <cacheHierarchy uniqueName="[Revenue].[Vat ZAR]" caption="Vat ZAR" attribute="1" defaultMemberUniqueName="[Revenue].[Vat ZAR].[All]" allUniqueName="[Revenue].[Vat ZAR].[All]" dimensionUniqueName="[Revenue]" displayFolder="" count="0" memberValueDatatype="5" unbalanced="0"/>
    <cacheHierarchy uniqueName="[Revenue].[Total (ZAR)]" caption="Total (ZAR)" attribute="1" defaultMemberUniqueName="[Revenue].[Total (ZAR)].[All]" allUniqueName="[Revenue].[Total (ZAR)].[All]" dimensionUniqueName="[Revenue]" displayFolder="" count="0" memberValueDatatype="5" unbalanced="0"/>
    <cacheHierarchy uniqueName="[Revenue].[date (Year)]" caption="date (Year)" attribute="1" defaultMemberUniqueName="[Revenue].[date (Year)].[All]" allUniqueName="[Revenue].[date (Year)].[All]" dimensionUniqueName="[Revenue]" displayFolder="" count="0" memberValueDatatype="130" unbalanced="0"/>
    <cacheHierarchy uniqueName="[Revenue].[date (Quarter)]" caption="date (Quarter)" attribute="1" defaultMemberUniqueName="[Revenue].[date (Quarter)].[All]" allUniqueName="[Revenue].[date (Quarter)].[All]" dimensionUniqueName="[Revenue]" displayFolder="" count="0" memberValueDatatype="130" unbalanced="0"/>
    <cacheHierarchy uniqueName="[Revenue].[date (Month)]" caption="date (Month)" attribute="1" defaultMemberUniqueName="[Revenue].[date (Month)].[All]" allUniqueName="[Revenue].[date (Month)].[All]" dimensionUniqueName="[Revenue]" displayFolder="" count="0" memberValueDatatype="130" unbalanced="0"/>
    <cacheHierarchy uniqueName="[Table1].[Date]" caption="Date" attribute="1" time="1" defaultMemberUniqueName="[Table1].[Date].[All]" allUniqueName="[Table1].[Date].[All]" dimensionUniqueName="[Table1]" displayFolder="" count="2" memberValueDatatype="7" unbalanced="0">
      <fieldsUsage count="2">
        <fieldUsage x="-1"/>
        <fieldUsage x="0"/>
      </fieldsUsage>
    </cacheHierarchy>
    <cacheHierarchy uniqueName="[Table1].[Aces_-_Mediclinic_Vergelegen_Energy_produced_(kWh)]" caption="Aces_-_Mediclinic_Vergelegen_Energy_produced_(kWh)" attribute="1" defaultMemberUniqueName="[Table1].[Aces_-_Mediclinic_Vergelegen_Energy_produced_(kWh)].[All]" allUniqueName="[Table1].[Aces_-_Mediclinic_Vergelegen_Energy_produced_(kWh)].[All]" dimensionUniqueName="[Table1]" displayFolder="" count="0" memberValueDatatype="5" unbalanced="0"/>
    <cacheHierarchy uniqueName="[Table1].[Aces_-_Mediclinic_Vergelegen_PR_(%)]" caption="Aces_-_Mediclinic_Vergelegen_PR_(%)" attribute="1" defaultMemberUniqueName="[Table1].[Aces_-_Mediclinic_Vergelegen_PR_(%)].[All]" allUniqueName="[Table1].[Aces_-_Mediclinic_Vergelegen_PR_(%)].[All]" dimensionUniqueName="[Table1]" displayFolder="" count="0" memberValueDatatype="5" unbalanced="0"/>
    <cacheHierarchy uniqueName="[Table1].[Aces_-_Mediclinic_Vergelegen_Energy_Irradiated_(kWh/m²)]" caption="Aces_-_Mediclinic_Vergelegen_Energy_Irradiated_(kWh/m²)" attribute="1" defaultMemberUniqueName="[Table1].[Aces_-_Mediclinic_Vergelegen_Energy_Irradiated_(kWh/m²)].[All]" allUniqueName="[Table1].[Aces_-_Mediclinic_Vergelegen_Energy_Irradiated_(kWh/m²)].[All]" dimensionUniqueName="[Table1]" displayFolder="" count="0" memberValueDatatype="5" unbalanced="0"/>
    <cacheHierarchy uniqueName="[Table1].[Aces_-_Mediclinic_Vergelegen_Availability_(%)]" caption="Aces_-_Mediclinic_Vergelegen_Availability_(%)" attribute="1" defaultMemberUniqueName="[Table1].[Aces_-_Mediclinic_Vergelegen_Availability_(%)].[All]" allUniqueName="[Table1].[Aces_-_Mediclinic_Vergelegen_Availability_(%)].[All]" dimensionUniqueName="[Table1]" displayFolder="" count="0" memberValueDatatype="5" unbalanced="0"/>
    <cacheHierarchy uniqueName="[Table1].[Aces_-_Mediclinic_Vergelegen_P50_(kWh)]" caption="Aces_-_Mediclinic_Vergelegen_P50_(kWh)" attribute="1" defaultMemberUniqueName="[Table1].[Aces_-_Mediclinic_Vergelegen_P50_(kWh)].[All]" allUniqueName="[Table1].[Aces_-_Mediclinic_Vergelegen_P50_(kWh)].[All]" dimensionUniqueName="[Table1]" displayFolder="" count="0" memberValueDatatype="5" unbalanced="0"/>
    <cacheHierarchy uniqueName="[Table1].[Aces_-_Mediclinic_Vergelegen_estimatedPOA]" caption="Aces_-_Mediclinic_Vergelegen_estimatedPOA" attribute="1" defaultMemberUniqueName="[Table1].[Aces_-_Mediclinic_Vergelegen_estimatedPOA].[All]" allUniqueName="[Table1].[Aces_-_Mediclinic_Vergelegen_estimatedPOA].[All]" dimensionUniqueName="[Table1]" displayFolder="" count="0" memberValueDatatype="5" unbalanced="0"/>
    <cacheHierarchy uniqueName="[Table1].[Aces_-_Mediclinic_Vergelegen_PRP50]" caption="Aces_-_Mediclinic_Vergelegen_PRP50" attribute="1" defaultMemberUniqueName="[Table1].[Aces_-_Mediclinic_Vergelegen_PRP50].[All]" allUniqueName="[Table1].[Aces_-_Mediclinic_Vergelegen_PRP50].[All]" dimensionUniqueName="[Table1]" displayFolder="" count="0" memberValueDatatype="5" unbalanced="0"/>
    <cacheHierarchy uniqueName="[Table1].[Aces_-_Mediclinic_Midstream_Energy_produced_(kWh)2]" caption="Aces_-_Mediclinic_Midstream_Energy_produced_(kWh)2" attribute="1" defaultMemberUniqueName="[Table1].[Aces_-_Mediclinic_Midstream_Energy_produced_(kWh)2].[All]" allUniqueName="[Table1].[Aces_-_Mediclinic_Midstream_Energy_produced_(kWh)2].[All]" dimensionUniqueName="[Table1]" displayFolder="" count="0" memberValueDatatype="5" unbalanced="0"/>
    <cacheHierarchy uniqueName="[Table1].[Aces_-_Mediclinic_Midstream_PR_(%)]" caption="Aces_-_Mediclinic_Midstream_PR_(%)" attribute="1" defaultMemberUniqueName="[Table1].[Aces_-_Mediclinic_Midstream_PR_(%)].[All]" allUniqueName="[Table1].[Aces_-_Mediclinic_Midstream_PR_(%)].[All]" dimensionUniqueName="[Table1]" displayFolder="" count="0" memberValueDatatype="5" unbalanced="0"/>
    <cacheHierarchy uniqueName="[Table1].[Aces_-_Mediclinic_Midstream_Energy_Irradiated_(kWh/m²)]" caption="Aces_-_Mediclinic_Midstream_Energy_Irradiated_(kWh/m²)" attribute="1" defaultMemberUniqueName="[Table1].[Aces_-_Mediclinic_Midstream_Energy_Irradiated_(kWh/m²)].[All]" allUniqueName="[Table1].[Aces_-_Mediclinic_Midstream_Energy_Irradiated_(kWh/m²)].[All]" dimensionUniqueName="[Table1]" displayFolder="" count="0" memberValueDatatype="5" unbalanced="0"/>
    <cacheHierarchy uniqueName="[Table1].[Aces_-_Mediclinic_Midstream_Availability_(%)]" caption="Aces_-_Mediclinic_Midstream_Availability_(%)" attribute="1" defaultMemberUniqueName="[Table1].[Aces_-_Mediclinic_Midstream_Availability_(%)].[All]" allUniqueName="[Table1].[Aces_-_Mediclinic_Midstream_Availability_(%)].[All]" dimensionUniqueName="[Table1]" displayFolder="" count="0" memberValueDatatype="5" unbalanced="0"/>
    <cacheHierarchy uniqueName="[Table1].[Aces_-_Mediclinic_Midstream_P50_(kWh)]" caption="Aces_-_Mediclinic_Midstream_P50_(kWh)" attribute="1" defaultMemberUniqueName="[Table1].[Aces_-_Mediclinic_Midstream_P50_(kWh)].[All]" allUniqueName="[Table1].[Aces_-_Mediclinic_Midstream_P50_(kWh)].[All]" dimensionUniqueName="[Table1]" displayFolder="" count="0" memberValueDatatype="5" unbalanced="0"/>
    <cacheHierarchy uniqueName="[Table1].[Aces_-_Mediclinic_Midstream_estimatedPOA]" caption="Aces_-_Mediclinic_Midstream_estimatedPOA" attribute="1" defaultMemberUniqueName="[Table1].[Aces_-_Mediclinic_Midstream_estimatedPOA].[All]" allUniqueName="[Table1].[Aces_-_Mediclinic_Midstream_estimatedPOA].[All]" dimensionUniqueName="[Table1]" displayFolder="" count="0" memberValueDatatype="5" unbalanced="0"/>
    <cacheHierarchy uniqueName="[Table1].[Aces_-_Mediclinic_Midstream_PRP508]" caption="Aces_-_Mediclinic_Midstream_PRP508" attribute="1" defaultMemberUniqueName="[Table1].[Aces_-_Mediclinic_Midstream_PRP508].[All]" allUniqueName="[Table1].[Aces_-_Mediclinic_Midstream_PRP508].[All]" dimensionUniqueName="[Table1]" displayFolder="" count="0" memberValueDatatype="5" unbalanced="0"/>
    <cacheHierarchy uniqueName="[Table1].[Aces_-_Mediclinic_Durbanville_Energy_produced_(kWh)]" caption="Aces_-_Mediclinic_Durbanville_Energy_produced_(kWh)" attribute="1" defaultMemberUniqueName="[Table1].[Aces_-_Mediclinic_Durbanville_Energy_produced_(kWh)].[All]" allUniqueName="[Table1].[Aces_-_Mediclinic_Durbanville_Energy_produced_(kWh)].[All]" dimensionUniqueName="[Table1]" displayFolder="" count="0" memberValueDatatype="5" unbalanced="0"/>
    <cacheHierarchy uniqueName="[Table1].[Aces_-_Mediclinic_Durbanville_PR_(%)]" caption="Aces_-_Mediclinic_Durbanville_PR_(%)" attribute="1" defaultMemberUniqueName="[Table1].[Aces_-_Mediclinic_Durbanville_PR_(%)].[All]" allUniqueName="[Table1].[Aces_-_Mediclinic_Durbanville_PR_(%)].[All]" dimensionUniqueName="[Table1]" displayFolder="" count="0" memberValueDatatype="5" unbalanced="0"/>
    <cacheHierarchy uniqueName="[Table1].[Aces_-_Mediclinic_Durbanville_Energy_Irradiated_(kWh/m²)11]" caption="Aces_-_Mediclinic_Durbanville_Energy_Irradiated_(kWh/m²)11" attribute="1" defaultMemberUniqueName="[Table1].[Aces_-_Mediclinic_Durbanville_Energy_Irradiated_(kWh/m²)11].[All]" allUniqueName="[Table1].[Aces_-_Mediclinic_Durbanville_Energy_Irradiated_(kWh/m²)11].[All]" dimensionUniqueName="[Table1]" displayFolder="" count="0" memberValueDatatype="5" unbalanced="0"/>
    <cacheHierarchy uniqueName="[Table1].[Aces_-_Mediclinic_Durbanville_Availability_(%)]" caption="Aces_-_Mediclinic_Durbanville_Availability_(%)" attribute="1" defaultMemberUniqueName="[Table1].[Aces_-_Mediclinic_Durbanville_Availability_(%)].[All]" allUniqueName="[Table1].[Aces_-_Mediclinic_Durbanville_Availability_(%)].[All]" dimensionUniqueName="[Table1]" displayFolder="" count="0" memberValueDatatype="5" unbalanced="0"/>
    <cacheHierarchy uniqueName="[Table1].[Aces_-_Mediclinic_Durbanville_P50_(kWh)]" caption="Aces_-_Mediclinic_Durbanville_P50_(kWh)" attribute="1" defaultMemberUniqueName="[Table1].[Aces_-_Mediclinic_Durbanville_P50_(kWh)].[All]" allUniqueName="[Table1].[Aces_-_Mediclinic_Durbanville_P50_(kWh)].[All]" dimensionUniqueName="[Table1]" displayFolder="" count="0" memberValueDatatype="5" unbalanced="0"/>
    <cacheHierarchy uniqueName="[Table1].[Aces_-_Mediclinic_Durbanville_estimatedPOA]" caption="Aces_-_Mediclinic_Durbanville_estimatedPOA" attribute="1" defaultMemberUniqueName="[Table1].[Aces_-_Mediclinic_Durbanville_estimatedPOA].[All]" allUniqueName="[Table1].[Aces_-_Mediclinic_Durbanville_estimatedPOA].[All]" dimensionUniqueName="[Table1]" displayFolder="" count="0" memberValueDatatype="5" unbalanced="0"/>
    <cacheHierarchy uniqueName="[Table1].[Aces_-_Mediclinic_Durbanville_PRP50]" caption="Aces_-_Mediclinic_Durbanville_PRP50" attribute="1" defaultMemberUniqueName="[Table1].[Aces_-_Mediclinic_Durbanville_PRP50].[All]" allUniqueName="[Table1].[Aces_-_Mediclinic_Durbanville_PRP50].[All]" dimensionUniqueName="[Table1]" displayFolder="" count="0" memberValueDatatype="5" unbalanced="0"/>
    <cacheHierarchy uniqueName="[Table1].[Aces_-_Mediclinic_Hermanus_Energy_produced_(kWh)]" caption="Aces_-_Mediclinic_Hermanus_Energy_produced_(kWh)" attribute="1" defaultMemberUniqueName="[Table1].[Aces_-_Mediclinic_Hermanus_Energy_produced_(kWh)].[All]" allUniqueName="[Table1].[Aces_-_Mediclinic_Hermanus_Energy_produced_(kWh)].[All]" dimensionUniqueName="[Table1]" displayFolder="" count="0" memberValueDatatype="5" unbalanced="0"/>
    <cacheHierarchy uniqueName="[Table1].[Aces_-_Mediclinic_Hermanus_PR_(%)]" caption="Aces_-_Mediclinic_Hermanus_PR_(%)" attribute="1" defaultMemberUniqueName="[Table1].[Aces_-_Mediclinic_Hermanus_PR_(%)].[All]" allUniqueName="[Table1].[Aces_-_Mediclinic_Hermanus_PR_(%)].[All]" dimensionUniqueName="[Table1]" displayFolder="" count="0" memberValueDatatype="5" unbalanced="0"/>
    <cacheHierarchy uniqueName="[Table1].[Aces_-_Mediclinic_Hermanus_Energy_Irradiated_(kWh/m²)]" caption="Aces_-_Mediclinic_Hermanus_Energy_Irradiated_(kWh/m²)" attribute="1" defaultMemberUniqueName="[Table1].[Aces_-_Mediclinic_Hermanus_Energy_Irradiated_(kWh/m²)].[All]" allUniqueName="[Table1].[Aces_-_Mediclinic_Hermanus_Energy_Irradiated_(kWh/m²)].[All]" dimensionUniqueName="[Table1]" displayFolder="" count="0" memberValueDatatype="5" unbalanced="0"/>
    <cacheHierarchy uniqueName="[Table1].[Aces_-_Mediclinic_Hermanus_Availability_(%)]" caption="Aces_-_Mediclinic_Hermanus_Availability_(%)" attribute="1" defaultMemberUniqueName="[Table1].[Aces_-_Mediclinic_Hermanus_Availability_(%)].[All]" allUniqueName="[Table1].[Aces_-_Mediclinic_Hermanus_Availability_(%)].[All]" dimensionUniqueName="[Table1]" displayFolder="" count="0" memberValueDatatype="5" unbalanced="0"/>
    <cacheHierarchy uniqueName="[Table1].[Aces_-_Mediclinic_HermanusP50_(kWh)]" caption="Aces_-_Mediclinic_HermanusP50_(kWh)" attribute="1" defaultMemberUniqueName="[Table1].[Aces_-_Mediclinic_HermanusP50_(kWh)].[All]" allUniqueName="[Table1].[Aces_-_Mediclinic_HermanusP50_(kWh)].[All]" dimensionUniqueName="[Table1]" displayFolder="" count="0" memberValueDatatype="5" unbalanced="0"/>
    <cacheHierarchy uniqueName="[Table1].[Aces_-_Mediclinic_Hermanus_estimatedPOA]" caption="Aces_-_Mediclinic_Hermanus_estimatedPOA" attribute="1" defaultMemberUniqueName="[Table1].[Aces_-_Mediclinic_Hermanus_estimatedPOA].[All]" allUniqueName="[Table1].[Aces_-_Mediclinic_Hermanus_estimatedPOA].[All]" dimensionUniqueName="[Table1]" displayFolder="" count="0" memberValueDatatype="5" unbalanced="0"/>
    <cacheHierarchy uniqueName="[Table1].[Aces_-_Mediclinic_Hermanus_PRP50]" caption="Aces_-_Mediclinic_Hermanus_PRP50" attribute="1" defaultMemberUniqueName="[Table1].[Aces_-_Mediclinic_Hermanus_PRP50].[All]" allUniqueName="[Table1].[Aces_-_Mediclinic_Hermanus_PRP50].[All]" dimensionUniqueName="[Table1]" displayFolder="" count="0" memberValueDatatype="5" unbalanced="0"/>
    <cacheHierarchy uniqueName="[Table1].[Aces_-_Mediclinic_Highveld_Energy_produced_(kWh)]" caption="Aces_-_Mediclinic_Highveld_Energy_produced_(kWh)" attribute="1" defaultMemberUniqueName="[Table1].[Aces_-_Mediclinic_Highveld_Energy_produced_(kWh)].[All]" allUniqueName="[Table1].[Aces_-_Mediclinic_Highveld_Energy_produced_(kWh)].[All]" dimensionUniqueName="[Table1]" displayFolder="" count="0" memberValueDatatype="5" unbalanced="0"/>
    <cacheHierarchy uniqueName="[Table1].[Aces_-_Mediclinic_Highveld_PR_(%)]" caption="Aces_-_Mediclinic_Highveld_PR_(%)" attribute="1" defaultMemberUniqueName="[Table1].[Aces_-_Mediclinic_Highveld_PR_(%)].[All]" allUniqueName="[Table1].[Aces_-_Mediclinic_Highveld_PR_(%)].[All]" dimensionUniqueName="[Table1]" displayFolder="" count="0" memberValueDatatype="5" unbalanced="0"/>
    <cacheHierarchy uniqueName="[Table1].[Aces_-_Mediclinic_Highveld_Energy_Irradiated_(kWh/m²)]" caption="Aces_-_Mediclinic_Highveld_Energy_Irradiated_(kWh/m²)" attribute="1" defaultMemberUniqueName="[Table1].[Aces_-_Mediclinic_Highveld_Energy_Irradiated_(kWh/m²)].[All]" allUniqueName="[Table1].[Aces_-_Mediclinic_Highveld_Energy_Irradiated_(kWh/m²)].[All]" dimensionUniqueName="[Table1]" displayFolder="" count="0" memberValueDatatype="5" unbalanced="0"/>
    <cacheHierarchy uniqueName="[Table1].[Aces_-_Mediclinic_Highveld_Availability_(%)]" caption="Aces_-_Mediclinic_Highveld_Availability_(%)" attribute="1" defaultMemberUniqueName="[Table1].[Aces_-_Mediclinic_Highveld_Availability_(%)].[All]" allUniqueName="[Table1].[Aces_-_Mediclinic_Highveld_Availability_(%)].[All]" dimensionUniqueName="[Table1]" displayFolder="" count="0" memberValueDatatype="5" unbalanced="0"/>
    <cacheHierarchy uniqueName="[Table1].[Aces_-_Mediclinic_Highveld_P50_(kWh)]" caption="Aces_-_Mediclinic_Highveld_P50_(kWh)" attribute="1" defaultMemberUniqueName="[Table1].[Aces_-_Mediclinic_Highveld_P50_(kWh)].[All]" allUniqueName="[Table1].[Aces_-_Mediclinic_Highveld_P50_(kWh)].[All]" dimensionUniqueName="[Table1]" displayFolder="" count="0" memberValueDatatype="5" unbalanced="0"/>
    <cacheHierarchy uniqueName="[Table1].[Aces_-_Mediclinic_Highveld_estimatedPOA]" caption="Aces_-_Mediclinic_Highveld_estimatedPOA" attribute="1" defaultMemberUniqueName="[Table1].[Aces_-_Mediclinic_Highveld_estimatedPOA].[All]" allUniqueName="[Table1].[Aces_-_Mediclinic_Highveld_estimatedPOA].[All]" dimensionUniqueName="[Table1]" displayFolder="" count="0" memberValueDatatype="5" unbalanced="0"/>
    <cacheHierarchy uniqueName="[Table1].[Aces_-_Mediclinic_Highveld_PRP50]" caption="Aces_-_Mediclinic_Highveld_PRP50" attribute="1" defaultMemberUniqueName="[Table1].[Aces_-_Mediclinic_Highveld_PRP50].[All]" allUniqueName="[Table1].[Aces_-_Mediclinic_Highveld_PRP50].[All]" dimensionUniqueName="[Table1]" displayFolder="" count="0" memberValueDatatype="5" unbalanced="0"/>
    <cacheHierarchy uniqueName="[Table1].[Hermanus production variance]" caption="Hermanus production variance" attribute="1" defaultMemberUniqueName="[Table1].[Hermanus production variance].[All]" allUniqueName="[Table1].[Hermanus production variance].[All]" dimensionUniqueName="[Table1]" displayFolder="" count="0" memberValueDatatype="20" unbalanced="0"/>
    <cacheHierarchy uniqueName="[Table1].[Highveld  production Variance]" caption="Highveld  production Variance" attribute="1" defaultMemberUniqueName="[Table1].[Highveld  production Variance].[All]" allUniqueName="[Table1].[Highveld  production Variance].[All]" dimensionUniqueName="[Table1]" displayFolder="" count="0" memberValueDatatype="20" unbalanced="0"/>
    <cacheHierarchy uniqueName="[Table1].[Vergelegen  PR variance]" caption="Vergelegen  PR variance" attribute="1" defaultMemberUniqueName="[Table1].[Vergelegen  PR variance].[All]" allUniqueName="[Table1].[Vergelegen  PR variance].[All]" dimensionUniqueName="[Table1]" displayFolder="" count="0" memberValueDatatype="20" unbalanced="0"/>
    <cacheHierarchy uniqueName="[Table1].[Midstream PR Variance]" caption="Midstream PR Variance" attribute="1" defaultMemberUniqueName="[Table1].[Midstream PR Variance].[All]" allUniqueName="[Table1].[Midstream PR Variance].[All]" dimensionUniqueName="[Table1]" displayFolder="" count="0" memberValueDatatype="20" unbalanced="0"/>
    <cacheHierarchy uniqueName="[Table1].[Durbanville]" caption="Durbanville" attribute="1" defaultMemberUniqueName="[Table1].[Durbanville].[All]" allUniqueName="[Table1].[Durbanville].[All]" dimensionUniqueName="[Table1]" displayFolder="" count="0" memberValueDatatype="20" unbalanced="0"/>
    <cacheHierarchy uniqueName="[Table1].[Mid_ZAR/kWh]" caption="Mid_ZAR/kWh" attribute="1" defaultMemberUniqueName="[Table1].[Mid_ZAR/kWh].[All]" allUniqueName="[Table1].[Mid_ZAR/kWh].[All]" dimensionUniqueName="[Table1]" displayFolder="" count="0" memberValueDatatype="5" unbalanced="0"/>
    <cacheHierarchy uniqueName="[Table1].[HIG_ZAR/kWh]" caption="HIG_ZAR/kWh" attribute="1" defaultMemberUniqueName="[Table1].[HIG_ZAR/kWh].[All]" allUniqueName="[Table1].[HIG_ZAR/kWh].[All]" dimensionUniqueName="[Table1]" displayFolder="" count="0" memberValueDatatype="5" unbalanced="0"/>
    <cacheHierarchy uniqueName="[Table1].[VER_ZAR/kWh]" caption="VER_ZAR/kWh" attribute="1" defaultMemberUniqueName="[Table1].[VER_ZAR/kWh].[All]" allUniqueName="[Table1].[VER_ZAR/kWh].[All]" dimensionUniqueName="[Table1]" displayFolder="" count="0" memberValueDatatype="5" unbalanced="0"/>
    <cacheHierarchy uniqueName="[Table1].[DUR_ZAR/kWh]" caption="DUR_ZAR/kWh" attribute="1" defaultMemberUniqueName="[Table1].[DUR_ZAR/kWh].[All]" allUniqueName="[Table1].[DUR_ZAR/kWh].[All]" dimensionUniqueName="[Table1]" displayFolder="" count="0" memberValueDatatype="5" unbalanced="0"/>
    <cacheHierarchy uniqueName="[Table1].[HER_ZAR/kWh2]" caption="HER_ZAR/kWh2" attribute="1" defaultMemberUniqueName="[Table1].[HER_ZAR/kWh2].[All]" allUniqueName="[Table1].[HER_ZAR/kWh2].[All]" dimensionUniqueName="[Table1]" displayFolder="" count="0" memberValueDatatype="5" unbalanced="0"/>
    <cacheHierarchy uniqueName="[Table1].[Vat_]" caption="Vat_" attribute="1" defaultMemberUniqueName="[Table1].[Vat_].[All]" allUniqueName="[Table1].[Vat_].[All]" dimensionUniqueName="[Table1]" displayFolder="" count="0" memberValueDatatype="5" unbalanced="0"/>
    <cacheHierarchy uniqueName="[Table1].[MID_Total_(ZAR)]" caption="MID_Total_(ZAR)" attribute="1" defaultMemberUniqueName="[Table1].[MID_Total_(ZAR)].[All]" allUniqueName="[Table1].[MID_Total_(ZAR)].[All]" dimensionUniqueName="[Table1]" displayFolder="" count="0" memberValueDatatype="5" unbalanced="0"/>
    <cacheHierarchy uniqueName="[Table1].[HIG_Total_(ZAR)]" caption="HIG_Total_(ZAR)" attribute="1" defaultMemberUniqueName="[Table1].[HIG_Total_(ZAR)].[All]" allUniqueName="[Table1].[HIG_Total_(ZAR)].[All]" dimensionUniqueName="[Table1]" displayFolder="" count="0" memberValueDatatype="5" unbalanced="0"/>
    <cacheHierarchy uniqueName="[Table1].[VER_Total_(ZAR)]" caption="VER_Total_(ZAR)" attribute="1" defaultMemberUniqueName="[Table1].[VER_Total_(ZAR)].[All]" allUniqueName="[Table1].[VER_Total_(ZAR)].[All]" dimensionUniqueName="[Table1]" displayFolder="" count="0" memberValueDatatype="5" unbalanced="0"/>
    <cacheHierarchy uniqueName="[Table1].[DUR_Total_(ZAR)]" caption="DUR_Total_(ZAR)" attribute="1" defaultMemberUniqueName="[Table1].[DUR_Total_(ZAR)].[All]" allUniqueName="[Table1].[DUR_Total_(ZAR)].[All]" dimensionUniqueName="[Table1]" displayFolder="" count="0" memberValueDatatype="5" unbalanced="0"/>
    <cacheHierarchy uniqueName="[Table1].[HER__Total__(ZAR)]" caption="HER__Total__(ZAR)" attribute="1" defaultMemberUniqueName="[Table1].[HER__Total__(ZAR)].[All]" allUniqueName="[Table1].[HER__Total__(ZAR)].[All]" dimensionUniqueName="[Table1]" displayFolder="" count="0" memberValueDatatype="5" unbalanced="0"/>
    <cacheHierarchy uniqueName="[Table1].[_Forecast_MID_Total_ZAR2]" caption="_Forecast_MID_Total_ZAR2" attribute="1" defaultMemberUniqueName="[Table1].[_Forecast_MID_Total_ZAR2].[All]" allUniqueName="[Table1].[_Forecast_MID_Total_ZAR2].[All]" dimensionUniqueName="[Table1]" displayFolder="" count="0" memberValueDatatype="5" unbalanced="0"/>
    <cacheHierarchy uniqueName="[Table1].[Forecast_HIG_Total_ZAR3]" caption="Forecast_HIG_Total_ZAR3" attribute="1" defaultMemberUniqueName="[Table1].[Forecast_HIG_Total_ZAR3].[All]" allUniqueName="[Table1].[Forecast_HIG_Total_ZAR3].[All]" dimensionUniqueName="[Table1]" displayFolder="" count="0" memberValueDatatype="5" unbalanced="0"/>
    <cacheHierarchy uniqueName="[Table1].[Forecast__VER_Total_ZAR4]" caption="Forecast__VER_Total_ZAR4" attribute="1" defaultMemberUniqueName="[Table1].[Forecast__VER_Total_ZAR4].[All]" allUniqueName="[Table1].[Forecast__VER_Total_ZAR4].[All]" dimensionUniqueName="[Table1]" displayFolder="" count="0" memberValueDatatype="5" unbalanced="0"/>
    <cacheHierarchy uniqueName="[Table1].[Forecast__DUR_Total_ZAR5]" caption="Forecast__DUR_Total_ZAR5" attribute="1" defaultMemberUniqueName="[Table1].[Forecast__DUR_Total_ZAR5].[All]" allUniqueName="[Table1].[Forecast__DUR_Total_ZAR5].[All]" dimensionUniqueName="[Table1]" displayFolder="" count="0" memberValueDatatype="5" unbalanced="0"/>
    <cacheHierarchy uniqueName="[Table1].[Forecast_HER__Total__ZAR6]" caption="Forecast_HER__Total__ZAR6" attribute="1" defaultMemberUniqueName="[Table1].[Forecast_HER__Total__ZAR6].[All]" allUniqueName="[Table1].[Forecast_HER__Total__ZAR6].[All]" dimensionUniqueName="[Table1]" displayFolder="" count="0" memberValueDatatype="5" unbalanced="0"/>
    <cacheHierarchy uniqueName="[Table1].[_Measure_-_Verg_PR%]" caption="_Measure_-_Verg_PR%" attribute="1" defaultMemberUniqueName="[Table1].[_Measure_-_Verg_PR%].[All]" allUniqueName="[Table1].[_Measure_-_Verg_PR%].[All]" dimensionUniqueName="[Table1]" displayFolder="" count="0" memberValueDatatype="5" unbalanced="0"/>
    <cacheHierarchy uniqueName="[Table1].[Measure_Durb_%PR]" caption="Measure_Durb_%PR" attribute="1" defaultMemberUniqueName="[Table1].[Measure_Durb_%PR].[All]" allUniqueName="[Table1].[Measure_Durb_%PR].[All]" dimensionUniqueName="[Table1]" displayFolder="" count="0" memberValueDatatype="5" unbalanced="0"/>
    <cacheHierarchy uniqueName="[Table1].[Measure_Mid_PR_%]" caption="Measure_Mid_PR_%" attribute="1" defaultMemberUniqueName="[Table1].[Measure_Mid_PR_%].[All]" allUniqueName="[Table1].[Measure_Mid_PR_%].[All]" dimensionUniqueName="[Table1]" displayFolder="" count="0" memberValueDatatype="5" unbalanced="0"/>
    <cacheHierarchy uniqueName="[Table1].[Measure_Her_PR%]" caption="Measure_Her_PR%" attribute="1" defaultMemberUniqueName="[Table1].[Measure_Her_PR%].[All]" allUniqueName="[Table1].[Measure_Her_PR%].[All]" dimensionUniqueName="[Table1]" displayFolder="" count="0" memberValueDatatype="5" unbalanced="0"/>
    <cacheHierarchy uniqueName="[Table1].[Measure_HIG_PR_%]" caption="Measure_HIG_PR_%" attribute="1" defaultMemberUniqueName="[Table1].[Measure_HIG_PR_%].[All]" allUniqueName="[Table1].[Measure_HIG_PR_%].[All]" dimensionUniqueName="[Table1]" displayFolder="" count="0" memberValueDatatype="5" unbalanced="0"/>
    <cacheHierarchy uniqueName="[Table1].[Measure-_Availability_Guaranteed]" caption="Measure-_Availability_Guaranteed" attribute="1" defaultMemberUniqueName="[Table1].[Measure-_Availability_Guaranteed].[All]" allUniqueName="[Table1].[Measure-_Availability_Guaranteed].[All]" dimensionUniqueName="[Table1]" displayFolder="" count="0" memberValueDatatype="20" unbalanced="0"/>
    <cacheHierarchy uniqueName="[Revenue].[date (Month Index)]" caption="date (Month Index)" attribute="1" defaultMemberUniqueName="[Revenue].[date (Month Index)].[All]" allUniqueName="[Revenue].[date (Month Index)].[All]" dimensionUniqueName="[Revenue]" displayFolder="" count="0" memberValueDatatype="20" unbalanced="0" hidden="1"/>
    <cacheHierarchy uniqueName="[Measures].[Availability Guaranteed (%)]" caption="Availability Guaranteed (%)" measure="1" displayFolder="" measureGroup="Table1" count="0"/>
    <cacheHierarchy uniqueName="[Measures].[Aces - Mediclinic  Vergelegen PR50%]" caption="Aces - Mediclinic  Vergelegen PR50%" measure="1" displayFolder="" measureGroup="Table1" count="0"/>
    <cacheHierarchy uniqueName="[Measures].[Verg_ProductionVar%]" caption="Verg_ProductionVar%" measure="1" displayFolder="" measureGroup="Table1" count="0"/>
    <cacheHierarchy uniqueName="[Measures].[Midstream_ProductionVar%]" caption="Midstream_ProductionVar%" measure="1" displayFolder="" measureGroup="Table1" count="0"/>
    <cacheHierarchy uniqueName="[Measures].[Durbanville_ProductionVar%]" caption="Durbanville_ProductionVar%" measure="1" displayFolder="" measureGroup="Table1" count="0"/>
    <cacheHierarchy uniqueName="[Measures].[HermanusProduction Var%]" caption="HermanusProduction Var%" measure="1" displayFolder="" measureGroup="Table1" count="0"/>
    <cacheHierarchy uniqueName="[Measures].[Highveld_Production Var %]" caption="Highveld_Production Var %" measure="1" displayFolder="" measureGroup="Table1" count="0"/>
    <cacheHierarchy uniqueName="[Measures].[Irradiation_VeregeVAR%]" caption="Irradiation_VeregeVAR%" measure="1" displayFolder="" measureGroup="Table1" count="0"/>
    <cacheHierarchy uniqueName="[Measures].[irradiance_MidstreamVar%]" caption="irradiance_MidstreamVar%" measure="1" displayFolder="" measureGroup="Table1" count="0"/>
    <cacheHierarchy uniqueName="[Measures].[Irradiation_DurbanvIIeVar%]" caption="Irradiation_DurbanvIIeVar%" measure="1" displayFolder="" measureGroup="Table1" count="0"/>
    <cacheHierarchy uniqueName="[Measures].[Irradiation_Hermanus_Var%]" caption="Irradiation_Hermanus_Var%" measure="1" displayFolder="" measureGroup="Table1" count="0"/>
    <cacheHierarchy uniqueName="[Measures].[Irradiation_ higveldVar%]" caption="Irradiation_ higveldVar%" measure="1" displayFolder="" measureGroup="Table1" count="0"/>
    <cacheHierarchy uniqueName="[Measures].[Availability_VergelegenVAR]" caption="Availability_VergelegenVAR" measure="1" displayFolder="" measureGroup="Table1" count="0"/>
    <cacheHierarchy uniqueName="[Measures].[Availability_MidstreamVar%]" caption="Availability_MidstreamVar%" measure="1" displayFolder="" measureGroup="Table1" count="0"/>
    <cacheHierarchy uniqueName="[Measures].[Availability_DurbanvilleVar%]" caption="Availability_DurbanvilleVar%" measure="1" displayFolder="" measureGroup="Table1" count="0"/>
    <cacheHierarchy uniqueName="[Measures].[Availability_HermanusVar%]" caption="Availability_HermanusVar%" measure="1" displayFolder="" measureGroup="Table1" count="0"/>
    <cacheHierarchy uniqueName="[Measures].[Availability_HighveldVar%]" caption="Availability_HighveldVar%" measure="1" displayFolder="" measureGroup="Table1" count="0"/>
    <cacheHierarchy uniqueName="[Measures].[PR_VergelegenVar]" caption="PR_VergelegenVar" measure="1" displayFolder="" measureGroup="Table1" count="0"/>
    <cacheHierarchy uniqueName="[Measures].[PRMidstreamVar%]" caption="PRMidstreamVar%" measure="1" displayFolder="" measureGroup="Table1" count="0"/>
    <cacheHierarchy uniqueName="[Measures].[PRDurbanvilleVar%]" caption="PRDurbanvilleVar%" measure="1" displayFolder="" measureGroup="Table1" count="0"/>
    <cacheHierarchy uniqueName="[Measures].[PRHermanusVar%]" caption="PRHermanusVar%" measure="1" displayFolder="" measureGroup="Table1" count="0"/>
    <cacheHierarchy uniqueName="[Measures].[PR_Highveld_VAR%]" caption="PR_Highveld_VAR%" measure="1" displayFolder="" measureGroup="Table1" count="0"/>
    <cacheHierarchy uniqueName="[Measures].[__XL_Count Table1]" caption="__XL_Count Table1" measure="1" displayFolder="" measureGroup="Table1" count="0" hidden="1"/>
    <cacheHierarchy uniqueName="[Measures].[__XL_Count Revenue]" caption="__XL_Count Revenue" measure="1" displayFolder="" measureGroup="Revenue" count="0" hidden="1"/>
    <cacheHierarchy uniqueName="[Measures].[__No measures defined]" caption="__No measures defined" measure="1" displayFolder="" count="0" hidden="1"/>
    <cacheHierarchy uniqueName="[Measures].[Sum of Aces_-_Mediclinic_Vergelegen_Energy_produced_(kWh)]" caption="Sum of Aces_-_Mediclinic_Vergelegen_Energy_produced_(kWh)" measure="1" displayFolder="" measureGroup="Table1" count="0" hidden="1"/>
    <cacheHierarchy uniqueName="[Measures].[Sum of Aces_-_Mediclinic_Vergelegen_Energy_Irradiated_(kWh/m²)]" caption="Sum of Aces_-_Mediclinic_Vergelegen_Energy_Irradiated_(kWh/m²)" measure="1" displayFolder="" measureGroup="Table1" count="0" hidden="1"/>
    <cacheHierarchy uniqueName="[Measures].[Sum of Aces_-_Mediclinic_Vergelegen_Availability_(%)]" caption="Sum of Aces_-_Mediclinic_Vergelegen_Availability_(%)" measure="1" displayFolder="" measureGroup="Table1" count="0" hidden="1"/>
    <cacheHierarchy uniqueName="[Measures].[Sum of Aces_-_Mediclinic_Vergelegen_estimatedPOA]" caption="Sum of Aces_-_Mediclinic_Vergelegen_estimatedPOA" measure="1" displayFolder="" measureGroup="Table1" count="0" hidden="1"/>
    <cacheHierarchy uniqueName="[Measures].[Sum of Aces_-_Mediclinic_Vergelegen_P50_(kWh)]" caption="Sum of Aces_-_Mediclinic_Vergelegen_P50_(kWh)" measure="1" displayFolder="" measureGroup="Table1" count="0" hidden="1"/>
    <cacheHierarchy uniqueName="[Measures].[Sum of Aces_-_Mediclinic_Midstream_Energy_Irradiated_(kWh/m²)]" caption="Sum of Aces_-_Mediclinic_Midstream_Energy_Irradiated_(kWh/m²)" measure="1" displayFolder="" measureGroup="Table1" count="0" hidden="1"/>
    <cacheHierarchy uniqueName="[Measures].[Sum of Aces_-_Mediclinic_Midstream_Energy_produced_(kWh)2]" caption="Sum of Aces_-_Mediclinic_Midstream_Energy_produced_(kWh)2" measure="1" displayFolder="" measureGroup="Table1" count="0" hidden="1"/>
    <cacheHierarchy uniqueName="[Measures].[Sum of Aces_-_Mediclinic_Midstream_P50_(kWh)]" caption="Sum of Aces_-_Mediclinic_Midstream_P50_(kWh)" measure="1" displayFolder="" measureGroup="Table1" count="0" hidden="1"/>
    <cacheHierarchy uniqueName="[Measures].[Sum of Midstream PR Variance]" caption="Sum of Midstream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Count of Aces_-_Mediclinic_Durbanville_Energy_produced_(kWh)]" caption="Count of Aces_-_Mediclinic_Durbanville_Energy_produced_(kWh)" measure="1" displayFolder="" measureGroup="Table1" count="0" hidden="1"/>
    <cacheHierarchy uniqueName="[Measures].[Sum of Aces_-_Mediclinic_Durbanville_Energy_produced_(kWh)]" caption="Sum of Aces_-_Mediclinic_Durbanville_Energy_produced_(kWh)" measure="1" displayFolder="" measureGroup="Table1" count="0" hidden="1"/>
    <cacheHierarchy uniqueName="[Measures].[Sum of Aces_-_Mediclinic_Durbanville_P50_(kWh)]" caption="Sum of Aces_-_Mediclinic_Durbanville_P50_(kWh)" measure="1" displayFolder="" measureGroup="Table1" count="0" hidden="1"/>
    <cacheHierarchy uniqueName="[Measures].[Sum of Aces_-_Mediclinic_Hermanus_Energy_produced_(kWh)]" caption="Sum of Aces_-_Mediclinic_Hermanus_Energy_produced_(kWh)" measure="1" displayFolder="" measureGroup="Table1" count="0" hidden="1"/>
    <cacheHierarchy uniqueName="[Measures].[Sum of Aces_-_Mediclinic_HermanusP50_(kWh)]" caption="Sum of Aces_-_Mediclinic_HermanusP50_(kWh)" measure="1" displayFolder="" measureGroup="Table1" count="0" hidden="1"/>
    <cacheHierarchy uniqueName="[Measures].[Sum of Hermanus production variance]" caption="Sum of Hermanus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Highveld  production Variance]" caption="Sum of Highveld  production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um of Aces_-_Mediclinic_Highveld_Energy_Irradiated_(kWh/m²)]" caption="Sum of Aces_-_Mediclinic_Highveld_Energy_Irradiated_(kWh/m²)" measure="1" displayFolder="" measureGroup="Table1" count="0" hidden="1"/>
    <cacheHierarchy uniqueName="[Measures].[Sum of Aces_-_Mediclinic_Highveld_PRP50]" caption="Sum of Aces_-_Mediclinic_Highveld_PRP50" measure="1" displayFolder="" measureGroup="Table1" count="0" hidden="1"/>
    <cacheHierarchy uniqueName="[Measures].[Sum of Aces_-_Mediclinic_Highveld_Energy_produced_(kWh)]" caption="Sum of Aces_-_Mediclinic_Highveld_Energy_produced_(kWh)" measure="1" displayFolder="" measureGroup="Table1" count="0" hidden="1"/>
    <cacheHierarchy uniqueName="[Measures].[Sum of Aces_-_Mediclinic_Vergelegen_PR_(%)]" caption="Sum of Aces_-_Mediclinic_Vergelegen_PR_(%)" measure="1" displayFolder="" measureGroup="Table1" count="0" hidden="1"/>
    <cacheHierarchy uniqueName="[Measures].[Sum of Aces_-_Mediclinic_Vergelegen_PRP50]" caption="Sum of Aces_-_Mediclinic_Vergelegen_PRP50" measure="1" displayFolder="" measureGroup="Table1" count="0" hidden="1"/>
    <cacheHierarchy uniqueName="[Measures].[Sum of Vergelegen  PR variance]" caption="Sum of Vergelegen  PR variance" measure="1" displayFolder="" measureGroup="Table1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Sum of Aces_-_Mediclinic_Midstream_PRP508]" caption="Sum of Aces_-_Mediclinic_Midstream_PRP508" measure="1" displayFolder="" measureGroup="Table1" count="0" hidden="1"/>
    <cacheHierarchy uniqueName="[Measures].[Sum of Aces_-_Mediclinic_Durbanville_PR_(%)]" caption="Sum of Aces_-_Mediclinic_Durbanville_PR_(%)" measure="1" displayFolder="" measureGroup="Table1" count="0" hidden="1"/>
    <cacheHierarchy uniqueName="[Measures].[Sum of Aces_-_Mediclinic_Midstream_PR_(%)]" caption="Sum of Aces_-_Mediclinic_Midstream_PR_(%)" measure="1" displayFolder="" measureGroup="Table1" count="0" hidden="1"/>
    <cacheHierarchy uniqueName="[Measures].[Sum of Aces_-_Mediclinic_Durbanville_PRP50]" caption="Sum of Aces_-_Mediclinic_Durbanville_PRP50" measure="1" displayFolder="" measureGroup="Table1" count="0" hidden="1"/>
    <cacheHierarchy uniqueName="[Measures].[Sum of Durbanville]" caption="Sum of Durbanville" measure="1" displayFolder="" measureGroup="Table1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ces_-_Mediclinic_Hermanus_PR_(%)]" caption="Sum of Aces_-_Mediclinic_Hermanus_PR_(%)" measure="1" displayFolder="" measureGroup="Table1" count="0" hidden="1"/>
    <cacheHierarchy uniqueName="[Measures].[Sum of Aces_-_Mediclinic_Hermanus_PRP50]" caption="Sum of Aces_-_Mediclinic_Hermanus_PRP50" measure="1" displayFolder="" measureGroup="Table1" count="0" hidden="1"/>
    <cacheHierarchy uniqueName="[Measures].[Sum of Aces_-_Mediclinic_Highveld_PR_(%)]" caption="Sum of Aces_-_Mediclinic_Highveld_PR_(%)" measure="1" displayFolder="" measureGroup="Table1" count="0" hidden="1"/>
    <cacheHierarchy uniqueName="[Measures].[Sum of Aces_-_Mediclinic_Midstream_estimatedPOA]" caption="Sum of Aces_-_Mediclinic_Midstream_estimatedPOA" measure="1" displayFolder="" measureGroup="Table1" count="0" hidden="1"/>
    <cacheHierarchy uniqueName="[Measures].[Sum of Aces_-_Mediclinic_Durbanville_Energy_Irradiated_(kWh/m²)11]" caption="Sum of Aces_-_Mediclinic_Durbanville_Energy_Irradiated_(kWh/m²)11" measure="1" displayFolder="" measureGroup="Table1" count="0" hidden="1"/>
    <cacheHierarchy uniqueName="[Measures].[Sum of Aces_-_Mediclinic_Durbanville_estimatedPOA]" caption="Sum of Aces_-_Mediclinic_Durbanville_estimatedPOA" measure="1" displayFolder="" measureGroup="Table1" count="0" hidden="1"/>
    <cacheHierarchy uniqueName="[Measures].[Sum of Aces_-_Mediclinic_Hermanus_Energy_Irradiated_(kWh/m²)]" caption="Sum of Aces_-_Mediclinic_Hermanus_Energy_Irradiated_(kWh/m²)" measure="1" displayFolder="" measureGroup="Table1" count="0" hidden="1"/>
    <cacheHierarchy uniqueName="[Measures].[Sum of Aces_-_Mediclinic_Hermanus_estimatedPOA]" caption="Sum of Aces_-_Mediclinic_Hermanus_estimatedPOA" measure="1" displayFolder="" measureGroup="Table1" count="0" hidden="1"/>
    <cacheHierarchy uniqueName="[Measures].[Sum of Aces_-_Mediclinic_Highveld_estimatedPOA]" caption="Sum of Aces_-_Mediclinic_Highveld_estimatedPOA" measure="1" displayFolder="" measureGroup="Table1" count="0" hidden="1"/>
    <cacheHierarchy uniqueName="[Measures].[Sum of Aces_-_Mediclinic_Midstream_Availability_(%)]" caption="Sum of Aces_-_Mediclinic_Midstream_Availability_(%)" measure="1" displayFolder="" measureGroup="Table1" count="0" hidden="1"/>
    <cacheHierarchy uniqueName="[Measures].[Sum of Aces_-_Mediclinic_Durbanville_Availability_(%)]" caption="Sum of Aces_-_Mediclinic_Durbanville_Availability_(%)" measure="1" displayFolder="" measureGroup="Table1" count="0" hidden="1"/>
    <cacheHierarchy uniqueName="[Measures].[Sum of Aces_-_Mediclinic_Hermanus_Availability_(%)]" caption="Sum of Aces_-_Mediclinic_Hermanus_Availability_(%)" measure="1" displayFolder="" measureGroup="Table1" count="0" hidden="1"/>
    <cacheHierarchy uniqueName="[Measures].[Sum of Aces_-_Mediclinic_Highveld_Availability_(%)]" caption="Sum of Aces_-_Mediclinic_Highveld_Availability_(%)" measure="1" displayFolder="" measureGroup="Table1" count="0" hidden="1"/>
    <cacheHierarchy uniqueName="[Measures].[Sum of Total (ZAR)]" caption="Sum of Total (ZAR)" measure="1" displayFolder="" measureGroup="Revenue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lant ID]" caption="Count of Plant ID" measure="1" displayFolder="" measureGroup="Revenue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Forecast__VER_Total_ZAR4]" caption="Sum of Forecast__VER_Total_ZAR4" measure="1" displayFolder="" measureGroup="Table1" count="0" hidden="1"/>
    <cacheHierarchy uniqueName="[Measures].[Sum of _Forecast_MID_Total_ZAR2]" caption="Sum of _Forecast_MID_Total_ZAR2" measure="1" displayFolder="" measureGroup="Table1" count="0" hidden="1"/>
    <cacheHierarchy uniqueName="[Measures].[Sum of DUR_ZAR/kWh]" caption="Sum of DUR_ZAR/kWh" measure="1" displayFolder="" measureGroup="Table1" count="0" hidden="1"/>
    <cacheHierarchy uniqueName="[Measures].[Sum of Forecast__DUR_Total_ZAR5]" caption="Sum of Forecast__DUR_Total_ZAR5" measure="1" displayFolder="" measureGroup="Table1" count="0" hidden="1"/>
    <cacheHierarchy uniqueName="[Measures].[Sum of Forecast_HER__Total__ZAR6]" caption="Sum of Forecast_HER__Total__ZAR6" measure="1" displayFolder="" measureGroup="Table1" count="0" hidden="1"/>
    <cacheHierarchy uniqueName="[Measures].[Sum of Forecast_HIG_Total_ZAR3]" caption="Sum of Forecast_HIG_Total_ZAR3" measure="1" displayFolder="" measureGroup="Table1" count="0" hidden="1"/>
    <cacheHierarchy uniqueName="[Measures].[Sum of Aces_-_Mediclinic_Highveld_P50_(kWh)]" caption="Sum of Aces_-_Mediclinic_Highveld_P50_(kWh)" measure="1" displayFolder="" measureGroup="Table1" count="0" hidden="1"/>
    <cacheHierarchy uniqueName="[Measures].[Average of Aces_-_Mediclinic_Vergelegen_Availability_(%)]" caption="Average of Aces_-_Mediclinic_Vergelegen_Availability_(%)" measure="1" displayFolder="" measureGroup="Table1" count="0" hidden="1"/>
    <cacheHierarchy uniqueName="[Measures].[Average of Aces_-_Mediclinic_Durbanville_Availability_(%)]" caption="Average of Aces_-_Mediclinic_Durbanville_Availability_(%)" measure="1" displayFolder="" measureGroup="Table1" count="0" hidden="1"/>
    <cacheHierarchy uniqueName="[Measures].[Average of Aces_-_Mediclinic_Hermanus_Availability_(%)]" caption="Average of Aces_-_Mediclinic_Hermanus_Availability_(%)" measure="1" displayFolder="" measureGroup="Table1" count="0" hidden="1"/>
    <cacheHierarchy uniqueName="[Measures].[Average of Aces_-_Mediclinic_Highveld_Availability_(%)]" caption="Average of Aces_-_Mediclinic_Highveld_Availability_(%)" measure="1" displayFolder="" measureGroup="Table1" count="0" hidden="1"/>
    <cacheHierarchy uniqueName="[Measures].[Average of Aces_-_Mediclinic_Midstream_Availability_(%)]" caption="Average of Aces_-_Mediclinic_Midstream_Availability_(%)" measure="1" displayFolder="" measureGroup="Table1" count="0" hidden="1"/>
    <cacheHierarchy uniqueName="[Measures].[Sum of _Measure_-_Verg_PR%]" caption="Sum of _Measure_-_Verg_PR%" measure="1" displayFolder="" measureGroup="Table1" count="0" hidden="1"/>
    <cacheHierarchy uniqueName="[Measures].[Average of Aces_-_Mediclinic_Vergelegen_PR_(%)]" caption="Average of Aces_-_Mediclinic_Vergelegen_PR_(%)" measure="1" displayFolder="" measureGroup="Table1" count="0" hidden="1"/>
    <cacheHierarchy uniqueName="[Measures].[Average of _Measure_-_Verg_PR%]" caption="Average of _Measure_-_Verg_PR%" measure="1" displayFolder="" measureGroup="Table1" count="0" hidden="1"/>
    <cacheHierarchy uniqueName="[Measures].[Sum of Measure_Mid_PR_%]" caption="Sum of Measure_Mid_PR_%" measure="1" displayFolder="" measureGroup="Table1" count="0" hidden="1"/>
    <cacheHierarchy uniqueName="[Measures].[Average of Aces_-_Mediclinic_Midstream_PR_(%)]" caption="Average of Aces_-_Mediclinic_Midstream_PR_(%)" measure="1" displayFolder="" measureGroup="Table1" count="0" hidden="1"/>
    <cacheHierarchy uniqueName="[Measures].[Average of Measure_Mid_PR_%]" caption="Average of Measure_Mid_PR_%" measure="1" displayFolder="" measureGroup="Table1" count="0" hidden="1"/>
    <cacheHierarchy uniqueName="[Measures].[Sum of Measure_Durb_%PR]" caption="Sum of Measure_Durb_%PR" measure="1" displayFolder="" measureGroup="Table1" count="0" hidden="1"/>
    <cacheHierarchy uniqueName="[Measures].[Average of Aces_-_Mediclinic_Durbanville_PR_(%)]" caption="Average of Aces_-_Mediclinic_Durbanville_PR_(%)" measure="1" displayFolder="" measureGroup="Table1" count="0" hidden="1"/>
    <cacheHierarchy uniqueName="[Measures].[Average of Measure_Durb_%PR]" caption="Average of Measure_Durb_%PR" measure="1" displayFolder="" measureGroup="Table1" count="0" hidden="1"/>
    <cacheHierarchy uniqueName="[Measures].[Sum of Measure_Her_PR%]" caption="Sum of Measure_Her_PR%" measure="1" displayFolder="" measureGroup="Table1" count="0" hidden="1"/>
    <cacheHierarchy uniqueName="[Measures].[Average of Aces_-_Mediclinic_Hermanus_PR_(%)]" caption="Average of Aces_-_Mediclinic_Hermanus_PR_(%)" measure="1" displayFolder="" measureGroup="Table1" count="0" hidden="1"/>
    <cacheHierarchy uniqueName="[Measures].[Average of Measure_Her_PR%]" caption="Average of Measure_Her_PR%" measure="1" displayFolder="" measureGroup="Table1" count="0" hidden="1"/>
    <cacheHierarchy uniqueName="[Measures].[Sum of Measure_HIG_PR_%]" caption="Sum of Measure_HIG_PR_%" measure="1" displayFolder="" measureGroup="Table1" count="0" hidden="1"/>
    <cacheHierarchy uniqueName="[Measures].[Average of Aces_-_Mediclinic_Highveld_PR_(%)]" caption="Average of Aces_-_Mediclinic_Highveld_PR_(%)" measure="1" displayFolder="" measureGroup="Table1" count="0" hidden="1"/>
    <cacheHierarchy uniqueName="[Measures].[Average of Measure_HIG_PR_%]" caption="Average of Measure_HIG_PR_%" measure="1" displayFolder="" measureGroup="Table1" count="0" hidden="1"/>
    <cacheHierarchy uniqueName="[Measures].[Sum of VER_ZAR/kWh]" caption="Sum of VER_ZAR/kWh" measure="1" displayFolder="" measureGroup="Table1" count="0" hidden="1"/>
    <cacheHierarchy uniqueName="[Measures].[Sum of Vat_]" caption="Sum of Vat_" measure="1" displayFolder="" measureGroup="Table1" count="0" hidden="1"/>
    <cacheHierarchy uniqueName="[Measures].[Count of Date]" caption="Count of Date" measure="1" displayFolder="" measureGroup="Table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HER_ZAR/kWh2]" caption="Sum of HER_ZAR/kWh2" measure="1" displayFolder="" measureGroup="Table1" count="0" hidden="1"/>
    <cacheHierarchy uniqueName="[Measures].[Sum of Mid_ZAR/kWh]" caption="Sum of Mid_ZAR/kWh" measure="1" displayFolder="" measureGroup="Table1" count="0" hidden="1"/>
    <cacheHierarchy uniqueName="[Measures].[Sum of MID_Total_(ZAR)]" caption="Sum of MID_Total_(ZAR)" measure="1" displayFolder="" measureGroup="Table1" count="0" hidden="1"/>
    <cacheHierarchy uniqueName="[Measures].[Sum of VER_Total_(ZAR)]" caption="Sum of VER_Total_(ZAR)" measure="1" displayFolder="" measureGroup="Table1" count="0" hidden="1"/>
    <cacheHierarchy uniqueName="[Measures].[Sum of HIG_Total_(ZAR)]" caption="Sum of HIG_Total_(ZAR)" measure="1" displayFolder="" measureGroup="Table1" count="0" hidden="1"/>
    <cacheHierarchy uniqueName="[Measures].[Sum of DUR_Total_(ZAR)]" caption="Sum of DUR_Total_(ZAR)" measure="1" displayFolder="" measureGroup="Table1" count="0" hidden="1"/>
    <cacheHierarchy uniqueName="[Measures].[Sum of HER__Total__(ZAR)]" caption="Sum of HER__Total__(ZAR)" measure="1" displayFolder="" measureGroup="Table1" count="0" hidden="1"/>
  </cacheHierarchies>
  <kpis count="0"/>
  <dimensions count="3">
    <dimension measure="1" name="Measures" uniqueName="[Measures]" caption="Measures"/>
    <dimension name="Revenue" uniqueName="[Revenue]" caption="Revenue"/>
    <dimension name="Table1" uniqueName="[Table1]" caption="Table1"/>
  </dimensions>
  <measureGroups count="2">
    <measureGroup name="Revenue" caption="Revenue"/>
    <measureGroup name="Table1" caption="Table1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6" cacheId="57" applyNumberFormats="0" applyBorderFormats="0" applyFontFormats="0" applyPatternFormats="0" applyAlignmentFormats="0" applyWidthHeightFormats="1" dataCaption="Values" tag="a8a91574-f643-4806-bf13-2834bf385115" updatedVersion="8" minRefreshableVersion="3" useAutoFormatting="1" subtotalHiddenItems="1" itemPrintTitles="1" createdVersion="8" indent="0" outline="1" outlineData="1" multipleFieldFilters="0" chartFormat="1">
  <location ref="A19:A27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6">
    <format dxfId="228">
      <pivotArea field="0" type="button" dataOnly="0" labelOnly="1" outline="0" axis="axisRow" fieldPosition="0"/>
    </format>
    <format dxfId="227">
      <pivotArea dataOnly="0" labelOnly="1" grandRow="1" outline="0" fieldPosition="0"/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field="0" type="button" dataOnly="0" labelOnly="1" outline="0" axis="axisRow" fieldPosition="0"/>
    </format>
    <format dxfId="22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5" cacheId="58" applyNumberFormats="0" applyBorderFormats="0" applyFontFormats="0" applyPatternFormats="0" applyAlignmentFormats="0" applyWidthHeightFormats="1" dataCaption="Values" tag="95d79fe3-62ae-4f45-80f9-17b0bc203124" updatedVersion="8" minRefreshableVersion="3" useAutoFormatting="1" subtotalHiddenItems="1" itemPrintTitles="1" createdVersion="8" indent="0" outline="1" outlineData="1" multipleFieldFilters="0" chartFormat="1">
  <location ref="A3:A11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36">
      <pivotArea type="all" dataOnly="0" outline="0" fieldPosition="0"/>
    </format>
    <format dxfId="235">
      <pivotArea outline="0" collapsedLevelsAreSubtotals="1" fieldPosition="0"/>
    </format>
    <format dxfId="234">
      <pivotArea field="0" type="button" dataOnly="0" labelOnly="1" outline="0" axis="axisRow" fieldPosition="0"/>
    </format>
    <format dxfId="233">
      <pivotArea dataOnly="0" labelOnly="1" fieldPosition="0">
        <references count="1">
          <reference field="0" count="0"/>
        </references>
      </pivotArea>
    </format>
    <format dxfId="232">
      <pivotArea dataOnly="0" labelOnly="1" grandRow="1" outline="0" fieldPosition="0"/>
    </format>
    <format dxfId="231">
      <pivotArea field="0" type="button" dataOnly="0" labelOnly="1" outline="0" axis="axisRow" fieldPosition="0"/>
    </format>
    <format dxfId="230">
      <pivotArea dataOnly="0" labelOnly="1" fieldPosition="0">
        <references count="1">
          <reference field="0" count="0"/>
        </references>
      </pivotArea>
    </format>
    <format dxfId="22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14" cacheId="54" applyNumberFormats="0" applyBorderFormats="0" applyFontFormats="0" applyPatternFormats="0" applyAlignmentFormats="0" applyWidthHeightFormats="1" dataCaption="Values" tag="fc9de0b7-7d42-41d6-b207-b00bdd5612d0" updatedVersion="8" minRefreshableVersion="3" showDrill="0" useAutoFormatting="1" subtotalHiddenItems="1" itemPrintTitles="1" createdVersion="8" indent="0" showHeaders="0" outline="1" outlineData="1" multipleFieldFilters="0" chartFormat="2">
  <location ref="A56:A82" firstHeaderRow="0" firstDataRow="0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44">
      <pivotArea field="0" type="button" dataOnly="0" labelOnly="1" outline="0" axis="axisRow" fieldPosition="0"/>
    </format>
    <format dxfId="243">
      <pivotArea dataOnly="0" labelOnly="1" fieldPosition="0">
        <references count="1">
          <reference field="0" count="0"/>
        </references>
      </pivotArea>
    </format>
    <format dxfId="242">
      <pivotArea dataOnly="0" labelOnly="1" grandRow="1" outline="0" fieldPosition="0"/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field="0" type="button" dataOnly="0" labelOnly="1" outline="0" axis="axisRow" fieldPosition="0"/>
    </format>
    <format dxfId="238">
      <pivotArea dataOnly="0" labelOnly="1" fieldPosition="0">
        <references count="1">
          <reference field="0" count="0"/>
        </references>
      </pivotArea>
    </format>
    <format dxfId="2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13" cacheId="55" dataPosition="0" applyNumberFormats="0" applyBorderFormats="0" applyFontFormats="0" applyPatternFormats="0" applyAlignmentFormats="0" applyWidthHeightFormats="1" dataCaption="Values" tag="06d81e89-3392-4d14-b2d0-36277ad9cd10" updatedVersion="8" minRefreshableVersion="3" useAutoFormatting="1" subtotalHiddenItems="1" itemPrintTitles="1" createdVersion="8" indent="0" outline="1" outlineData="1" multipleFieldFilters="0" chartFormat="8">
  <location ref="A47:A50" firstHeaderRow="1" firstDataRow="1" firstDataCol="1"/>
  <pivotFields count="1">
    <pivotField axis="axisRow" allDrilled="1" subtotalTop="0" showAll="0" dataSourceSort="1" defaultSubtotal="0" defaultAttributeDrillState="1">
      <items count="2">
        <item s="1" x="0"/>
        <item s="1" x="1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252">
      <pivotArea field="0" type="button" dataOnly="0" labelOnly="1" outline="0" axis="axisRow" fieldPosition="0"/>
    </format>
    <format dxfId="251">
      <pivotArea dataOnly="0" labelOnly="1" fieldPosition="0">
        <references count="1">
          <reference field="0" count="0"/>
        </references>
      </pivotArea>
    </format>
    <format dxfId="250">
      <pivotArea dataOnly="0" labelOnly="1" grandRow="1" outline="0" fieldPosition="0"/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0" type="button" dataOnly="0" labelOnly="1" outline="0" axis="axisRow" fieldPosition="0"/>
    </format>
    <format dxfId="246">
      <pivotArea dataOnly="0" labelOnly="1" fieldPosition="0">
        <references count="1">
          <reference field="0" count="0"/>
        </references>
      </pivotArea>
    </format>
    <format dxfId="2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12" cacheId="56" applyNumberFormats="0" applyBorderFormats="0" applyFontFormats="0" applyPatternFormats="0" applyAlignmentFormats="0" applyWidthHeightFormats="1" dataCaption="Values" tag="53f9329a-86ba-41ec-addf-5b1675d091eb" updatedVersion="8" minRefreshableVersion="3" useAutoFormatting="1" subtotalHiddenItems="1" itemPrintTitles="1" createdVersion="8" indent="0" outline="1" outlineData="1" multipleFieldFilters="0" chartFormat="1">
  <location ref="A34:A41" firstHeaderRow="1" firstDataRow="1" firstDataCol="1"/>
  <pivotFields count="1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8">
    <format dxfId="260">
      <pivotArea field="0" type="button" dataOnly="0" labelOnly="1" outline="0" axis="axisRow" fieldPosition="0"/>
    </format>
    <format dxfId="259">
      <pivotArea dataOnly="0" labelOnly="1" fieldPosition="0">
        <references count="1">
          <reference field="0" count="0"/>
        </references>
      </pivotArea>
    </format>
    <format dxfId="258">
      <pivotArea dataOnly="0" labelOnly="1" grandRow="1" outline="0" fieldPosition="0"/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field="0" type="button" dataOnly="0" labelOnly="1" outline="0" axis="axisRow" fieldPosition="0"/>
    </format>
    <format dxfId="254">
      <pivotArea dataOnly="0" labelOnly="1" fieldPosition="0">
        <references count="1">
          <reference field="0" count="0"/>
        </references>
      </pivotArea>
    </format>
    <format dxfId="2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PivotTable17" cacheId="60" applyNumberFormats="0" applyBorderFormats="0" applyFontFormats="0" applyPatternFormats="0" applyAlignmentFormats="0" applyWidthHeightFormats="1" dataCaption="Values" tag="56e91405-11fe-46c2-8b31-487987b44d4f" updatedVersion="8" minRefreshableVersion="3" useAutoFormatting="1" subtotalHiddenItems="1" itemPrintTitles="1" createdVersion="8" indent="0" outline="1" outlineData="1" multipleFieldFilters="0">
  <location ref="A32:B32" firstHeaderRow="1" firstDataRow="1" firstDataCol="1"/>
  <pivotFields count="2">
    <pivotField axis="axisRow" allDrilled="1" subtotalTop="0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  <pivotField dataField="1" subtotalTop="0" showAll="0" defaultSubtotal="0"/>
  </pivotFields>
  <rowFields count="1">
    <field x="0"/>
  </rowFields>
  <dataFields count="1">
    <dataField name="Sum of Durbanville" fld="1" baseField="0" baseItem="0"/>
  </dataFields>
  <formats count="9">
    <format dxfId="190">
      <pivotArea field="0" type="button" dataOnly="0" labelOnly="1" outline="0" axis="axisRow" fieldPosition="0"/>
    </format>
    <format dxfId="189">
      <pivotArea dataOnly="0" labelOnly="1" fieldPosition="0">
        <references count="1">
          <reference field="0" count="0"/>
        </references>
      </pivotArea>
    </format>
    <format dxfId="188">
      <pivotArea dataOnly="0" labelOnly="1" grandRow="1" outline="0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0" type="button" dataOnly="0" labelOnly="1" outline="0" axis="axisRow" fieldPosition="0"/>
    </format>
    <format dxfId="184">
      <pivotArea dataOnly="0" labelOnly="1" fieldPosition="0">
        <references count="1">
          <reference field="0" count="0"/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PivotTable16" cacheId="61" applyNumberFormats="0" applyBorderFormats="0" applyFontFormats="0" applyPatternFormats="0" applyAlignmentFormats="0" applyWidthHeightFormats="1" dataCaption="Values" tag="1f8a8402-5d48-450d-9a19-981563cb6694" updatedVersion="8" minRefreshableVersion="3" useAutoFormatting="1" subtotalHiddenItems="1" itemPrintTitles="1" createdVersion="8" indent="0" outline="1" outlineData="1" multipleFieldFilters="0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98">
      <pivotArea field="0" type="button" dataOnly="0" labelOnly="1" outline="0" axis="axisRow" fieldPosition="0"/>
    </format>
    <format dxfId="197">
      <pivotArea dataOnly="0" labelOnly="1" fieldPosition="0">
        <references count="1">
          <reference field="0" count="0"/>
        </references>
      </pivotArea>
    </format>
    <format dxfId="196">
      <pivotArea dataOnly="0" labelOnly="1" grandRow="1" outline="0" fieldPosition="0"/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field="0" type="button" dataOnly="0" labelOnly="1" outline="0" axis="axisRow" fieldPosition="0"/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le15" cacheId="53" applyNumberFormats="0" applyBorderFormats="0" applyFontFormats="0" applyPatternFormats="0" applyAlignmentFormats="0" applyWidthHeightFormats="1" dataCaption="Values" tag="2dfaf9a3-4f57-45ea-836e-e915fdaa871d" updatedVersion="8" minRefreshableVersion="3" useAutoFormatting="1" subtotalHiddenItems="1" itemPrintTitles="1" createdVersion="8" indent="0" outline="1" outlineData="1" multipleFieldFilters="0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206">
      <pivotArea field="0" type="button" dataOnly="0" labelOnly="1" outline="0" axis="axisRow" fieldPosition="0"/>
    </format>
    <format dxfId="205">
      <pivotArea dataOnly="0" labelOnly="1" fieldPosition="0">
        <references count="1">
          <reference field="0" count="0"/>
        </references>
      </pivotArea>
    </format>
    <format dxfId="204">
      <pivotArea dataOnly="0" labelOnly="1" grandRow="1" outline="0" fieldPosition="0"/>
    </format>
    <format dxfId="203">
      <pivotArea type="all" dataOnly="0" outline="0" fieldPosition="0"/>
    </format>
    <format dxfId="202">
      <pivotArea outline="0" collapsedLevelsAreSubtotals="1" fieldPosition="0"/>
    </format>
    <format dxfId="201">
      <pivotArea field="0" type="button" dataOnly="0" labelOnly="1" outline="0" axis="axisRow" fieldPosition="0"/>
    </format>
    <format dxfId="200">
      <pivotArea dataOnly="0" labelOnly="1" fieldPosition="0">
        <references count="1">
          <reference field="0" count="0"/>
        </references>
      </pivotArea>
    </format>
    <format dxfId="19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PivotTable19" cacheId="62" applyNumberFormats="0" applyBorderFormats="0" applyFontFormats="0" applyPatternFormats="0" applyAlignmentFormats="0" applyWidthHeightFormats="1" dataCaption="Values" tag="c77d00b5-9598-461e-8bd4-9e24504757ba" updatedVersion="8" minRefreshableVersion="3" useAutoFormatting="1" subtotalHiddenItems="1" itemPrintTitles="1" createdVersion="8" indent="0" outline="1" outlineData="1" multipleFieldFilters="0">
  <location ref="A1:A9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14">
      <pivotArea type="all" dataOnly="0" outline="0" fieldPosition="0"/>
    </format>
    <format dxfId="213">
      <pivotArea outline="0" collapsedLevelsAreSubtotals="1" fieldPosition="0"/>
    </format>
    <format dxfId="212">
      <pivotArea field="0" type="button" dataOnly="0" labelOnly="1" outline="0" axis="axisRow" fieldPosition="0"/>
    </format>
    <format dxfId="211">
      <pivotArea dataOnly="0" labelOnly="1" fieldPosition="0">
        <references count="1">
          <reference field="0" count="0"/>
        </references>
      </pivotArea>
    </format>
    <format dxfId="210">
      <pivotArea dataOnly="0" labelOnly="1" grandRow="1" outline="0" fieldPosition="0"/>
    </format>
    <format dxfId="209">
      <pivotArea field="0" type="button" dataOnly="0" labelOnly="1" outline="0" axis="axisRow" fieldPosition="0"/>
    </format>
    <format dxfId="208">
      <pivotArea dataOnly="0" labelOnly="1" fieldPosition="0">
        <references count="1">
          <reference field="0" count="0"/>
        </references>
      </pivotArea>
    </format>
    <format dxfId="20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PivotTable18" cacheId="59" applyNumberFormats="0" applyBorderFormats="0" applyFontFormats="0" applyPatternFormats="0" applyAlignmentFormats="0" applyWidthHeightFormats="1" dataCaption="Values" tag="8793a614-9e07-43b8-8c17-5067b2d43e15" updatedVersion="8" minRefreshableVersion="3" useAutoFormatting="1" subtotalHiddenItems="1" itemPrintTitles="1" createdVersion="8" indent="0" outline="1" outlineData="1" multipleFieldFilters="0">
  <location ref="A17:A25" firstHeaderRow="1" firstDataRow="1" firstDataCol="1"/>
  <pivotFields count="1">
    <pivotField axis="axisRow" allDrilled="1" subtotalTop="0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8">
    <format dxfId="222">
      <pivotArea field="0" type="button" dataOnly="0" labelOnly="1" outline="0" axis="axisRow" fieldPosition="0"/>
    </format>
    <format dxfId="221">
      <pivotArea dataOnly="0" labelOnly="1" fieldPosition="0">
        <references count="1">
          <reference field="0" count="0"/>
        </references>
      </pivotArea>
    </format>
    <format dxfId="220">
      <pivotArea dataOnly="0" labelOnly="1" grandRow="1" outline="0" fieldPosition="0"/>
    </format>
    <format dxfId="219">
      <pivotArea type="all" dataOnly="0" outline="0" fieldPosition="0"/>
    </format>
    <format dxfId="218">
      <pivotArea outline="0" collapsedLevelsAreSubtotals="1" fieldPosition="0"/>
    </format>
    <format dxfId="217">
      <pivotArea field="0" type="button" dataOnly="0" labelOnly="1" outline="0" axis="axisRow" fieldPosition="0"/>
    </format>
    <format dxfId="216">
      <pivotArea dataOnly="0" labelOnly="1" fieldPosition="0">
        <references count="1">
          <reference field="0" count="0"/>
        </references>
      </pivotArea>
    </format>
    <format dxfId="21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28" cacheId="65" applyNumberFormats="0" applyBorderFormats="0" applyFontFormats="0" applyPatternFormats="0" applyAlignmentFormats="0" applyWidthHeightFormats="1" dataCaption="Values" tag="976f8c92-5687-48d1-be94-ba700f0a4cb7" updatedVersion="8" minRefreshableVersion="3" useAutoFormatting="1" subtotalHiddenItems="1" itemPrintTitles="1" createdVersion="8" indent="0" outline="1" outlineData="1" multipleFieldFilters="0" chartFormat="6">
  <location ref="A1:A6" firstHeaderRow="1" firstDataRow="1" firstDataCol="1"/>
  <pivotFields count="1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formats count="8"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0" type="button" dataOnly="0" labelOnly="1" outline="0" axis="axisRow" fieldPosition="0"/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0" type="button" dataOnly="0" labelOnly="1" outline="0" axis="axisRow" fieldPosition="0"/>
    </format>
    <format dxfId="138">
      <pivotArea dataOnly="0" labelOnly="1" fieldPosition="0">
        <references count="1">
          <reference field="0" count="0"/>
        </references>
      </pivotArea>
    </format>
    <format dxfId="137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27" cacheId="52" applyNumberFormats="0" applyBorderFormats="0" applyFontFormats="0" applyPatternFormats="0" applyAlignmentFormats="0" applyWidthHeightFormats="1" dataCaption="Values" tag="a9052466-e95e-467f-b753-ed3f757b7b31" updatedVersion="8" minRefreshableVersion="3" useAutoFormatting="1" subtotalHiddenItems="1" itemPrintTitles="1" createdVersion="8" indent="0" outline="1" outlineData="1" multipleFieldFilters="0" chartFormat="3">
  <location ref="A54:A81" firstHeaderRow="1" firstDataRow="1" firstDataCol="1"/>
  <pivotFields count="1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8">
    <format dxfId="152">
      <pivotArea field="0" type="button" dataOnly="0" labelOnly="1" outline="0" axis="axisRow" fieldPosition="0"/>
    </format>
    <format dxfId="151">
      <pivotArea dataOnly="0" labelOnly="1" fieldPosition="0">
        <references count="1">
          <reference field="0" count="0"/>
        </references>
      </pivotArea>
    </format>
    <format dxfId="150">
      <pivotArea dataOnly="0" labelOnly="1" grandRow="1" outline="0" fieldPosition="0"/>
    </format>
    <format dxfId="149">
      <pivotArea type="all" dataOnly="0" outline="0" fieldPosition="0"/>
    </format>
    <format dxfId="148">
      <pivotArea outline="0" collapsedLevelsAreSubtotals="1" fieldPosition="0"/>
    </format>
    <format dxfId="147">
      <pivotArea field="0" type="button" dataOnly="0" labelOnly="1" outline="0" axis="axisRow" fieldPosition="0"/>
    </format>
    <format dxfId="146">
      <pivotArea dataOnly="0" labelOnly="1" fieldPosition="0">
        <references count="1">
          <reference field="0" count="0"/>
        </references>
      </pivotArea>
    </format>
    <format dxfId="145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26" cacheId="66" applyNumberFormats="0" applyBorderFormats="0" applyFontFormats="0" applyPatternFormats="0" applyAlignmentFormats="0" applyWidthHeightFormats="1" dataCaption="Values" tag="94608166-5b94-4a88-af93-7a3914e0d442" updatedVersion="8" minRefreshableVersion="3" useAutoFormatting="1" subtotalHiddenItems="1" itemPrintTitles="1" createdVersion="8" indent="0" outline="1" outlineData="1" multipleFieldFilters="0" chartFormat="3">
  <location ref="A45:A48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60">
      <pivotArea field="0" type="button" dataOnly="0" labelOnly="1" outline="0" axis="axisRow" fieldPosition="0"/>
    </format>
    <format dxfId="159">
      <pivotArea dataOnly="0" labelOnly="1" fieldPosition="0">
        <references count="1">
          <reference field="0" count="0"/>
        </references>
      </pivotArea>
    </format>
    <format dxfId="158">
      <pivotArea dataOnly="0" labelOnly="1" grandRow="1" outline="0" fieldPosition="0"/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field="0" type="button" dataOnly="0" labelOnly="1" outline="0" axis="axisRow" fieldPosition="0"/>
    </format>
    <format dxfId="154">
      <pivotArea dataOnly="0" labelOnly="1" fieldPosition="0">
        <references count="1">
          <reference field="0" count="0"/>
        </references>
      </pivotArea>
    </format>
    <format dxfId="153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25" cacheId="63" applyNumberFormats="0" applyBorderFormats="0" applyFontFormats="0" applyPatternFormats="0" applyAlignmentFormats="0" applyWidthHeightFormats="1" dataCaption="Values" tag="6650ccb0-34c3-4640-ac23-f70ddd9440cf" updatedVersion="8" minRefreshableVersion="3" useAutoFormatting="1" subtotalHiddenItems="1" itemPrintTitles="1" createdVersion="8" indent="0" outline="1" outlineData="1" multipleFieldFilters="0" chartFormat="3">
  <location ref="A32:A35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8">
    <format dxfId="168">
      <pivotArea field="0" type="button" dataOnly="0" labelOnly="1" outline="0" axis="axisRow" fieldPosition="0"/>
    </format>
    <format dxfId="167">
      <pivotArea dataOnly="0" labelOnly="1" fieldPosition="0">
        <references count="1">
          <reference field="0" count="0"/>
        </references>
      </pivotArea>
    </format>
    <format dxfId="166">
      <pivotArea dataOnly="0" labelOnly="1" grandRow="1" outline="0" fieldPosition="0"/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field="0" type="button" dataOnly="0" labelOnly="1" outline="0" axis="axisRow" fieldPosition="0"/>
    </format>
    <format dxfId="162">
      <pivotArea dataOnly="0" labelOnly="1" fieldPosition="0">
        <references count="1">
          <reference field="0" count="0"/>
        </references>
      </pivotArea>
    </format>
    <format dxfId="161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29" cacheId="64" applyNumberFormats="0" applyBorderFormats="0" applyFontFormats="0" applyPatternFormats="0" applyAlignmentFormats="0" applyWidthHeightFormats="1" dataCaption="Values" tag="049cba44-558d-4513-84fd-949739563663" updatedVersion="8" minRefreshableVersion="3" useAutoFormatting="1" subtotalHiddenItems="1" itemPrintTitles="1" createdVersion="8" indent="0" outline="1" outlineData="1" multipleFieldFilters="0" chartFormat="3">
  <location ref="A17:A20" firstHeaderRow="1" firstDataRow="1" firstDataCol="1"/>
  <pivotFields count="1">
    <pivotField axis="axisRow" allDrilled="1" subtotalTop="0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3">
    <format dxfId="181">
      <pivotArea field="0" type="button" dataOnly="0" labelOnly="1" outline="0" axis="axisRow" fieldPosition="0"/>
    </format>
    <format dxfId="180">
      <pivotArea dataOnly="0" labelOnly="1" fieldPosition="0">
        <references count="1">
          <reference field="0" count="0"/>
        </references>
      </pivotArea>
    </format>
    <format dxfId="179">
      <pivotArea dataOnly="0" labelOnly="1" grandRow="1" outline="0" fieldPosition="0"/>
    </format>
    <format dxfId="178">
      <pivotArea type="all" dataOnly="0" outline="0" fieldPosition="0"/>
    </format>
    <format dxfId="177">
      <pivotArea outline="0" collapsedLevelsAreSubtotals="1" fieldPosition="0"/>
    </format>
    <format dxfId="176">
      <pivotArea field="0" type="button" dataOnly="0" labelOnly="1" outline="0" axis="axisRow" fieldPosition="0"/>
    </format>
    <format dxfId="175">
      <pivotArea dataOnly="0" labelOnly="1" fieldPosition="0">
        <references count="1">
          <reference field="0" count="0"/>
        </references>
      </pivotArea>
    </format>
    <format dxfId="174">
      <pivotArea dataOnly="0" labelOnly="1" grandRow="1" outline="0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0" type="button" dataOnly="0" labelOnly="1" outline="0" axis="axisRow" fieldPosition="0"/>
    </format>
    <format dxfId="170">
      <pivotArea dataOnly="0" labelOnly="1" fieldPosition="0">
        <references count="1">
          <reference field="0" count="0"/>
        </references>
      </pivotArea>
    </format>
    <format dxfId="169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2000000}" name="PivotTable36" cacheId="70" applyNumberFormats="0" applyBorderFormats="0" applyFontFormats="0" applyPatternFormats="0" applyAlignmentFormats="0" applyWidthHeightFormats="1" dataCaption="Values" tag="e39149f1-0f57-40af-9de3-29627a46eb24" updatedVersion="8" minRefreshableVersion="3" useAutoFormatting="1" subtotalHiddenItems="1" itemPrintTitles="1" createdVersion="8" indent="0" outline="1" outlineData="1" multipleFieldFilters="0" chartFormat="7">
  <location ref="A16:B21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0" type="button" dataOnly="0" labelOnly="1" outline="0" axis="axisRow" fieldPosition="0"/>
    </format>
    <format dxfId="96">
      <pivotArea dataOnly="0" labelOnly="1" fieldPosition="0">
        <references count="1">
          <reference field="0" count="0"/>
        </references>
      </pivotArea>
    </format>
    <format dxfId="95">
      <pivotArea dataOnly="0" labelOnly="1" grandRow="1" outline="0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PivotTable35" cacheId="67" applyNumberFormats="0" applyBorderFormats="0" applyFontFormats="0" applyPatternFormats="0" applyAlignmentFormats="0" applyWidthHeightFormats="1" dataCaption="Values" tag="c529e9ab-fdd7-4e0f-a0f3-c896d6a20a60" updatedVersion="8" minRefreshableVersion="3" useAutoFormatting="1" subtotalHiddenItems="1" itemPrintTitles="1" createdVersion="8" indent="0" outline="1" outlineData="1" multipleFieldFilters="0" chartFormat="4">
  <location ref="A32:B35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13"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0"/>
        </references>
      </pivotArea>
    </format>
    <format dxfId="110">
      <pivotArea dataOnly="0" labelOnly="1" grandRow="1" outline="0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type="all" dataOnly="0" outline="0" fieldPosition="0"/>
    </format>
    <format dxfId="103">
      <pivotArea outline="0" collapsedLevelsAreSubtotals="1" fieldPosition="0"/>
    </format>
    <format dxfId="102">
      <pivotArea field="0" type="button" dataOnly="0" labelOnly="1" outline="0" axis="axisRow" fieldPosition="0"/>
    </format>
    <format dxfId="101">
      <pivotArea dataOnly="0" labelOnly="1" fieldPosition="0">
        <references count="1">
          <reference field="0" count="0"/>
        </references>
      </pivotArea>
    </format>
    <format dxfId="100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PivotTable31" cacheId="68" applyNumberFormats="0" applyBorderFormats="0" applyFontFormats="0" applyPatternFormats="0" applyAlignmentFormats="0" applyWidthHeightFormats="1" dataCaption="Values" tag="626c4a4d-53bc-4226-8c84-e061d3912562" updatedVersion="8" minRefreshableVersion="3" useAutoFormatting="1" subtotalHiddenItems="1" itemPrintTitles="1" createdVersion="8" indent="0" outline="1" outlineData="1" multipleFieldFilters="0" chartFormat="5">
  <location ref="A1:B6" firstHeaderRow="1" firstDataRow="1" firstDataCol="1"/>
  <pivotFields count="2">
    <pivotField axis="axisRow" allDrilled="1" showAll="0" dataSourceSort="1" defaultAttributeDrillState="1">
      <items count="5">
        <item s="1" x="0"/>
        <item s="1" x="1"/>
        <item s="1" x="2"/>
        <item s="1" x="3"/>
        <item t="default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fld="1" subtotal="count" baseField="0" baseItem="0"/>
  </dataFields>
  <formats count="8">
    <format dxfId="120">
      <pivotArea type="all" dataOnly="0" outline="0" fieldPosition="0"/>
    </format>
    <format dxfId="119">
      <pivotArea outline="0" collapsedLevelsAreSubtotals="1" fieldPosition="0"/>
    </format>
    <format dxfId="118">
      <pivotArea field="0" type="button" dataOnly="0" labelOnly="1" outline="0" axis="axisRow" fieldPosition="0"/>
    </format>
    <format dxfId="117">
      <pivotArea dataOnly="0" labelOnly="1" fieldPosition="0">
        <references count="1">
          <reference field="0" count="0"/>
        </references>
      </pivotArea>
    </format>
    <format dxfId="116">
      <pivotArea dataOnly="0" labelOnly="1" grandRow="1" outline="0" fieldPosition="0"/>
    </format>
    <format dxfId="115">
      <pivotArea field="0" type="button" dataOnly="0" labelOnly="1" outline="0" axis="axisRow" fieldPosition="0"/>
    </format>
    <format dxfId="114">
      <pivotArea dataOnly="0" labelOnly="1" fieldPosition="0">
        <references count="1">
          <reference field="0" count="0"/>
        </references>
      </pivotArea>
    </format>
    <format dxfId="113">
      <pivotArea dataOnly="0" labelOnly="1" grandRow="1" outline="0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Forecas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4000000}" name="PivotTable39" cacheId="69" applyNumberFormats="0" applyBorderFormats="0" applyFontFormats="0" applyPatternFormats="0" applyAlignmentFormats="0" applyWidthHeightFormats="1" dataCaption="Values" tag="6bb81411-fb3f-417d-a60c-b4e17ef6bb69" updatedVersion="8" minRefreshableVersion="3" useAutoFormatting="1" subtotalHiddenItems="1" itemPrintTitles="1" createdVersion="8" indent="0" outline="1" outlineData="1" multipleFieldFilters="0" chartFormat="4">
  <location ref="A47:B50" firstHeaderRow="1" firstDataRow="1" firstDataCol="1"/>
  <pivotFields count="2">
    <pivotField axis="axisRow" allDrilled="1" subtotalTop="0" showAll="0" dataSourceSort="1" defaultAttributeDrillState="1">
      <items count="3">
        <item s="1" x="0"/>
        <item s="1" x="1"/>
        <item t="default"/>
      </items>
    </pivotField>
    <pivotField dataField="1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fld="1" subtotal="count" baseField="0" baseItem="0"/>
  </dataFields>
  <formats count="8">
    <format dxfId="128">
      <pivotArea field="0" type="button" dataOnly="0" labelOnly="1" outline="0" axis="axisRow" fieldPosition="0"/>
    </format>
    <format dxfId="127">
      <pivotArea dataOnly="0" labelOnly="1" fieldPosition="0">
        <references count="1">
          <reference field="0" count="0"/>
        </references>
      </pivotArea>
    </format>
    <format dxfId="126">
      <pivotArea dataOnly="0" labelOnly="1" grandRow="1" outline="0" fieldPosition="0"/>
    </format>
    <format dxfId="125">
      <pivotArea type="all" dataOnly="0" outline="0" fieldPosition="0"/>
    </format>
    <format dxfId="124">
      <pivotArea outline="0" collapsedLevelsAreSubtotals="1" fieldPosition="0"/>
    </format>
    <format dxfId="123">
      <pivotArea field="0" type="button" dataOnly="0" labelOnly="1" outline="0" axis="axisRow" fieldPosition="0"/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3000000}" name="PivotTable38" cacheId="51" applyNumberFormats="0" applyBorderFormats="0" applyFontFormats="0" applyPatternFormats="0" applyAlignmentFormats="0" applyWidthHeightFormats="1" dataCaption="Values" tag="ddb49bcb-6578-4e04-9d64-28781d3249e5" updatedVersion="8" minRefreshableVersion="3" useAutoFormatting="1" subtotalHiddenItems="1" itemPrintTitles="1" createdVersion="8" indent="0" outline="1" outlineData="1" multipleFieldFilters="0" chartFormat="4">
  <location ref="A60:B87" firstHeaderRow="1" firstDataRow="1" firstDataCol="1"/>
  <pivotFields count="2">
    <pivotField axis="axisRow" allDrilled="1" subtotalTop="0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dataField="1" subtotalTop="0" showAll="0" defaultSubtotal="0"/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fld="1" subtotal="count" baseField="0" baseItem="0"/>
  </dataFields>
  <formats count="8">
    <format dxfId="136">
      <pivotArea field="0" type="button" dataOnly="0" labelOnly="1" outline="0" axis="axisRow" fieldPosition="0"/>
    </format>
    <format dxfId="135">
      <pivotArea dataOnly="0" labelOnly="1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2000000}" name="PivotTable48" cacheId="74" applyNumberFormats="0" applyBorderFormats="0" applyFontFormats="0" applyPatternFormats="0" applyAlignmentFormats="0" applyWidthHeightFormats="1" dataCaption="Values" tag="80c79bf3-b226-4a5c-b91e-fd44acda5782" updatedVersion="8" minRefreshableVersion="3" useAutoFormatting="1" subtotalHiddenItems="1" itemPrintTitles="1" createdVersion="8" indent="0" outline="1" outlineData="1" multipleFieldFilters="0" chartFormat="8">
  <location ref="A30:A37" firstHeaderRow="1" firstDataRow="1" firstDataCol="1"/>
  <pivotFields count="1">
    <pivotField axis="axisRow" allDrilled="1" showAll="0" dataSourceSort="1" defaultAttributeDrillState="1">
      <items count="7">
        <item s="1" x="0"/>
        <item s="1" x="1"/>
        <item s="1" x="2"/>
        <item s="1" x="3"/>
        <item s="1" x="4"/>
        <item s="1" x="5"/>
        <item t="default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formats count="18"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0" type="button" dataOnly="0" labelOnly="1" outline="0" axis="axisRow" fieldPosition="0"/>
    </format>
    <format dxfId="14">
      <pivotArea dataOnly="0" labelOnly="1" fieldPosition="0">
        <references count="1">
          <reference field="0" count="0"/>
        </references>
      </pivotArea>
    </format>
    <format dxfId="13">
      <pivotArea dataOnly="0" labelOnly="1" grandRow="1" outline="0" fieldPosition="0"/>
    </format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0" count="0"/>
        </references>
      </pivotArea>
    </format>
    <format dxfId="10">
      <pivotArea dataOnly="0" labelOnly="1" grandRow="1" outline="0" fieldPosition="0"/>
    </format>
    <format dxfId="9">
      <pivotArea type="all" dataOnly="0" outline="0" fieldPosition="0"/>
    </format>
    <format dxfId="8">
      <pivotArea outline="0" collapsedLevelsAreSubtotals="1" fieldPosition="0"/>
    </format>
    <format dxfId="7">
      <pivotArea field="0" type="button" dataOnly="0" labelOnly="1" outline="0" axis="axisRow" fieldPosition="0"/>
    </format>
    <format dxfId="6">
      <pivotArea dataOnly="0" labelOnly="1" fieldPosition="0">
        <references count="1">
          <reference field="0" count="0"/>
        </references>
      </pivotArea>
    </format>
    <format dxfId="5">
      <pivotArea dataOnly="0" labelOnly="1" grandRow="1" outline="0" fieldPosition="0"/>
    </format>
    <format dxfId="4">
      <pivotArea type="all" dataOnly="0" outline="0" fieldPosition="0"/>
    </format>
    <format dxfId="3">
      <pivotArea outline="0" collapsedLevelsAreSubtotals="1" fieldPosition="0"/>
    </format>
    <format dxfId="2">
      <pivotArea field="0" type="button" dataOnly="0" labelOnly="1" outline="0" axis="axisRow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PivotTable47" cacheId="71" applyNumberFormats="0" applyBorderFormats="0" applyFontFormats="0" applyPatternFormats="0" applyAlignmentFormats="0" applyWidthHeightFormats="1" dataCaption="Values" tag="fcd85117-a7fc-4357-b60a-e06575b9780f" updatedVersion="8" minRefreshableVersion="3" useAutoFormatting="1" subtotalHiddenItems="1" itemPrintTitles="1" createdVersion="8" indent="0" outline="1" outlineData="1" multipleFieldFilters="0" chartFormat="8">
  <location ref="A15:A23" firstHeaderRow="1" firstDataRow="1" firstDataCol="1"/>
  <pivotFields count="1">
    <pivotField axis="axisRow" allDrilled="1" showAll="0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0" type="button" dataOnly="0" labelOnly="1" outline="0" axis="axisRow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grandRow="1" outline="0" fieldPosition="0"/>
    </format>
    <format dxfId="30">
      <pivotArea field="0" type="button" dataOnly="0" labelOnly="1" outline="0" axis="axisRow" fieldPosition="0"/>
    </format>
    <format dxfId="29">
      <pivotArea dataOnly="0" labelOnly="1" fieldPosition="0">
        <references count="1">
          <reference field="0" count="0"/>
        </references>
      </pivotArea>
    </format>
    <format dxfId="28">
      <pivotArea dataOnly="0" labelOnly="1" grandRow="1" outline="0" fieldPosition="0"/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0" type="button" dataOnly="0" labelOnly="1" outline="0" axis="axisRow" fieldPosition="0"/>
    </format>
    <format dxfId="24">
      <pivotArea dataOnly="0" labelOnly="1" fieldPosition="0">
        <references count="1">
          <reference field="0" count="0"/>
        </references>
      </pivotArea>
    </format>
    <format dxfId="23">
      <pivotArea dataOnly="0" labelOnly="1" grandRow="1" outline="0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PivotTable46" cacheId="72" applyNumberFormats="0" applyBorderFormats="0" applyFontFormats="0" applyPatternFormats="0" applyAlignmentFormats="0" applyWidthHeightFormats="1" dataCaption="Values" tag="c1441073-23dc-40af-9c48-852627568f33" updatedVersion="8" minRefreshableVersion="3" useAutoFormatting="1" subtotalHiddenItems="1" itemPrintTitles="1" createdVersion="8" indent="0" outline="1" outlineData="1" multipleFieldFilters="0" chartFormat="8">
  <location ref="A2:A10" firstHeaderRow="1" firstDataRow="1" firstDataCol="1"/>
  <pivotFields count="1">
    <pivotField axis="axisRow" allDrilled="1" showAll="0" dataSourceSort="1" defaultAttributeDrillState="1">
      <items count="8">
        <item s="1" x="0"/>
        <item s="1" x="1"/>
        <item s="1" x="2"/>
        <item s="1" x="3"/>
        <item s="1" x="4"/>
        <item s="1" x="5"/>
        <item s="1" x="6"/>
        <item t="default"/>
      </items>
    </pivotField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formats count="18"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0" type="button" dataOnly="0" labelOnly="1" outline="0" axis="axisRow" fieldPosition="0"/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0" type="button" dataOnly="0" labelOnly="1" outline="0" axis="axisRow" fieldPosition="0"/>
    </format>
    <format dxfId="47">
      <pivotArea dataOnly="0" labelOnly="1" fieldPosition="0">
        <references count="1">
          <reference field="0" count="0"/>
        </references>
      </pivotArea>
    </format>
    <format dxfId="46">
      <pivotArea dataOnly="0" labelOnly="1" grandRow="1" outline="0" fieldPosition="0"/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0" type="button" dataOnly="0" labelOnly="1" outline="0" axis="axisRow" fieldPosition="0"/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0" type="button" dataOnly="0" labelOnly="1" outline="0" axis="axisRow" fieldPosition="0"/>
    </format>
    <format dxfId="37">
      <pivotArea dataOnly="0" labelOnly="1" fieldPosition="0">
        <references count="1">
          <reference field="0" count="0"/>
        </references>
      </pivotArea>
    </format>
    <format dxfId="36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50" cacheId="50" applyNumberFormats="0" applyBorderFormats="0" applyFontFormats="0" applyPatternFormats="0" applyAlignmentFormats="0" applyWidthHeightFormats="1" dataCaption="Values" tag="aed8d133-7c92-4e55-b30d-3925a08f2918" updatedVersion="8" minRefreshableVersion="3" useAutoFormatting="1" subtotalHiddenItems="1" itemPrintTitles="1" createdVersion="8" indent="0" outline="1" outlineData="1" multipleFieldFilters="0" chartFormat="8">
  <location ref="A51:A78" firstHeaderRow="1" firstDataRow="1" firstDataCol="1"/>
  <pivotFields count="1">
    <pivotField axis="axisRow" allDrilled="1" showAll="0" dataSourceSort="1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</pivotFields>
  <rowFields count="1">
    <field x="0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formats count="18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field="0" type="button" dataOnly="0" labelOnly="1" outline="0" axis="axisRow" fieldPosition="0"/>
    </format>
    <format dxfId="65">
      <pivotArea dataOnly="0" labelOnly="1" fieldPosition="0">
        <references count="1">
          <reference field="0" count="0"/>
        </references>
      </pivotArea>
    </format>
    <format dxfId="64">
      <pivotArea dataOnly="0" labelOnly="1" grandRow="1" outline="0" fieldPosition="0"/>
    </format>
    <format dxfId="63">
      <pivotArea type="all" dataOnly="0" outline="0" fieldPosition="0"/>
    </format>
    <format dxfId="62">
      <pivotArea outline="0" collapsedLevelsAreSubtotals="1" fieldPosition="0"/>
    </format>
    <format dxfId="61">
      <pivotArea field="0" type="button" dataOnly="0" labelOnly="1" outline="0" axis="axisRow" fieldPosition="0"/>
    </format>
    <format dxfId="60">
      <pivotArea dataOnly="0" labelOnly="1" fieldPosition="0">
        <references count="1">
          <reference field="0" count="0"/>
        </references>
      </pivotArea>
    </format>
    <format dxfId="59">
      <pivotArea dataOnly="0" labelOnly="1" grandRow="1" outline="0" fieldPosition="0"/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0" type="button" dataOnly="0" labelOnly="1" outline="0" axis="axisRow" fieldPosition="0"/>
    </format>
    <format dxfId="55">
      <pivotArea dataOnly="0" labelOnly="1" fieldPosition="0">
        <references count="1">
          <reference field="0" count="0"/>
        </references>
      </pivotArea>
    </format>
    <format dxfId="54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3000000}" name="PivotTable49" cacheId="73" applyNumberFormats="0" applyBorderFormats="0" applyFontFormats="0" applyPatternFormats="0" applyAlignmentFormats="0" applyWidthHeightFormats="1" dataCaption="Values" tag="4c48141a-3cdd-4f16-bfff-b38e9d61e12c" updatedVersion="8" minRefreshableVersion="3" useAutoFormatting="1" subtotalHiddenItems="1" itemPrintTitles="1" createdVersion="8" indent="0" outline="1" outlineData="1" multipleFieldFilters="0" chartFormat="8">
  <location ref="A42:A45" firstHeaderRow="1" firstDataRow="1" firstDataCol="1"/>
  <pivotFields count="1">
    <pivotField axis="axisRow" allDrilled="1" showAll="0" dataSourceSort="1" defaultAttributeDrillState="1">
      <items count="3">
        <item s="1" x="0"/>
        <item s="1" x="1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formats count="18"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field="0" type="button" dataOnly="0" labelOnly="1" outline="0" axis="axisRow" fieldPosition="0"/>
    </format>
    <format dxfId="83">
      <pivotArea dataOnly="0" labelOnly="1" fieldPosition="0">
        <references count="1">
          <reference field="0" count="0"/>
        </references>
      </pivotArea>
    </format>
    <format dxfId="82">
      <pivotArea dataOnly="0" labelOnly="1" grandRow="1" outline="0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0" type="button" dataOnly="0" labelOnly="1" outline="0" axis="axisRow" fieldPosition="0"/>
    </format>
    <format dxfId="78">
      <pivotArea dataOnly="0" labelOnly="1" fieldPosition="0">
        <references count="1">
          <reference field="0" count="0"/>
        </references>
      </pivotArea>
    </format>
    <format dxfId="77">
      <pivotArea dataOnly="0" labelOnly="1" grandRow="1" outline="0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0" type="button" dataOnly="0" labelOnly="1" outline="0" axis="axisRow" fieldPosition="0"/>
    </format>
    <format dxfId="73">
      <pivotArea dataOnly="0" labelOnly="1" fieldPosition="0">
        <references count="1">
          <reference field="0" count="0"/>
        </references>
      </pivotArea>
    </format>
    <format dxfId="72">
      <pivotArea dataOnly="0" labelOnly="1" grandRow="1" outline="0" fieldPosition="0"/>
    </format>
  </formats>
  <pivotHierarchies count="18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dataExport (6).xlsx!Table1">
        <x15:activeTabTopLevelEntity name="[Table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D00-000000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E00-000001000000}" autoFormatId="16" applyNumberFormats="0" applyBorderFormats="0" applyFontFormats="0" applyPatternFormats="0" applyAlignmentFormats="0" applyWidthHeightFormats="0">
  <queryTableRefresh nextId="62">
    <queryTableFields count="61">
      <queryTableField id="1" name="Table1[Date]" tableColumnId="1"/>
      <queryTableField id="2" name="Table1[Aces - Mediclinic Vergelegen Energy produced (kWh)]" tableColumnId="2"/>
      <queryTableField id="3" name="Table1[Aces - Mediclinic Vergelegen PR (%)]" tableColumnId="3"/>
      <queryTableField id="4" name="Table1[Aces - Mediclinic Vergelegen Energy Irradiated (kWh/m²)]" tableColumnId="4"/>
      <queryTableField id="5" name="Table1[Aces - Mediclinic Vergelegen Availability (%)]" tableColumnId="5"/>
      <queryTableField id="6" name="Table1[Aces - Mediclinic Vergelegen P50 (kWh)]" tableColumnId="6"/>
      <queryTableField id="7" name="Table1[Aces - Mediclinic Vergelegen estimatedPOA]" tableColumnId="7"/>
      <queryTableField id="8" name="Table1[Aces - Mediclinic Vergelegen PRP50]" tableColumnId="8"/>
      <queryTableField id="9" name="Table1[Aces - Mediclinic Midstream Energy produced (kWh)2]" tableColumnId="9"/>
      <queryTableField id="10" name="Table1[Aces - Mediclinic Midstream PR (%)]" tableColumnId="10"/>
      <queryTableField id="11" name="Table1[Aces - Mediclinic Midstream Energy Irradiated (kWh/m²)]" tableColumnId="11"/>
      <queryTableField id="12" name="Table1[Aces - Mediclinic Midstream Availability (%)]" tableColumnId="12"/>
      <queryTableField id="13" name="Table1[Aces - Mediclinic Midstream P50 (kWh)]" tableColumnId="13"/>
      <queryTableField id="14" name="Table1[Aces - Mediclinic Midstream estimatedPOA]" tableColumnId="14"/>
      <queryTableField id="15" name="Table1[Aces - Mediclinic Midstream PRP508]" tableColumnId="15"/>
      <queryTableField id="16" name="Table1[Aces - Mediclinic Durbanville Energy produced (kWh)]" tableColumnId="16"/>
      <queryTableField id="17" name="Table1[Aces - Mediclinic Durbanville PR (%)]" tableColumnId="17"/>
      <queryTableField id="18" name="Table1[Aces - Mediclinic Durbanville Energy Irradiated (kWh/m²)11]" tableColumnId="18"/>
      <queryTableField id="19" name="Table1[Aces - Mediclinic Durbanville Availability (%)]" tableColumnId="19"/>
      <queryTableField id="20" name="Table1[Aces - Mediclinic Durbanville P50 (kWh)]" tableColumnId="20"/>
      <queryTableField id="21" name="Table1[Aces - Mediclinic Durbanville estimatedPOA]" tableColumnId="21"/>
      <queryTableField id="22" name="Table1[Aces - Mediclinic Durbanville PRP50]" tableColumnId="22"/>
      <queryTableField id="23" name="Table1[Aces - Mediclinic Hermanus Energy produced (kWh)]" tableColumnId="23"/>
      <queryTableField id="24" name="Table1[Aces - Mediclinic Hermanus PR (%)]" tableColumnId="24"/>
      <queryTableField id="25" name="Table1[Aces - Mediclinic Hermanus Energy Irradiated (kWh/m²)]" tableColumnId="25"/>
      <queryTableField id="26" name="Table1[Aces - Mediclinic Hermanus Availability (%)]" tableColumnId="26"/>
      <queryTableField id="27" name="Table1[Aces - Mediclinic HermanusP50 (kWh)]" tableColumnId="27"/>
      <queryTableField id="28" name="Table1[Aces - Mediclinic Hermanus estimatedPOA]" tableColumnId="28"/>
      <queryTableField id="29" name="Table1[Aces - Mediclinic Hermanus PRP50]" tableColumnId="29"/>
      <queryTableField id="30" name="Table1[Aces - Mediclinic Highveld Energy produced (kWh)]" tableColumnId="30"/>
      <queryTableField id="31" name="Table1[Aces - Mediclinic Highveld PR (%)]" tableColumnId="31"/>
      <queryTableField id="32" name="Table1[Aces - Mediclinic Highveld Energy Irradiated (kWh/m²)]" tableColumnId="32"/>
      <queryTableField id="33" name="Table1[Aces - Mediclinic Highveld Availability (%)]" tableColumnId="33"/>
      <queryTableField id="34" name="Table1[Aces - Mediclinic Highveld P50 (kWh)]" tableColumnId="34"/>
      <queryTableField id="35" name="Table1[Aces - Mediclinic Highveld estimatedPOA]" tableColumnId="35"/>
      <queryTableField id="36" name="Table1[Aces - Mediclinic Highveld PRP50]" tableColumnId="36"/>
      <queryTableField id="37" name="Table1[Veregelegen production Varriance]" tableColumnId="37"/>
      <queryTableField id="38" name="Table1[Midstream Production Variance]" tableColumnId="38"/>
      <queryTableField id="39" name="Table1[Durbanville Production variance]" tableColumnId="39"/>
      <queryTableField id="40" name="Table1[Hermanus production variance]" tableColumnId="40"/>
      <queryTableField id="41" name="Table1[Highveld  production Variance]" tableColumnId="41"/>
      <queryTableField id="42" name="Table1[Vergelegen  PR variance]" tableColumnId="42"/>
      <queryTableField id="43" name="Table1[Midstream PR Variance]" tableColumnId="43"/>
      <queryTableField id="44" name="Table1[Durbanville]" tableColumnId="44"/>
      <queryTableField id="45" name="Table1[Mid ZAR/kWh]" tableColumnId="45"/>
      <queryTableField id="46" name="Table1[HIG ZAR/kWh]" tableColumnId="46"/>
      <queryTableField id="47" name="Table1[VER ZAR/kWh]" tableColumnId="47"/>
      <queryTableField id="48" name="Table1[DUR ZAR/kWh]" tableColumnId="48"/>
      <queryTableField id="49" name="Table1[HER ZAR/kWh2]" tableColumnId="49"/>
      <queryTableField id="50" name="Table1[Vat]" tableColumnId="50"/>
      <queryTableField id="51" name="Table1[MID Total ZAR]" tableColumnId="51"/>
      <queryTableField id="52" name="Table1[HIG Total ZAR]" tableColumnId="52"/>
      <queryTableField id="53" name="Table1[VER Total ZAR]" tableColumnId="53"/>
      <queryTableField id="54" name="Table1[DUR Total ZAR]" tableColumnId="54"/>
      <queryTableField id="55" name="Table1[HER  Total  ZAR]" tableColumnId="55"/>
      <queryTableField id="56" name="Table1[Forecast MID Total ZAR2]" tableColumnId="56"/>
      <queryTableField id="57" name="Table1[Forecast HIG Total ZAR3]" tableColumnId="57"/>
      <queryTableField id="58" name="Table1[Forecast  VER Total ZAR4]" tableColumnId="58"/>
      <queryTableField id="59" name="Table1[Forecast  DUR Total ZAR5]" tableColumnId="59"/>
      <queryTableField id="60" name="Table1[Forecast HER  Total  ZAR6]" tableColumnId="60"/>
      <queryTableField id="61" name="Table1[Date (Month Index)]" tableColumnId="61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Y28" totalsRowShown="0">
  <autoFilter ref="A1:BY28" xr:uid="{00000000-0009-0000-0100-000001000000}">
    <filterColumn colId="0">
      <filters>
        <dateGroupItem year="2023" dateTimeGrouping="year"/>
        <dateGroupItem year="2022" dateTimeGrouping="year"/>
        <dateGroupItem year="2021" dateTimeGrouping="year"/>
      </filters>
    </filterColumn>
  </autoFilter>
  <tableColumns count="77">
    <tableColumn id="60" xr3:uid="{00000000-0010-0000-0000-00003C000000}" name="Date" dataDxfId="337"/>
    <tableColumn id="2" xr3:uid="{00000000-0010-0000-0000-000002000000}" name="Verg_Energy_(kWh)" dataDxfId="336"/>
    <tableColumn id="3" xr3:uid="{00000000-0010-0000-0000-000003000000}" name="Verg_PR_(%)" dataDxfId="335"/>
    <tableColumn id="4" xr3:uid="{00000000-0010-0000-0000-000004000000}" name="Verg_Irradiated_(kWh/m²)" dataDxfId="334"/>
    <tableColumn id="5" xr3:uid="{00000000-0010-0000-0000-000005000000}" name="Verg_Availability_(%)" dataDxfId="333"/>
    <tableColumn id="6" xr3:uid="{00000000-0010-0000-0000-000006000000}" name="Verg_P50_(kWh)" dataDxfId="332"/>
    <tableColumn id="62" xr3:uid="{00000000-0010-0000-0000-00003E000000}" name="unavailability days" dataDxfId="331"/>
    <tableColumn id="63" xr3:uid="{00000000-0010-0000-0000-00003F000000}" name="Column6" dataDxfId="330"/>
    <tableColumn id="7" xr3:uid="{00000000-0010-0000-0000-000007000000}" name="Verg_estimatedPOA" dataDxfId="329"/>
    <tableColumn id="64" xr3:uid="{00000000-0010-0000-0000-000040000000}" name="Column7" dataDxfId="328"/>
    <tableColumn id="8" xr3:uid="{00000000-0010-0000-0000-000008000000}" name="Verg_PRP50" dataDxfId="327" dataCellStyle="Percent"/>
    <tableColumn id="9" xr3:uid="{00000000-0010-0000-0000-000009000000}" name="Mid_(kWh)2" dataDxfId="326"/>
    <tableColumn id="10" xr3:uid="{00000000-0010-0000-0000-00000A000000}" name="Mid_PR_(%)" dataDxfId="325"/>
    <tableColumn id="11" xr3:uid="{00000000-0010-0000-0000-00000B000000}" name="Mid_Irradiated_(kWh/m²)" dataDxfId="324"/>
    <tableColumn id="12" xr3:uid="{00000000-0010-0000-0000-00000C000000}" name="Mid_Availability_(%)" dataDxfId="323"/>
    <tableColumn id="13" xr3:uid="{00000000-0010-0000-0000-00000D000000}" name="Mid_P50_(kWh)" dataDxfId="322"/>
    <tableColumn id="35" xr3:uid="{00000000-0010-0000-0000-000023000000}" name="Unavailable days" dataDxfId="321"/>
    <tableColumn id="32" xr3:uid="{00000000-0010-0000-0000-000020000000}" name="Column1" dataDxfId="320"/>
    <tableColumn id="14" xr3:uid="{00000000-0010-0000-0000-00000E000000}" name="Mid_estimatedPOA" dataDxfId="319"/>
    <tableColumn id="65" xr3:uid="{00000000-0010-0000-0000-000041000000}" name="Column22" dataDxfId="318"/>
    <tableColumn id="15" xr3:uid="{00000000-0010-0000-0000-00000F000000}" name="Mid_PRP50" dataDxfId="317" dataCellStyle="Percent"/>
    <tableColumn id="16" xr3:uid="{00000000-0010-0000-0000-000010000000}" name="Dur_Energy_produced_(kWh)" dataDxfId="316"/>
    <tableColumn id="17" xr3:uid="{00000000-0010-0000-0000-000011000000}" name="Dur_PR_(%)" dataDxfId="315"/>
    <tableColumn id="18" xr3:uid="{00000000-0010-0000-0000-000012000000}" name="Dur_Energy_Irradiated_(kWh/m²)" dataDxfId="314"/>
    <tableColumn id="19" xr3:uid="{00000000-0010-0000-0000-000013000000}" name="Dur_Availability_(%)" dataDxfId="313"/>
    <tableColumn id="20" xr3:uid="{00000000-0010-0000-0000-000014000000}" name="Dur_P50_(kWh)" dataDxfId="312"/>
    <tableColumn id="55" xr3:uid="{00000000-0010-0000-0000-000037000000}" name="unavailability days3" dataDxfId="311"/>
    <tableColumn id="56" xr3:uid="{00000000-0010-0000-0000-000038000000}" name="Column3" dataDxfId="310"/>
    <tableColumn id="21" xr3:uid="{00000000-0010-0000-0000-000015000000}" name="Dur_estimatedPOA" dataDxfId="309"/>
    <tableColumn id="66" xr3:uid="{00000000-0010-0000-0000-000042000000}" name="Column8" dataDxfId="308"/>
    <tableColumn id="22" xr3:uid="{00000000-0010-0000-0000-000016000000}" name="Dur_PRP50" dataDxfId="307" dataCellStyle="Percent"/>
    <tableColumn id="23" xr3:uid="{00000000-0010-0000-0000-000017000000}" name="Her_Energy_produced_(kWh)" dataDxfId="306"/>
    <tableColumn id="24" xr3:uid="{00000000-0010-0000-0000-000018000000}" name="Her_PR_(%)" dataDxfId="305"/>
    <tableColumn id="25" xr3:uid="{00000000-0010-0000-0000-000019000000}" name="Her_Energy_Irradiated_(kWh/m²)" dataDxfId="304"/>
    <tableColumn id="26" xr3:uid="{00000000-0010-0000-0000-00001A000000}" name="Her_Availability_(%)" dataDxfId="303"/>
    <tableColumn id="27" xr3:uid="{00000000-0010-0000-0000-00001B000000}" name="Her_P50_(kWh)" dataDxfId="302"/>
    <tableColumn id="59" xr3:uid="{00000000-0010-0000-0000-00003B000000}" name="Column5" dataDxfId="301"/>
    <tableColumn id="28" xr3:uid="{00000000-0010-0000-0000-00001C000000}" name="Her_estimatedPOA" dataDxfId="300"/>
    <tableColumn id="67" xr3:uid="{00000000-0010-0000-0000-000043000000}" name="Column9" dataDxfId="299"/>
    <tableColumn id="29" xr3:uid="{00000000-0010-0000-0000-00001D000000}" name="Her_PRP50" dataDxfId="298" dataCellStyle="Percent"/>
    <tableColumn id="43" xr3:uid="{00000000-0010-0000-0000-00002B000000}" name="TZA_Energy_produced_(kWh)" dataDxfId="297" dataCellStyle="Percent"/>
    <tableColumn id="73" xr3:uid="{D964E6C3-E423-4996-A871-CF431949489A}" name="TZA_PR_(%)" dataDxfId="296"/>
    <tableColumn id="72" xr3:uid="{59822C90-769A-4C82-AEAE-D939E2239262}" name="TZA_Energy_Irradiated_(kWh/m²)" dataDxfId="295"/>
    <tableColumn id="74" xr3:uid="{DC334E9C-A13F-468A-8488-1C7AF9576E89}" name="TZA_Availability_(%)" dataDxfId="294"/>
    <tableColumn id="76" xr3:uid="{7EB3C1FC-4EBF-42A8-BAB9-A3A1A17CCB3F}" name="TZA_P50_(kWh)" dataDxfId="293"/>
    <tableColumn id="77" xr3:uid="{91538E94-9321-40D5-B391-9CA6AC6AC3B9}" name="TZA_estimatedPOA" dataDxfId="292"/>
    <tableColumn id="79" xr3:uid="{9A27145F-3EE0-4107-AC67-E26113412C8E}" name="TZA_PRP50" dataDxfId="291"/>
    <tableColumn id="1" xr3:uid="{00000000-0010-0000-0000-000001000000}" name="Hig_Energy_produced_(kWh)2" dataDxfId="290"/>
    <tableColumn id="31" xr3:uid="{00000000-0010-0000-0000-00001F000000}" name="Hig_PR_(%)" dataDxfId="289"/>
    <tableColumn id="38" xr3:uid="{00000000-0010-0000-0000-000026000000}" name="Hig_Energy_Irradiated_(kWh/m²)" dataDxfId="288"/>
    <tableColumn id="33" xr3:uid="{00000000-0010-0000-0000-000021000000}" name="Hig_Availability_(%)" dataDxfId="287"/>
    <tableColumn id="34" xr3:uid="{00000000-0010-0000-0000-000022000000}" name="Hig_P50_(kWh)" dataDxfId="286"/>
    <tableColumn id="57" xr3:uid="{00000000-0010-0000-0000-000039000000}" name="Unavailability days2" dataDxfId="285"/>
    <tableColumn id="58" xr3:uid="{00000000-0010-0000-0000-00003A000000}" name="Column4" dataDxfId="284"/>
    <tableColumn id="36" xr3:uid="{00000000-0010-0000-0000-000024000000}" name="Hig_estimatedPOA" dataDxfId="283"/>
    <tableColumn id="68" xr3:uid="{00000000-0010-0000-0000-000044000000}" name="Column10" dataDxfId="282"/>
    <tableColumn id="61" xr3:uid="{00000000-0010-0000-0000-00003D000000}" name="Hig_PRP50" dataDxfId="281" dataCellStyle="Percent"/>
    <tableColumn id="37" xr3:uid="{00000000-0010-0000-0000-000025000000}" name="Mid_ZAR/kWh" dataDxfId="280" dataCellStyle="Percent"/>
    <tableColumn id="40" xr3:uid="{00000000-0010-0000-0000-000028000000}" name="HIG_ZAR/kWh" dataDxfId="279" dataCellStyle="Percent"/>
    <tableColumn id="42" xr3:uid="{00000000-0010-0000-0000-00002A000000}" name="VER_ZAR/kWh" dataDxfId="278" dataCellStyle="Percent"/>
    <tableColumn id="41" xr3:uid="{00000000-0010-0000-0000-000029000000}" name="DUR_ZAR/kWh" dataDxfId="277" dataCellStyle="Percent"/>
    <tableColumn id="39" xr3:uid="{00000000-0010-0000-0000-000027000000}" name="HER_ZAR/kWh2" dataDxfId="276" dataCellStyle="Percent"/>
    <tableColumn id="30" xr3:uid="{00000000-0010-0000-0000-00001E000000}" name="TZA ZAR/kWh" dataDxfId="275" dataCellStyle="Percent"/>
    <tableColumn id="44" xr3:uid="{00000000-0010-0000-0000-00002C000000}" name="Vat_" dataDxfId="274" dataCellStyle="Percent">
      <calculatedColumnFormula>0.15</calculatedColumnFormula>
    </tableColumn>
    <tableColumn id="45" xr3:uid="{00000000-0010-0000-0000-00002D000000}" name="MID_Total_(ZAR)" dataDxfId="273" dataCellStyle="Percent">
      <calculatedColumnFormula>Table1[[#This Row],[Mid_ZAR/kWh]]*Table1[[#This Row],[Mid_(kWh)2]]*(1+0.15)</calculatedColumnFormula>
    </tableColumn>
    <tableColumn id="46" xr3:uid="{00000000-0010-0000-0000-00002E000000}" name="HIG_Total_(ZAR)" dataDxfId="272" dataCellStyle="Percent">
      <calculatedColumnFormula>Table1[[#This Row],[HIG_ZAR/kWh]]*Table1[[#This Row],[Hig_Energy_produced_(kWh)2]]*(1+0.15)</calculatedColumnFormula>
    </tableColumn>
    <tableColumn id="47" xr3:uid="{00000000-0010-0000-0000-00002F000000}" name="VER_Total_(ZAR)" dataDxfId="271" dataCellStyle="Percent">
      <calculatedColumnFormula>Table1[[#This Row],[VER_ZAR/kWh]]*Table1[[#This Row],[Verg_Energy_(kWh)]]*(1+0.15)</calculatedColumnFormula>
    </tableColumn>
    <tableColumn id="49" xr3:uid="{00000000-0010-0000-0000-000031000000}" name="DUR_Total_(ZAR)" dataDxfId="270" dataCellStyle="Percent">
      <calculatedColumnFormula>Table1[[#This Row],[DUR_ZAR/kWh]]*Table1[[#This Row],[Dur_Energy_produced_(kWh)]]*(1+0.15)</calculatedColumnFormula>
    </tableColumn>
    <tableColumn id="48" xr3:uid="{00000000-0010-0000-0000-000030000000}" name="HER__Total__(ZAR)" dataDxfId="269" dataCellStyle="Percent">
      <calculatedColumnFormula>Table1[[#This Row],[HER_ZAR/kWh2]]*Table1[[#This Row],[Her_Energy_produced_(kWh)]]*(1+0.15)</calculatedColumnFormula>
    </tableColumn>
    <tableColumn id="80" xr3:uid="{5B10CEA8-6228-494F-985D-11D9A9A9B6C6}" name="TZA_Total_(ZAR)" dataDxfId="268" dataCellStyle="Percent">
      <calculatedColumnFormula>Table1[[#This Row],[TZA ZAR/kWh]]*Table1[[#This Row],[TZA_Energy_produced_(kWh)]]*(1+0.15)</calculatedColumnFormula>
    </tableColumn>
    <tableColumn id="50" xr3:uid="{00000000-0010-0000-0000-000032000000}" name="_Forecast_MID_Total_ZAR2" dataDxfId="267" dataCellStyle="Percent">
      <calculatedColumnFormula>Table1[[#This Row],[Mid_ZAR/kWh]]*Table1[[#This Row],[Mid_P50_(kWh)]]*(1+0.15)</calculatedColumnFormula>
    </tableColumn>
    <tableColumn id="51" xr3:uid="{00000000-0010-0000-0000-000033000000}" name="Forecast_HIG_Total_ZAR3" dataDxfId="266" dataCellStyle="Percent">
      <calculatedColumnFormula>Table1[[#This Row],[HIG_ZAR/kWh]]*Table1[[#This Row],[Hig_P50_(kWh)]]*(1+0.15)</calculatedColumnFormula>
    </tableColumn>
    <tableColumn id="52" xr3:uid="{00000000-0010-0000-0000-000034000000}" name="Forecast__VER_Total_ZAR4" dataDxfId="265" dataCellStyle="Percent">
      <calculatedColumnFormula>Table1[[#This Row],[VER_ZAR/kWh]]*Table1[[#This Row],[Verg_P50_(kWh)]]*(1+0.15)</calculatedColumnFormula>
    </tableColumn>
    <tableColumn id="53" xr3:uid="{00000000-0010-0000-0000-000035000000}" name="Forecast__DUR_Total_ZAR5" dataDxfId="264" dataCellStyle="Percent">
      <calculatedColumnFormula>Table1[[#This Row],[DUR_ZAR/kWh]]*Table1[[#This Row],[Dur_P50_(kWh)]]*(1+0.15)</calculatedColumnFormula>
    </tableColumn>
    <tableColumn id="54" xr3:uid="{00000000-0010-0000-0000-000036000000}" name="Forecast_HER__Total__ZAR6" dataDxfId="263" dataCellStyle="Percent">
      <calculatedColumnFormula>Table1[[#This Row],[HER_ZAR/kWh2]]*Table1[[#This Row],[Her_P50_(kWh)]]*(1+0.15)</calculatedColumnFormula>
    </tableColumn>
    <tableColumn id="81" xr3:uid="{B5F5422D-88DF-4E6F-82D9-0C8DFB6659AF}" name="Forecast_TZA__Total__ZAR" dataDxfId="262" dataCellStyle="Percent">
      <calculatedColumnFormula>Table1[[#This Row],[TZA ZAR/kWh]]*Table1[[#This Row],[TZA_P50_(kWh)]]*(1+0.15)</calculatedColumnFormula>
    </tableColumn>
    <tableColumn id="69" xr3:uid="{C9DC25E6-1F82-470F-99AC-055C30DB2EBF}" name="Column2" dataDxfId="261" dataCellStyle="Percent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" displayName="Table_ExternalData_1" ref="A3:BI4" tableType="queryTable" totalsRowShown="0">
  <autoFilter ref="A3:BI4" xr:uid="{00000000-0009-0000-0100-000004000000}"/>
  <tableColumns count="61">
    <tableColumn id="1" xr3:uid="{00000000-0010-0000-0100-000001000000}" uniqueName="1" name="Table1[Date]" queryTableFieldId="1" dataDxfId="91"/>
    <tableColumn id="2" xr3:uid="{00000000-0010-0000-0100-000002000000}" uniqueName="2" name="Table1[Aces - Mediclinic Vergelegen Energy produced (kWh)]" queryTableFieldId="2"/>
    <tableColumn id="3" xr3:uid="{00000000-0010-0000-0100-000003000000}" uniqueName="3" name="Table1[Aces - Mediclinic Vergelegen PR (%)]" queryTableFieldId="3"/>
    <tableColumn id="4" xr3:uid="{00000000-0010-0000-0100-000004000000}" uniqueName="4" name="Table1[Aces - Mediclinic Vergelegen Energy Irradiated (kWh/m²)]" queryTableFieldId="4"/>
    <tableColumn id="5" xr3:uid="{00000000-0010-0000-0100-000005000000}" uniqueName="5" name="Table1[Aces - Mediclinic Vergelegen Availability (%)]" queryTableFieldId="5"/>
    <tableColumn id="6" xr3:uid="{00000000-0010-0000-0100-000006000000}" uniqueName="6" name="Table1[Aces - Mediclinic Vergelegen P50 (kWh)]" queryTableFieldId="6"/>
    <tableColumn id="7" xr3:uid="{00000000-0010-0000-0100-000007000000}" uniqueName="7" name="Table1[Aces - Mediclinic Vergelegen estimatedPOA]" queryTableFieldId="7"/>
    <tableColumn id="8" xr3:uid="{00000000-0010-0000-0100-000008000000}" uniqueName="8" name="Table1[Aces - Mediclinic Vergelegen PRP50]" queryTableFieldId="8"/>
    <tableColumn id="9" xr3:uid="{00000000-0010-0000-0100-000009000000}" uniqueName="9" name="Table1[Aces - Mediclinic Midstream Energy produced (kWh)2]" queryTableFieldId="9"/>
    <tableColumn id="10" xr3:uid="{00000000-0010-0000-0100-00000A000000}" uniqueName="10" name="Table1[Aces - Mediclinic Midstream PR (%)]" queryTableFieldId="10"/>
    <tableColumn id="11" xr3:uid="{00000000-0010-0000-0100-00000B000000}" uniqueName="11" name="Table1[Aces - Mediclinic Midstream Energy Irradiated (kWh/m²)]" queryTableFieldId="11"/>
    <tableColumn id="12" xr3:uid="{00000000-0010-0000-0100-00000C000000}" uniqueName="12" name="Table1[Aces - Mediclinic Midstream Availability (%)]" queryTableFieldId="12"/>
    <tableColumn id="13" xr3:uid="{00000000-0010-0000-0100-00000D000000}" uniqueName="13" name="Table1[Aces - Mediclinic Midstream P50 (kWh)]" queryTableFieldId="13"/>
    <tableColumn id="14" xr3:uid="{00000000-0010-0000-0100-00000E000000}" uniqueName="14" name="Table1[Aces - Mediclinic Midstream estimatedPOA]" queryTableFieldId="14"/>
    <tableColumn id="15" xr3:uid="{00000000-0010-0000-0100-00000F000000}" uniqueName="15" name="Table1[Aces - Mediclinic Midstream PRP508]" queryTableFieldId="15"/>
    <tableColumn id="16" xr3:uid="{00000000-0010-0000-0100-000010000000}" uniqueName="16" name="Table1[Aces - Mediclinic Durbanville Energy produced (kWh)]" queryTableFieldId="16"/>
    <tableColumn id="17" xr3:uid="{00000000-0010-0000-0100-000011000000}" uniqueName="17" name="Table1[Aces - Mediclinic Durbanville PR (%)]" queryTableFieldId="17"/>
    <tableColumn id="18" xr3:uid="{00000000-0010-0000-0100-000012000000}" uniqueName="18" name="Table1[Aces - Mediclinic Durbanville Energy Irradiated (kWh/m²)11]" queryTableFieldId="18"/>
    <tableColumn id="19" xr3:uid="{00000000-0010-0000-0100-000013000000}" uniqueName="19" name="Table1[Aces - Mediclinic Durbanville Availability (%)]" queryTableFieldId="19"/>
    <tableColumn id="20" xr3:uid="{00000000-0010-0000-0100-000014000000}" uniqueName="20" name="Table1[Aces - Mediclinic Durbanville P50 (kWh)]" queryTableFieldId="20"/>
    <tableColumn id="21" xr3:uid="{00000000-0010-0000-0100-000015000000}" uniqueName="21" name="Table1[Aces - Mediclinic Durbanville estimatedPOA]" queryTableFieldId="21"/>
    <tableColumn id="22" xr3:uid="{00000000-0010-0000-0100-000016000000}" uniqueName="22" name="Table1[Aces - Mediclinic Durbanville PRP50]" queryTableFieldId="22"/>
    <tableColumn id="23" xr3:uid="{00000000-0010-0000-0100-000017000000}" uniqueName="23" name="Table1[Aces - Mediclinic Hermanus Energy produced (kWh)]" queryTableFieldId="23"/>
    <tableColumn id="24" xr3:uid="{00000000-0010-0000-0100-000018000000}" uniqueName="24" name="Table1[Aces - Mediclinic Hermanus PR (%)]" queryTableFieldId="24"/>
    <tableColumn id="25" xr3:uid="{00000000-0010-0000-0100-000019000000}" uniqueName="25" name="Table1[Aces - Mediclinic Hermanus Energy Irradiated (kWh/m²)]" queryTableFieldId="25"/>
    <tableColumn id="26" xr3:uid="{00000000-0010-0000-0100-00001A000000}" uniqueName="26" name="Table1[Aces - Mediclinic Hermanus Availability (%)]" queryTableFieldId="26"/>
    <tableColumn id="27" xr3:uid="{00000000-0010-0000-0100-00001B000000}" uniqueName="27" name="Table1[Aces - Mediclinic HermanusP50 (kWh)]" queryTableFieldId="27"/>
    <tableColumn id="28" xr3:uid="{00000000-0010-0000-0100-00001C000000}" uniqueName="28" name="Table1[Aces - Mediclinic Hermanus estimatedPOA]" queryTableFieldId="28"/>
    <tableColumn id="29" xr3:uid="{00000000-0010-0000-0100-00001D000000}" uniqueName="29" name="Table1[Aces - Mediclinic Hermanus PRP50]" queryTableFieldId="29"/>
    <tableColumn id="30" xr3:uid="{00000000-0010-0000-0100-00001E000000}" uniqueName="30" name="Table1[Aces - Mediclinic Highveld Energy produced (kWh)]" queryTableFieldId="30"/>
    <tableColumn id="31" xr3:uid="{00000000-0010-0000-0100-00001F000000}" uniqueName="31" name="Table1[Aces - Mediclinic Highveld PR (%)]" queryTableFieldId="31"/>
    <tableColumn id="32" xr3:uid="{00000000-0010-0000-0100-000020000000}" uniqueName="32" name="Table1[Aces - Mediclinic Highveld Energy Irradiated (kWh/m²)]" queryTableFieldId="32"/>
    <tableColumn id="33" xr3:uid="{00000000-0010-0000-0100-000021000000}" uniqueName="33" name="Table1[Aces - Mediclinic Highveld Availability (%)]" queryTableFieldId="33"/>
    <tableColumn id="34" xr3:uid="{00000000-0010-0000-0100-000022000000}" uniqueName="34" name="Table1[Aces - Mediclinic Highveld P50 (kWh)]" queryTableFieldId="34"/>
    <tableColumn id="35" xr3:uid="{00000000-0010-0000-0100-000023000000}" uniqueName="35" name="Table1[Aces - Mediclinic Highveld estimatedPOA]" queryTableFieldId="35"/>
    <tableColumn id="36" xr3:uid="{00000000-0010-0000-0100-000024000000}" uniqueName="36" name="Table1[Aces - Mediclinic Highveld PRP50]" queryTableFieldId="36"/>
    <tableColumn id="37" xr3:uid="{00000000-0010-0000-0100-000025000000}" uniqueName="37" name="Table1[Veregelegen production Varriance]" queryTableFieldId="37"/>
    <tableColumn id="38" xr3:uid="{00000000-0010-0000-0100-000026000000}" uniqueName="38" name="Table1[Midstream Production Variance]" queryTableFieldId="38"/>
    <tableColumn id="39" xr3:uid="{00000000-0010-0000-0100-000027000000}" uniqueName="39" name="Table1[Durbanville Production variance]" queryTableFieldId="39"/>
    <tableColumn id="40" xr3:uid="{00000000-0010-0000-0100-000028000000}" uniqueName="40" name="Table1[Hermanus production variance]" queryTableFieldId="40"/>
    <tableColumn id="41" xr3:uid="{00000000-0010-0000-0100-000029000000}" uniqueName="41" name="Table1[Highveld  production Variance]" queryTableFieldId="41"/>
    <tableColumn id="42" xr3:uid="{00000000-0010-0000-0100-00002A000000}" uniqueName="42" name="Table1[Vergelegen  PR variance]" queryTableFieldId="42"/>
    <tableColumn id="43" xr3:uid="{00000000-0010-0000-0100-00002B000000}" uniqueName="43" name="Table1[Midstream PR Variance]" queryTableFieldId="43"/>
    <tableColumn id="44" xr3:uid="{00000000-0010-0000-0100-00002C000000}" uniqueName="44" name="Table1[Durbanville]" queryTableFieldId="44"/>
    <tableColumn id="45" xr3:uid="{00000000-0010-0000-0100-00002D000000}" uniqueName="45" name="Table1[Mid ZAR/kWh]" queryTableFieldId="45"/>
    <tableColumn id="46" xr3:uid="{00000000-0010-0000-0100-00002E000000}" uniqueName="46" name="Table1[HIG ZAR/kWh]" queryTableFieldId="46"/>
    <tableColumn id="47" xr3:uid="{00000000-0010-0000-0100-00002F000000}" uniqueName="47" name="Table1[VER ZAR/kWh]" queryTableFieldId="47"/>
    <tableColumn id="48" xr3:uid="{00000000-0010-0000-0100-000030000000}" uniqueName="48" name="Table1[DUR ZAR/kWh]" queryTableFieldId="48"/>
    <tableColumn id="49" xr3:uid="{00000000-0010-0000-0100-000031000000}" uniqueName="49" name="Table1[HER ZAR/kWh2]" queryTableFieldId="49"/>
    <tableColumn id="50" xr3:uid="{00000000-0010-0000-0100-000032000000}" uniqueName="50" name="Table1[Vat]" queryTableFieldId="50"/>
    <tableColumn id="51" xr3:uid="{00000000-0010-0000-0100-000033000000}" uniqueName="51" name="Table1[MID Total ZAR]" queryTableFieldId="51"/>
    <tableColumn id="52" xr3:uid="{00000000-0010-0000-0100-000034000000}" uniqueName="52" name="Table1[HIG Total ZAR]" queryTableFieldId="52"/>
    <tableColumn id="53" xr3:uid="{00000000-0010-0000-0100-000035000000}" uniqueName="53" name="Table1[VER Total ZAR]" queryTableFieldId="53"/>
    <tableColumn id="54" xr3:uid="{00000000-0010-0000-0100-000036000000}" uniqueName="54" name="Table1[DUR Total ZAR]" queryTableFieldId="54"/>
    <tableColumn id="55" xr3:uid="{00000000-0010-0000-0100-000037000000}" uniqueName="55" name="Table1[HER  Total  ZAR]" queryTableFieldId="55"/>
    <tableColumn id="56" xr3:uid="{00000000-0010-0000-0100-000038000000}" uniqueName="56" name="Table1[Forecast MID Total ZAR2]" queryTableFieldId="56"/>
    <tableColumn id="57" xr3:uid="{00000000-0010-0000-0100-000039000000}" uniqueName="57" name="Table1[Forecast HIG Total ZAR3]" queryTableFieldId="57"/>
    <tableColumn id="58" xr3:uid="{00000000-0010-0000-0100-00003A000000}" uniqueName="58" name="Table1[Forecast  VER Total ZAR4]" queryTableFieldId="58"/>
    <tableColumn id="59" xr3:uid="{00000000-0010-0000-0100-00003B000000}" uniqueName="59" name="Table1[Forecast  DUR Total ZAR5]" queryTableFieldId="59"/>
    <tableColumn id="60" xr3:uid="{00000000-0010-0000-0100-00003C000000}" uniqueName="60" name="Table1[Forecast HER  Total  ZAR6]" queryTableFieldId="60"/>
    <tableColumn id="61" xr3:uid="{00000000-0010-0000-0100-00003D000000}" uniqueName="61" name="Table1[Date (Month Index)]" queryTableFieldId="6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le_ExternalData_16" displayName="Table_ExternalData_16" ref="A3:BI4" tableType="queryTable" totalsRowShown="0">
  <autoFilter ref="A3:BI4" xr:uid="{00000000-0009-0000-0100-000005000000}"/>
  <tableColumns count="61">
    <tableColumn id="1" xr3:uid="{00000000-0010-0000-0200-000001000000}" uniqueName="1" name="Table1[Date]" queryTableFieldId="1" dataDxfId="90"/>
    <tableColumn id="2" xr3:uid="{00000000-0010-0000-0200-000002000000}" uniqueName="2" name="Table1[Aces - Mediclinic Vergelegen Energy produced (kWh)]" queryTableFieldId="2"/>
    <tableColumn id="3" xr3:uid="{00000000-0010-0000-0200-000003000000}" uniqueName="3" name="Table1[Aces - Mediclinic Vergelegen PR (%)]" queryTableFieldId="3"/>
    <tableColumn id="4" xr3:uid="{00000000-0010-0000-0200-000004000000}" uniqueName="4" name="Table1[Aces - Mediclinic Vergelegen Energy Irradiated (kWh/m²)]" queryTableFieldId="4"/>
    <tableColumn id="5" xr3:uid="{00000000-0010-0000-0200-000005000000}" uniqueName="5" name="Table1[Aces - Mediclinic Vergelegen Availability (%)]" queryTableFieldId="5"/>
    <tableColumn id="6" xr3:uid="{00000000-0010-0000-0200-000006000000}" uniqueName="6" name="Table1[Aces - Mediclinic Vergelegen P50 (kWh)]" queryTableFieldId="6"/>
    <tableColumn id="7" xr3:uid="{00000000-0010-0000-0200-000007000000}" uniqueName="7" name="Table1[Aces - Mediclinic Vergelegen estimatedPOA]" queryTableFieldId="7"/>
    <tableColumn id="8" xr3:uid="{00000000-0010-0000-0200-000008000000}" uniqueName="8" name="Table1[Aces - Mediclinic Vergelegen PRP50]" queryTableFieldId="8"/>
    <tableColumn id="9" xr3:uid="{00000000-0010-0000-0200-000009000000}" uniqueName="9" name="Table1[Aces - Mediclinic Midstream Energy produced (kWh)2]" queryTableFieldId="9"/>
    <tableColumn id="10" xr3:uid="{00000000-0010-0000-0200-00000A000000}" uniqueName="10" name="Table1[Aces - Mediclinic Midstream PR (%)]" queryTableFieldId="10"/>
    <tableColumn id="11" xr3:uid="{00000000-0010-0000-0200-00000B000000}" uniqueName="11" name="Table1[Aces - Mediclinic Midstream Energy Irradiated (kWh/m²)]" queryTableFieldId="11"/>
    <tableColumn id="12" xr3:uid="{00000000-0010-0000-0200-00000C000000}" uniqueName="12" name="Table1[Aces - Mediclinic Midstream Availability (%)]" queryTableFieldId="12"/>
    <tableColumn id="13" xr3:uid="{00000000-0010-0000-0200-00000D000000}" uniqueName="13" name="Table1[Aces - Mediclinic Midstream P50 (kWh)]" queryTableFieldId="13"/>
    <tableColumn id="14" xr3:uid="{00000000-0010-0000-0200-00000E000000}" uniqueName="14" name="Table1[Aces - Mediclinic Midstream estimatedPOA]" queryTableFieldId="14"/>
    <tableColumn id="15" xr3:uid="{00000000-0010-0000-0200-00000F000000}" uniqueName="15" name="Table1[Aces - Mediclinic Midstream PRP508]" queryTableFieldId="15"/>
    <tableColumn id="16" xr3:uid="{00000000-0010-0000-0200-000010000000}" uniqueName="16" name="Table1[Aces - Mediclinic Durbanville Energy produced (kWh)]" queryTableFieldId="16"/>
    <tableColumn id="17" xr3:uid="{00000000-0010-0000-0200-000011000000}" uniqueName="17" name="Table1[Aces - Mediclinic Durbanville PR (%)]" queryTableFieldId="17"/>
    <tableColumn id="18" xr3:uid="{00000000-0010-0000-0200-000012000000}" uniqueName="18" name="Table1[Aces - Mediclinic Durbanville Energy Irradiated (kWh/m²)11]" queryTableFieldId="18"/>
    <tableColumn id="19" xr3:uid="{00000000-0010-0000-0200-000013000000}" uniqueName="19" name="Table1[Aces - Mediclinic Durbanville Availability (%)]" queryTableFieldId="19"/>
    <tableColumn id="20" xr3:uid="{00000000-0010-0000-0200-000014000000}" uniqueName="20" name="Table1[Aces - Mediclinic Durbanville P50 (kWh)]" queryTableFieldId="20"/>
    <tableColumn id="21" xr3:uid="{00000000-0010-0000-0200-000015000000}" uniqueName="21" name="Table1[Aces - Mediclinic Durbanville estimatedPOA]" queryTableFieldId="21"/>
    <tableColumn id="22" xr3:uid="{00000000-0010-0000-0200-000016000000}" uniqueName="22" name="Table1[Aces - Mediclinic Durbanville PRP50]" queryTableFieldId="22"/>
    <tableColumn id="23" xr3:uid="{00000000-0010-0000-0200-000017000000}" uniqueName="23" name="Table1[Aces - Mediclinic Hermanus Energy produced (kWh)]" queryTableFieldId="23"/>
    <tableColumn id="24" xr3:uid="{00000000-0010-0000-0200-000018000000}" uniqueName="24" name="Table1[Aces - Mediclinic Hermanus PR (%)]" queryTableFieldId="24"/>
    <tableColumn id="25" xr3:uid="{00000000-0010-0000-0200-000019000000}" uniqueName="25" name="Table1[Aces - Mediclinic Hermanus Energy Irradiated (kWh/m²)]" queryTableFieldId="25"/>
    <tableColumn id="26" xr3:uid="{00000000-0010-0000-0200-00001A000000}" uniqueName="26" name="Table1[Aces - Mediclinic Hermanus Availability (%)]" queryTableFieldId="26"/>
    <tableColumn id="27" xr3:uid="{00000000-0010-0000-0200-00001B000000}" uniqueName="27" name="Table1[Aces - Mediclinic HermanusP50 (kWh)]" queryTableFieldId="27"/>
    <tableColumn id="28" xr3:uid="{00000000-0010-0000-0200-00001C000000}" uniqueName="28" name="Table1[Aces - Mediclinic Hermanus estimatedPOA]" queryTableFieldId="28"/>
    <tableColumn id="29" xr3:uid="{00000000-0010-0000-0200-00001D000000}" uniqueName="29" name="Table1[Aces - Mediclinic Hermanus PRP50]" queryTableFieldId="29"/>
    <tableColumn id="30" xr3:uid="{00000000-0010-0000-0200-00001E000000}" uniqueName="30" name="Table1[Aces - Mediclinic Highveld Energy produced (kWh)]" queryTableFieldId="30"/>
    <tableColumn id="31" xr3:uid="{00000000-0010-0000-0200-00001F000000}" uniqueName="31" name="Table1[Aces - Mediclinic Highveld PR (%)]" queryTableFieldId="31"/>
    <tableColumn id="32" xr3:uid="{00000000-0010-0000-0200-000020000000}" uniqueName="32" name="Table1[Aces - Mediclinic Highveld Energy Irradiated (kWh/m²)]" queryTableFieldId="32"/>
    <tableColumn id="33" xr3:uid="{00000000-0010-0000-0200-000021000000}" uniqueName="33" name="Table1[Aces - Mediclinic Highveld Availability (%)]" queryTableFieldId="33"/>
    <tableColumn id="34" xr3:uid="{00000000-0010-0000-0200-000022000000}" uniqueName="34" name="Table1[Aces - Mediclinic Highveld P50 (kWh)]" queryTableFieldId="34"/>
    <tableColumn id="35" xr3:uid="{00000000-0010-0000-0200-000023000000}" uniqueName="35" name="Table1[Aces - Mediclinic Highveld estimatedPOA]" queryTableFieldId="35"/>
    <tableColumn id="36" xr3:uid="{00000000-0010-0000-0200-000024000000}" uniqueName="36" name="Table1[Aces - Mediclinic Highveld PRP50]" queryTableFieldId="36"/>
    <tableColumn id="37" xr3:uid="{00000000-0010-0000-0200-000025000000}" uniqueName="37" name="Table1[Veregelegen production Varriance]" queryTableFieldId="37"/>
    <tableColumn id="38" xr3:uid="{00000000-0010-0000-0200-000026000000}" uniqueName="38" name="Table1[Midstream Production Variance]" queryTableFieldId="38"/>
    <tableColumn id="39" xr3:uid="{00000000-0010-0000-0200-000027000000}" uniqueName="39" name="Table1[Durbanville Production variance]" queryTableFieldId="39"/>
    <tableColumn id="40" xr3:uid="{00000000-0010-0000-0200-000028000000}" uniqueName="40" name="Table1[Hermanus production variance]" queryTableFieldId="40"/>
    <tableColumn id="41" xr3:uid="{00000000-0010-0000-0200-000029000000}" uniqueName="41" name="Table1[Highveld  production Variance]" queryTableFieldId="41"/>
    <tableColumn id="42" xr3:uid="{00000000-0010-0000-0200-00002A000000}" uniqueName="42" name="Table1[Vergelegen  PR variance]" queryTableFieldId="42"/>
    <tableColumn id="43" xr3:uid="{00000000-0010-0000-0200-00002B000000}" uniqueName="43" name="Table1[Midstream PR Variance]" queryTableFieldId="43"/>
    <tableColumn id="44" xr3:uid="{00000000-0010-0000-0200-00002C000000}" uniqueName="44" name="Table1[Durbanville]" queryTableFieldId="44"/>
    <tableColumn id="45" xr3:uid="{00000000-0010-0000-0200-00002D000000}" uniqueName="45" name="Table1[Mid ZAR/kWh]" queryTableFieldId="45"/>
    <tableColumn id="46" xr3:uid="{00000000-0010-0000-0200-00002E000000}" uniqueName="46" name="Table1[HIG ZAR/kWh]" queryTableFieldId="46"/>
    <tableColumn id="47" xr3:uid="{00000000-0010-0000-0200-00002F000000}" uniqueName="47" name="Table1[VER ZAR/kWh]" queryTableFieldId="47"/>
    <tableColumn id="48" xr3:uid="{00000000-0010-0000-0200-000030000000}" uniqueName="48" name="Table1[DUR ZAR/kWh]" queryTableFieldId="48"/>
    <tableColumn id="49" xr3:uid="{00000000-0010-0000-0200-000031000000}" uniqueName="49" name="Table1[HER ZAR/kWh2]" queryTableFieldId="49"/>
    <tableColumn id="50" xr3:uid="{00000000-0010-0000-0200-000032000000}" uniqueName="50" name="Table1[Vat]" queryTableFieldId="50"/>
    <tableColumn id="51" xr3:uid="{00000000-0010-0000-0200-000033000000}" uniqueName="51" name="Table1[MID Total ZAR]" queryTableFieldId="51"/>
    <tableColumn id="52" xr3:uid="{00000000-0010-0000-0200-000034000000}" uniqueName="52" name="Table1[HIG Total ZAR]" queryTableFieldId="52"/>
    <tableColumn id="53" xr3:uid="{00000000-0010-0000-0200-000035000000}" uniqueName="53" name="Table1[VER Total ZAR]" queryTableFieldId="53"/>
    <tableColumn id="54" xr3:uid="{00000000-0010-0000-0200-000036000000}" uniqueName="54" name="Table1[DUR Total ZAR]" queryTableFieldId="54"/>
    <tableColumn id="55" xr3:uid="{00000000-0010-0000-0200-000037000000}" uniqueName="55" name="Table1[HER  Total  ZAR]" queryTableFieldId="55"/>
    <tableColumn id="56" xr3:uid="{00000000-0010-0000-0200-000038000000}" uniqueName="56" name="Table1[Forecast MID Total ZAR2]" queryTableFieldId="56"/>
    <tableColumn id="57" xr3:uid="{00000000-0010-0000-0200-000039000000}" uniqueName="57" name="Table1[Forecast HIG Total ZAR3]" queryTableFieldId="57"/>
    <tableColumn id="58" xr3:uid="{00000000-0010-0000-0200-00003A000000}" uniqueName="58" name="Table1[Forecast  VER Total ZAR4]" queryTableFieldId="58"/>
    <tableColumn id="59" xr3:uid="{00000000-0010-0000-0200-00003B000000}" uniqueName="59" name="Table1[Forecast  DUR Total ZAR5]" queryTableFieldId="59"/>
    <tableColumn id="60" xr3:uid="{00000000-0010-0000-0200-00003C000000}" uniqueName="60" name="Table1[Forecast HER  Total  ZAR6]" queryTableFieldId="60"/>
    <tableColumn id="61" xr3:uid="{00000000-0010-0000-0200-00003D000000}" uniqueName="61" name="Table1[Date (Month Index)]" queryTableFieldId="6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8.xml"/><Relationship Id="rId2" Type="http://schemas.openxmlformats.org/officeDocument/2006/relationships/pivotTable" Target="../pivotTables/pivotTable17.xml"/><Relationship Id="rId1" Type="http://schemas.openxmlformats.org/officeDocument/2006/relationships/pivotTable" Target="../pivotTables/pivotTable16.xml"/><Relationship Id="rId6" Type="http://schemas.openxmlformats.org/officeDocument/2006/relationships/drawing" Target="../drawings/drawing3.xml"/><Relationship Id="rId5" Type="http://schemas.openxmlformats.org/officeDocument/2006/relationships/pivotTable" Target="../pivotTables/pivotTable20.xml"/><Relationship Id="rId4" Type="http://schemas.openxmlformats.org/officeDocument/2006/relationships/pivotTable" Target="../pivotTables/pivot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4.xml"/><Relationship Id="rId5" Type="http://schemas.openxmlformats.org/officeDocument/2006/relationships/pivotTable" Target="../pivotTables/pivotTable25.xml"/><Relationship Id="rId4" Type="http://schemas.openxmlformats.org/officeDocument/2006/relationships/pivotTable" Target="../pivotTables/pivot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D47"/>
  <sheetViews>
    <sheetView topLeftCell="A25" workbookViewId="0">
      <selection activeCell="A34" sqref="A34"/>
    </sheetView>
  </sheetViews>
  <sheetFormatPr defaultRowHeight="15" x14ac:dyDescent="0.25"/>
  <sheetData>
    <row r="1" spans="1:4" x14ac:dyDescent="0.25">
      <c r="A1" s="197" t="s">
        <v>2</v>
      </c>
      <c r="B1" s="197"/>
      <c r="C1" s="197"/>
      <c r="D1" s="197"/>
    </row>
    <row r="2" spans="1:4" x14ac:dyDescent="0.25">
      <c r="B2" t="s">
        <v>5</v>
      </c>
      <c r="C2" t="s">
        <v>6</v>
      </c>
      <c r="D2" t="s">
        <v>7</v>
      </c>
    </row>
    <row r="3" spans="1:4" x14ac:dyDescent="0.25">
      <c r="A3" t="s">
        <v>8</v>
      </c>
      <c r="B3">
        <v>255.2</v>
      </c>
      <c r="C3">
        <v>245.3</v>
      </c>
      <c r="D3">
        <v>130731.6</v>
      </c>
    </row>
    <row r="4" spans="1:4" x14ac:dyDescent="0.25">
      <c r="A4" t="s">
        <v>9</v>
      </c>
      <c r="B4">
        <v>205.1</v>
      </c>
      <c r="C4">
        <v>209.1</v>
      </c>
      <c r="D4">
        <v>111995.6</v>
      </c>
    </row>
    <row r="5" spans="1:4" x14ac:dyDescent="0.25">
      <c r="A5" t="s">
        <v>10</v>
      </c>
      <c r="B5">
        <v>189</v>
      </c>
      <c r="C5">
        <v>210.1</v>
      </c>
      <c r="D5">
        <v>113118.1</v>
      </c>
    </row>
    <row r="6" spans="1:4" x14ac:dyDescent="0.25">
      <c r="A6" t="s">
        <v>11</v>
      </c>
      <c r="B6">
        <v>129.9</v>
      </c>
      <c r="C6">
        <v>158.9</v>
      </c>
      <c r="D6">
        <v>87361.1</v>
      </c>
    </row>
    <row r="7" spans="1:4" x14ac:dyDescent="0.25">
      <c r="A7" t="s">
        <v>12</v>
      </c>
      <c r="B7">
        <v>93.5</v>
      </c>
      <c r="C7">
        <v>124.1</v>
      </c>
      <c r="D7">
        <v>69942.899999999994</v>
      </c>
    </row>
    <row r="8" spans="1:4" x14ac:dyDescent="0.25">
      <c r="A8" t="s">
        <v>13</v>
      </c>
      <c r="B8">
        <v>75.8</v>
      </c>
      <c r="C8">
        <v>104.6</v>
      </c>
      <c r="D8">
        <v>59725.9</v>
      </c>
    </row>
    <row r="9" spans="1:4" x14ac:dyDescent="0.25">
      <c r="A9" t="s">
        <v>14</v>
      </c>
      <c r="B9">
        <v>85.5</v>
      </c>
      <c r="C9">
        <v>116.1</v>
      </c>
      <c r="D9">
        <v>66269.8</v>
      </c>
    </row>
    <row r="10" spans="1:4" x14ac:dyDescent="0.25">
      <c r="A10" t="s">
        <v>15</v>
      </c>
      <c r="B10">
        <v>110.3</v>
      </c>
      <c r="C10">
        <v>138.9</v>
      </c>
      <c r="D10">
        <v>78658.3</v>
      </c>
    </row>
    <row r="11" spans="1:4" x14ac:dyDescent="0.25">
      <c r="A11" t="s">
        <v>16</v>
      </c>
      <c r="B11">
        <v>148.5</v>
      </c>
      <c r="C11">
        <v>169.2</v>
      </c>
      <c r="D11">
        <v>94498.2</v>
      </c>
    </row>
    <row r="12" spans="1:4" x14ac:dyDescent="0.25">
      <c r="A12" t="s">
        <v>17</v>
      </c>
      <c r="B12">
        <v>196.7</v>
      </c>
      <c r="C12">
        <v>205.5</v>
      </c>
      <c r="D12">
        <v>112761</v>
      </c>
    </row>
    <row r="13" spans="1:4" x14ac:dyDescent="0.25">
      <c r="A13" t="s">
        <v>18</v>
      </c>
      <c r="B13">
        <v>231.5</v>
      </c>
      <c r="C13">
        <v>226</v>
      </c>
      <c r="D13">
        <v>121890.8</v>
      </c>
    </row>
    <row r="14" spans="1:4" x14ac:dyDescent="0.25">
      <c r="A14" t="s">
        <v>19</v>
      </c>
      <c r="B14">
        <v>257.39999999999998</v>
      </c>
      <c r="C14">
        <v>243.3</v>
      </c>
      <c r="D14">
        <v>130202.3</v>
      </c>
    </row>
    <row r="18" spans="1:4" x14ac:dyDescent="0.25">
      <c r="A18" s="197" t="s">
        <v>3</v>
      </c>
      <c r="B18" s="197"/>
      <c r="C18" s="197"/>
      <c r="D18" s="197"/>
    </row>
    <row r="19" spans="1:4" x14ac:dyDescent="0.25">
      <c r="B19" t="s">
        <v>5</v>
      </c>
      <c r="C19" t="s">
        <v>6</v>
      </c>
      <c r="D19" t="s">
        <v>7</v>
      </c>
    </row>
    <row r="20" spans="1:4" x14ac:dyDescent="0.25">
      <c r="A20" t="s">
        <v>8</v>
      </c>
    </row>
    <row r="21" spans="1:4" x14ac:dyDescent="0.25">
      <c r="A21" t="s">
        <v>9</v>
      </c>
    </row>
    <row r="22" spans="1:4" x14ac:dyDescent="0.25">
      <c r="A22" t="s">
        <v>10</v>
      </c>
    </row>
    <row r="23" spans="1:4" x14ac:dyDescent="0.25">
      <c r="A23" t="s">
        <v>11</v>
      </c>
    </row>
    <row r="24" spans="1:4" x14ac:dyDescent="0.25">
      <c r="A24" t="s">
        <v>12</v>
      </c>
    </row>
    <row r="25" spans="1:4" x14ac:dyDescent="0.25">
      <c r="A25" t="s">
        <v>13</v>
      </c>
    </row>
    <row r="26" spans="1:4" x14ac:dyDescent="0.25">
      <c r="A26" t="s">
        <v>14</v>
      </c>
    </row>
    <row r="27" spans="1:4" x14ac:dyDescent="0.25">
      <c r="A27" t="s">
        <v>15</v>
      </c>
    </row>
    <row r="28" spans="1:4" x14ac:dyDescent="0.25">
      <c r="A28" t="s">
        <v>16</v>
      </c>
    </row>
    <row r="29" spans="1:4" x14ac:dyDescent="0.25">
      <c r="A29" t="s">
        <v>17</v>
      </c>
    </row>
    <row r="30" spans="1:4" x14ac:dyDescent="0.25">
      <c r="A30" t="s">
        <v>18</v>
      </c>
    </row>
    <row r="31" spans="1:4" x14ac:dyDescent="0.25">
      <c r="A31" t="s">
        <v>19</v>
      </c>
    </row>
    <row r="34" spans="1:4" x14ac:dyDescent="0.25">
      <c r="A34" t="s">
        <v>20</v>
      </c>
    </row>
    <row r="35" spans="1:4" x14ac:dyDescent="0.25">
      <c r="B35" t="s">
        <v>5</v>
      </c>
      <c r="C35" t="s">
        <v>6</v>
      </c>
      <c r="D35" t="s">
        <v>7</v>
      </c>
    </row>
    <row r="36" spans="1:4" x14ac:dyDescent="0.25">
      <c r="A36" t="s">
        <v>8</v>
      </c>
    </row>
    <row r="37" spans="1:4" x14ac:dyDescent="0.25">
      <c r="A37" t="s">
        <v>9</v>
      </c>
    </row>
    <row r="38" spans="1:4" x14ac:dyDescent="0.25">
      <c r="A38" t="s">
        <v>10</v>
      </c>
    </row>
    <row r="39" spans="1:4" x14ac:dyDescent="0.25">
      <c r="A39" t="s">
        <v>11</v>
      </c>
    </row>
    <row r="40" spans="1:4" x14ac:dyDescent="0.25">
      <c r="A40" t="s">
        <v>12</v>
      </c>
    </row>
    <row r="41" spans="1:4" x14ac:dyDescent="0.25">
      <c r="A41" t="s">
        <v>13</v>
      </c>
    </row>
    <row r="42" spans="1:4" x14ac:dyDescent="0.25">
      <c r="A42" t="s">
        <v>14</v>
      </c>
    </row>
    <row r="43" spans="1:4" x14ac:dyDescent="0.25">
      <c r="A43" t="s">
        <v>15</v>
      </c>
    </row>
    <row r="44" spans="1:4" x14ac:dyDescent="0.25">
      <c r="A44" t="s">
        <v>16</v>
      </c>
    </row>
    <row r="45" spans="1:4" x14ac:dyDescent="0.25">
      <c r="A45" t="s">
        <v>17</v>
      </c>
    </row>
    <row r="46" spans="1:4" x14ac:dyDescent="0.25">
      <c r="A46" t="s">
        <v>18</v>
      </c>
    </row>
    <row r="47" spans="1:4" x14ac:dyDescent="0.25">
      <c r="A47" t="s">
        <v>19</v>
      </c>
    </row>
  </sheetData>
  <mergeCells count="2">
    <mergeCell ref="A1:D1"/>
    <mergeCell ref="A18:D18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16"/>
  <sheetViews>
    <sheetView topLeftCell="G1" zoomScale="85" zoomScaleNormal="85" workbookViewId="0">
      <selection activeCell="B6" sqref="B6:W8"/>
    </sheetView>
  </sheetViews>
  <sheetFormatPr defaultRowHeight="15" x14ac:dyDescent="0.25"/>
  <cols>
    <col min="1" max="1" width="9.42578125" style="161" bestFit="1" customWidth="1"/>
    <col min="2" max="2" width="29.140625" customWidth="1"/>
    <col min="3" max="3" width="22.42578125" customWidth="1"/>
    <col min="4" max="4" width="17.28515625" customWidth="1"/>
    <col min="5" max="5" width="15.85546875" customWidth="1"/>
    <col min="7" max="7" width="15.140625" customWidth="1"/>
    <col min="8" max="8" width="16.5703125" customWidth="1"/>
    <col min="10" max="10" width="14" customWidth="1"/>
    <col min="11" max="11" width="25.7109375" customWidth="1"/>
    <col min="14" max="14" width="9.140625" customWidth="1"/>
    <col min="17" max="17" width="14" customWidth="1"/>
    <col min="18" max="18" width="18.5703125" customWidth="1"/>
    <col min="24" max="24" width="15.7109375" customWidth="1"/>
    <col min="31" max="31" width="17.42578125" customWidth="1"/>
    <col min="32" max="32" width="25.5703125" customWidth="1"/>
    <col min="37" max="37" width="15" customWidth="1"/>
    <col min="38" max="39" width="21.7109375" customWidth="1"/>
  </cols>
  <sheetData>
    <row r="1" spans="1:39" ht="34.5" customHeight="1" x14ac:dyDescent="0.25">
      <c r="A1" s="178" t="s">
        <v>21</v>
      </c>
      <c r="B1" s="179" t="s">
        <v>113</v>
      </c>
      <c r="C1" s="179" t="s">
        <v>112</v>
      </c>
      <c r="D1" s="179" t="s">
        <v>114</v>
      </c>
      <c r="E1" s="179" t="s">
        <v>115</v>
      </c>
      <c r="F1" s="179" t="s">
        <v>116</v>
      </c>
      <c r="G1" s="179" t="s">
        <v>117</v>
      </c>
      <c r="H1" s="179" t="s">
        <v>118</v>
      </c>
      <c r="I1" s="180" t="s">
        <v>119</v>
      </c>
      <c r="J1" s="180" t="s">
        <v>120</v>
      </c>
      <c r="K1" s="180" t="s">
        <v>121</v>
      </c>
      <c r="L1" s="180" t="s">
        <v>122</v>
      </c>
      <c r="M1" s="180" t="s">
        <v>123</v>
      </c>
      <c r="N1" s="180" t="s">
        <v>124</v>
      </c>
      <c r="O1" s="180" t="s">
        <v>148</v>
      </c>
      <c r="P1" s="181" t="s">
        <v>125</v>
      </c>
      <c r="Q1" s="181" t="s">
        <v>126</v>
      </c>
      <c r="R1" s="181" t="s">
        <v>149</v>
      </c>
      <c r="S1" s="181" t="s">
        <v>127</v>
      </c>
      <c r="T1" s="181" t="s">
        <v>128</v>
      </c>
      <c r="U1" s="181" t="s">
        <v>129</v>
      </c>
      <c r="V1" s="181" t="s">
        <v>130</v>
      </c>
      <c r="W1" s="182" t="s">
        <v>131</v>
      </c>
      <c r="X1" s="182" t="s">
        <v>132</v>
      </c>
      <c r="Y1" s="182" t="s">
        <v>133</v>
      </c>
      <c r="Z1" s="182" t="s">
        <v>135</v>
      </c>
      <c r="AA1" s="182" t="s">
        <v>134</v>
      </c>
      <c r="AB1" s="182" t="s">
        <v>143</v>
      </c>
      <c r="AC1" s="182" t="s">
        <v>136</v>
      </c>
      <c r="AD1" s="183" t="s">
        <v>150</v>
      </c>
      <c r="AE1" s="183" t="s">
        <v>137</v>
      </c>
      <c r="AF1" s="183" t="s">
        <v>138</v>
      </c>
      <c r="AG1" s="183" t="s">
        <v>139</v>
      </c>
      <c r="AH1" s="183" t="s">
        <v>140</v>
      </c>
      <c r="AI1" s="183" t="s">
        <v>141</v>
      </c>
      <c r="AJ1" s="183" t="s">
        <v>142</v>
      </c>
      <c r="AK1" s="184" t="s">
        <v>187</v>
      </c>
      <c r="AL1" s="188" t="s">
        <v>189</v>
      </c>
      <c r="AM1" s="188" t="s">
        <v>190</v>
      </c>
    </row>
    <row r="2" spans="1:39" x14ac:dyDescent="0.25">
      <c r="A2" s="161">
        <f>Data!A13</f>
        <v>44805</v>
      </c>
      <c r="B2" s="163">
        <v>73642.7</v>
      </c>
      <c r="C2" s="163">
        <v>73.381460323998994</v>
      </c>
      <c r="D2" s="163">
        <v>185.166</v>
      </c>
      <c r="E2" s="163">
        <v>93.43</v>
      </c>
      <c r="F2" s="163">
        <v>82459.520000000004</v>
      </c>
      <c r="G2" s="163">
        <v>145.1</v>
      </c>
      <c r="H2" s="163">
        <v>0.81520000000000004</v>
      </c>
      <c r="I2" s="170">
        <v>24112.812000000002</v>
      </c>
      <c r="J2" s="170">
        <v>55.778812894300998</v>
      </c>
      <c r="K2" s="170">
        <v>179.79227360601999</v>
      </c>
      <c r="L2" s="170">
        <v>83.92</v>
      </c>
      <c r="M2" s="170">
        <v>33234.25</v>
      </c>
      <c r="N2" s="170">
        <v>184.8</v>
      </c>
      <c r="O2" s="170">
        <v>0.78910000000000002</v>
      </c>
      <c r="P2" s="164">
        <v>58368.3</v>
      </c>
      <c r="Q2" s="164">
        <v>54.520171259251001</v>
      </c>
      <c r="R2" s="164">
        <v>136.71100000000001</v>
      </c>
      <c r="S2" s="164">
        <v>96.24</v>
      </c>
      <c r="T2" s="164">
        <v>93478.78</v>
      </c>
      <c r="U2" s="164">
        <v>168</v>
      </c>
      <c r="V2" s="164">
        <v>0.78969999999999996</v>
      </c>
      <c r="W2" s="165">
        <v>23105.905999999999</v>
      </c>
      <c r="X2" s="165">
        <v>69.509371496029004</v>
      </c>
      <c r="Y2" s="165">
        <v>153.14681898115001</v>
      </c>
      <c r="Z2" s="165">
        <v>80.150000000000006</v>
      </c>
      <c r="AA2" s="165">
        <v>27916.55</v>
      </c>
      <c r="AB2" s="165">
        <v>151.5</v>
      </c>
      <c r="AC2" s="165">
        <v>0.87039999999999995</v>
      </c>
      <c r="AD2" s="175">
        <v>27096.681</v>
      </c>
      <c r="AE2" s="175">
        <v>52.233015222683001</v>
      </c>
      <c r="AF2" s="175">
        <v>198.28419754706999</v>
      </c>
      <c r="AG2" s="175">
        <v>80.59</v>
      </c>
      <c r="AH2" s="175">
        <v>39413.870000000003</v>
      </c>
      <c r="AI2" s="175">
        <v>189.4</v>
      </c>
      <c r="AJ2" s="175">
        <v>0.79220000000000002</v>
      </c>
      <c r="AK2" s="176">
        <f>Data!AO13</f>
        <v>0</v>
      </c>
      <c r="AL2" s="176"/>
      <c r="AM2" s="176"/>
    </row>
    <row r="3" spans="1:39" x14ac:dyDescent="0.25">
      <c r="A3" s="161">
        <f>Data!A14</f>
        <v>44835</v>
      </c>
      <c r="B3" s="163">
        <v>107657.60000000001</v>
      </c>
      <c r="C3" s="163">
        <v>77.752584519999999</v>
      </c>
      <c r="D3" s="163">
        <v>192.77340000000001</v>
      </c>
      <c r="E3" s="163">
        <v>98.55</v>
      </c>
      <c r="F3" s="163">
        <v>106909</v>
      </c>
      <c r="G3" s="163">
        <v>192.9</v>
      </c>
      <c r="H3" s="163">
        <v>0.79500000000000004</v>
      </c>
      <c r="I3" s="170">
        <v>29329.41</v>
      </c>
      <c r="J3" s="170">
        <v>56.759700000000002</v>
      </c>
      <c r="K3" s="170">
        <v>45.415799999999997</v>
      </c>
      <c r="L3" s="170">
        <v>85.16</v>
      </c>
      <c r="M3" s="170">
        <v>35710.019999999997</v>
      </c>
      <c r="N3" s="170">
        <v>201.1</v>
      </c>
      <c r="O3" s="170">
        <v>0.7792</v>
      </c>
      <c r="P3" s="164">
        <v>75264.2</v>
      </c>
      <c r="Q3" s="164">
        <v>51.674779999999998</v>
      </c>
      <c r="R3" s="164">
        <v>192.90199999999999</v>
      </c>
      <c r="S3" s="164">
        <v>96.28</v>
      </c>
      <c r="T3" s="164">
        <v>112173.2</v>
      </c>
      <c r="U3" s="164">
        <v>204.9</v>
      </c>
      <c r="V3" s="164">
        <v>0.77700000000000002</v>
      </c>
      <c r="W3" s="165">
        <v>28544.39</v>
      </c>
      <c r="X3" s="165">
        <v>75.801820000000006</v>
      </c>
      <c r="Y3" s="165">
        <v>175.22389999999999</v>
      </c>
      <c r="Z3" s="165">
        <v>87.57</v>
      </c>
      <c r="AA3" s="165">
        <v>35025.56</v>
      </c>
      <c r="AB3" s="165">
        <v>191.6</v>
      </c>
      <c r="AC3" s="165">
        <v>0.86350000000000005</v>
      </c>
      <c r="AD3" s="175">
        <v>28902.95</v>
      </c>
      <c r="AE3" s="175">
        <v>52.821240000000003</v>
      </c>
      <c r="AF3" s="175">
        <v>47.026240000000001</v>
      </c>
      <c r="AG3" s="175">
        <v>87.51</v>
      </c>
      <c r="AH3" s="175">
        <v>40338.32</v>
      </c>
      <c r="AI3" s="175">
        <v>195.1</v>
      </c>
      <c r="AJ3" s="175">
        <v>0.78700000000000003</v>
      </c>
      <c r="AK3" s="177">
        <v>25936.001</v>
      </c>
      <c r="AL3" s="177"/>
      <c r="AM3" s="177"/>
    </row>
    <row r="4" spans="1:39" x14ac:dyDescent="0.25">
      <c r="A4" s="161">
        <f>Data!A15</f>
        <v>44867</v>
      </c>
      <c r="B4" s="163">
        <v>100687</v>
      </c>
      <c r="C4" s="163">
        <v>0</v>
      </c>
      <c r="D4" s="163">
        <v>371.17250000000001</v>
      </c>
      <c r="E4" s="163">
        <v>100</v>
      </c>
      <c r="F4" s="163">
        <v>124191.3</v>
      </c>
      <c r="G4" s="163">
        <v>227.8</v>
      </c>
      <c r="H4" s="163">
        <v>0.78210000000000002</v>
      </c>
      <c r="I4" s="170">
        <v>25513.5</v>
      </c>
      <c r="J4" s="170">
        <v>0</v>
      </c>
      <c r="K4" s="170">
        <v>170.374</v>
      </c>
      <c r="L4" s="170">
        <v>82.22</v>
      </c>
      <c r="M4" s="170">
        <v>35427.230000000003</v>
      </c>
      <c r="N4" s="170">
        <v>199.6</v>
      </c>
      <c r="O4" s="170">
        <v>0.77880000000000005</v>
      </c>
      <c r="P4" s="164">
        <v>83356.2</v>
      </c>
      <c r="Q4" s="164">
        <v>0</v>
      </c>
      <c r="R4" s="164">
        <v>227.02600000000001</v>
      </c>
      <c r="S4" s="164">
        <v>90.49</v>
      </c>
      <c r="T4" s="164">
        <v>122450</v>
      </c>
      <c r="U4" s="164">
        <v>226.4</v>
      </c>
      <c r="V4" s="164">
        <v>0.76759999999999995</v>
      </c>
      <c r="W4" s="165">
        <v>34776.910000000003</v>
      </c>
      <c r="X4" s="165">
        <v>78.783360000000002</v>
      </c>
      <c r="Y4" s="165">
        <v>204.05690000000001</v>
      </c>
      <c r="Z4" s="165">
        <v>89.5</v>
      </c>
      <c r="AA4" s="165">
        <v>40142.620000000003</v>
      </c>
      <c r="AB4" s="165">
        <v>221.3</v>
      </c>
      <c r="AC4" s="165">
        <v>0.85680000000000001</v>
      </c>
      <c r="AD4" s="175">
        <v>29838.61</v>
      </c>
      <c r="AE4" s="175">
        <v>0</v>
      </c>
      <c r="AF4" s="175">
        <v>0</v>
      </c>
      <c r="AG4" s="175">
        <v>91.02</v>
      </c>
      <c r="AH4" s="175">
        <v>40284.730000000003</v>
      </c>
      <c r="AI4" s="175">
        <v>195.4</v>
      </c>
      <c r="AJ4" s="175">
        <v>0.78480000000000005</v>
      </c>
      <c r="AK4" s="177">
        <v>3935.5970000000002</v>
      </c>
      <c r="AL4" s="177"/>
      <c r="AM4" s="177"/>
    </row>
    <row r="5" spans="1:39" x14ac:dyDescent="0.25">
      <c r="A5" s="161">
        <f>Data!A16</f>
        <v>44898</v>
      </c>
      <c r="B5" s="163">
        <v>59646</v>
      </c>
      <c r="C5" s="163">
        <v>0</v>
      </c>
      <c r="D5" s="163">
        <v>238.8135</v>
      </c>
      <c r="E5" s="163">
        <v>86.45</v>
      </c>
      <c r="F5" s="163">
        <v>135649</v>
      </c>
      <c r="G5" s="163">
        <v>252.1</v>
      </c>
      <c r="H5" s="163">
        <v>0.77190000000000003</v>
      </c>
      <c r="I5" s="170">
        <v>26685.38</v>
      </c>
      <c r="J5" s="170">
        <v>0</v>
      </c>
      <c r="K5" s="170">
        <v>196.70150000000001</v>
      </c>
      <c r="L5" s="170">
        <v>76.45</v>
      </c>
      <c r="M5" s="170">
        <v>37840.03</v>
      </c>
      <c r="N5" s="170">
        <v>214.9</v>
      </c>
      <c r="O5" s="170">
        <v>0.77259999999999995</v>
      </c>
      <c r="P5" s="164">
        <v>70379.5</v>
      </c>
      <c r="Q5" s="164">
        <v>0</v>
      </c>
      <c r="R5" s="164">
        <v>245.81200000000001</v>
      </c>
      <c r="S5" s="164">
        <v>79.680000000000007</v>
      </c>
      <c r="T5" s="164">
        <v>130720.8</v>
      </c>
      <c r="U5" s="164">
        <v>243.9</v>
      </c>
      <c r="V5" s="164">
        <v>0.76070000000000004</v>
      </c>
      <c r="W5" s="165">
        <v>29747.47</v>
      </c>
      <c r="X5" s="165">
        <v>66.127849999999995</v>
      </c>
      <c r="Y5" s="165">
        <v>209.86259999999999</v>
      </c>
      <c r="Z5" s="165">
        <v>75.22</v>
      </c>
      <c r="AA5" s="165">
        <v>43620.78</v>
      </c>
      <c r="AB5" s="165">
        <v>243.1</v>
      </c>
      <c r="AC5" s="165">
        <v>0.84760000000000002</v>
      </c>
      <c r="AD5" s="175">
        <v>26158.93</v>
      </c>
      <c r="AE5" s="175">
        <v>0</v>
      </c>
      <c r="AF5" s="175">
        <v>179.87950000000001</v>
      </c>
      <c r="AG5" s="175">
        <v>75.48</v>
      </c>
      <c r="AH5" s="175">
        <v>42197.08</v>
      </c>
      <c r="AI5" s="175">
        <v>207</v>
      </c>
      <c r="AJ5" s="175">
        <v>0.77600000000000002</v>
      </c>
      <c r="AK5" s="177">
        <v>35677.703999999998</v>
      </c>
      <c r="AL5" s="177"/>
      <c r="AM5" s="177"/>
    </row>
    <row r="6" spans="1:39" x14ac:dyDescent="0.25">
      <c r="A6" s="161">
        <f>Data!A17</f>
        <v>44927</v>
      </c>
      <c r="B6" s="163">
        <v>203236.2</v>
      </c>
      <c r="C6" s="190">
        <v>94.3</v>
      </c>
      <c r="D6" s="163">
        <v>247.45099999999999</v>
      </c>
      <c r="E6" s="163">
        <v>84.83</v>
      </c>
      <c r="F6" s="163">
        <v>130972.7686</v>
      </c>
      <c r="G6" s="163">
        <v>250.6</v>
      </c>
      <c r="H6" s="163">
        <v>0.74970000000000003</v>
      </c>
      <c r="I6" s="170">
        <v>30813.41</v>
      </c>
      <c r="J6" s="170">
        <v>77.7</v>
      </c>
      <c r="K6" s="170">
        <v>230.6925</v>
      </c>
      <c r="L6" s="170">
        <v>83.01</v>
      </c>
      <c r="M6" s="170">
        <v>35448.263160000002</v>
      </c>
      <c r="N6" s="170">
        <v>208.5</v>
      </c>
      <c r="O6" s="170">
        <v>0.746</v>
      </c>
      <c r="P6" s="164">
        <v>79512.399999999994</v>
      </c>
      <c r="Q6" s="164">
        <v>60.2</v>
      </c>
      <c r="R6" s="164">
        <v>260.2715</v>
      </c>
      <c r="S6" s="164">
        <v>76.89</v>
      </c>
      <c r="T6" s="164">
        <v>127670.5</v>
      </c>
      <c r="U6" s="164">
        <v>245.7</v>
      </c>
      <c r="V6" s="164">
        <v>0.73750000000000004</v>
      </c>
      <c r="W6" s="165">
        <v>30524.59</v>
      </c>
      <c r="X6" s="165">
        <v>64.329310227698997</v>
      </c>
      <c r="Y6" s="165">
        <v>222.85540075892999</v>
      </c>
      <c r="Z6" s="165">
        <v>72.989999999999995</v>
      </c>
      <c r="AA6" s="165">
        <v>41538.410000000003</v>
      </c>
      <c r="AB6" s="165">
        <v>237.6</v>
      </c>
      <c r="AC6" s="165">
        <v>0.82579999999999998</v>
      </c>
      <c r="AD6" s="191">
        <v>32108.94</v>
      </c>
      <c r="AE6" s="191">
        <v>71.7</v>
      </c>
      <c r="AF6" s="175">
        <v>230.57239999999996</v>
      </c>
      <c r="AG6" s="175">
        <v>74.150000000000006</v>
      </c>
      <c r="AH6" s="175">
        <v>39908.379999999997</v>
      </c>
      <c r="AI6" s="175">
        <v>200.9</v>
      </c>
      <c r="AJ6" s="175">
        <v>0.75619999999999998</v>
      </c>
      <c r="AK6" s="177">
        <v>44182</v>
      </c>
      <c r="AL6" s="177">
        <v>197.2773</v>
      </c>
      <c r="AM6" s="192">
        <v>69.5</v>
      </c>
    </row>
    <row r="7" spans="1:39" x14ac:dyDescent="0.25">
      <c r="A7" s="161">
        <f>Data!A18</f>
        <v>44958</v>
      </c>
      <c r="B7" s="163">
        <v>82384.5</v>
      </c>
      <c r="C7" s="163">
        <v>77.3</v>
      </c>
      <c r="D7" s="163">
        <v>204.43520000000001</v>
      </c>
      <c r="E7" s="163">
        <v>54.03</v>
      </c>
      <c r="F7" s="163">
        <v>105856.90119999999</v>
      </c>
      <c r="G7" s="163">
        <v>201.5</v>
      </c>
      <c r="H7" s="163">
        <v>0.75360000000000005</v>
      </c>
      <c r="I7" s="170">
        <v>20108.5</v>
      </c>
      <c r="J7" s="170">
        <v>72.599999999999994</v>
      </c>
      <c r="K7" s="170">
        <v>155.47399999999999</v>
      </c>
      <c r="L7" s="170">
        <v>75.709999999999994</v>
      </c>
      <c r="M7" s="170">
        <v>30703.403149999998</v>
      </c>
      <c r="N7" s="170">
        <v>177.3</v>
      </c>
      <c r="O7" s="170">
        <v>0.75990000000000002</v>
      </c>
      <c r="P7" s="164">
        <v>62421.09999999986</v>
      </c>
      <c r="Q7" s="164">
        <v>66.5</v>
      </c>
      <c r="R7" s="164">
        <v>212.874</v>
      </c>
      <c r="S7" s="164">
        <v>63.09</v>
      </c>
      <c r="T7" s="164">
        <v>109018.3</v>
      </c>
      <c r="U7" s="164">
        <v>208.7</v>
      </c>
      <c r="V7" s="164">
        <v>0.74139999999999995</v>
      </c>
      <c r="W7" s="165">
        <v>20371.905999999959</v>
      </c>
      <c r="X7" s="165">
        <v>56.250326399823997</v>
      </c>
      <c r="Y7" s="165">
        <v>169.08445758929</v>
      </c>
      <c r="Z7" s="165">
        <v>70.09</v>
      </c>
      <c r="AA7" s="165">
        <v>34154.99</v>
      </c>
      <c r="AB7" s="165">
        <v>194.9</v>
      </c>
      <c r="AC7" s="165">
        <v>0.82779999999999998</v>
      </c>
      <c r="AD7" s="175">
        <v>19390.148000000001</v>
      </c>
      <c r="AE7" s="175">
        <v>59.2</v>
      </c>
      <c r="AF7" s="175">
        <v>160.15679999999998</v>
      </c>
      <c r="AG7" s="175">
        <v>70.239999999999995</v>
      </c>
      <c r="AH7" s="175">
        <v>35034.5</v>
      </c>
      <c r="AI7" s="175">
        <v>176</v>
      </c>
      <c r="AJ7" s="175">
        <v>0.75770000000000004</v>
      </c>
      <c r="AK7" s="177">
        <v>14828.897999999999</v>
      </c>
      <c r="AL7" s="177">
        <v>133.6995</v>
      </c>
      <c r="AM7" s="177">
        <v>34.5</v>
      </c>
    </row>
    <row r="8" spans="1:39" x14ac:dyDescent="0.25">
      <c r="A8" s="161">
        <f>Data!A19</f>
        <v>44986</v>
      </c>
      <c r="B8" s="163">
        <v>72503.900000000023</v>
      </c>
      <c r="C8" s="163">
        <v>98.07</v>
      </c>
      <c r="D8" s="163">
        <v>150.63650000000001</v>
      </c>
      <c r="E8" s="163">
        <v>82.03</v>
      </c>
      <c r="F8" s="163">
        <v>98210.878200000006</v>
      </c>
      <c r="G8" s="163">
        <v>185.2</v>
      </c>
      <c r="H8" s="163">
        <v>0.76070000000000004</v>
      </c>
      <c r="I8" s="170">
        <v>26168.719000000041</v>
      </c>
      <c r="J8" s="170">
        <v>93.97</v>
      </c>
      <c r="K8" s="170">
        <v>180.10749999999999</v>
      </c>
      <c r="L8" s="170">
        <v>85.16</v>
      </c>
      <c r="M8" s="170">
        <v>31625.485690000001</v>
      </c>
      <c r="N8" s="170">
        <v>180.8</v>
      </c>
      <c r="O8" s="170">
        <v>0.76749999999999996</v>
      </c>
      <c r="P8" s="164">
        <v>61828.800000000047</v>
      </c>
      <c r="Q8" s="164">
        <v>74.48</v>
      </c>
      <c r="R8" s="164">
        <v>163.03649999999999</v>
      </c>
      <c r="S8" s="164">
        <v>84.53</v>
      </c>
      <c r="T8" s="164">
        <v>109170</v>
      </c>
      <c r="U8" s="164">
        <v>208.7</v>
      </c>
      <c r="V8" s="164">
        <v>0.74239999999999995</v>
      </c>
      <c r="W8" s="165">
        <v>20431.094000000041</v>
      </c>
      <c r="X8" s="165">
        <v>61.490647550261997</v>
      </c>
      <c r="Y8" s="165">
        <v>156.71224220238</v>
      </c>
      <c r="Z8" s="165">
        <v>75.2</v>
      </c>
      <c r="AA8" s="165">
        <v>32305.21</v>
      </c>
      <c r="AB8" s="165">
        <v>184</v>
      </c>
      <c r="AC8" s="165">
        <v>0.82930000000000004</v>
      </c>
      <c r="AD8" s="175">
        <v>27779.70299999998</v>
      </c>
      <c r="AE8" s="175"/>
      <c r="AF8" s="175">
        <v>172.48750000000001</v>
      </c>
      <c r="AG8" s="175">
        <v>83.31</v>
      </c>
      <c r="AH8" s="175">
        <v>37096.080000000002</v>
      </c>
      <c r="AI8" s="175">
        <v>186</v>
      </c>
      <c r="AJ8" s="175">
        <v>0.75919999999999999</v>
      </c>
      <c r="AK8" s="177">
        <v>21537.905999999988</v>
      </c>
      <c r="AL8" s="177">
        <v>166.108</v>
      </c>
      <c r="AM8" s="177">
        <v>42.32</v>
      </c>
    </row>
    <row r="9" spans="1:39" x14ac:dyDescent="0.25">
      <c r="A9" s="161">
        <f>Data!A20</f>
        <v>45017</v>
      </c>
      <c r="B9" s="163">
        <v>56657</v>
      </c>
      <c r="C9" s="163"/>
      <c r="D9" s="163"/>
      <c r="E9" s="163">
        <v>87.72</v>
      </c>
      <c r="F9" s="163">
        <v>69137.786739999996</v>
      </c>
      <c r="G9" s="163">
        <v>127.1</v>
      </c>
      <c r="H9" s="163">
        <v>0.78029999999999999</v>
      </c>
      <c r="I9" s="170">
        <v>24686.280999999959</v>
      </c>
      <c r="J9" s="170"/>
      <c r="K9" s="170"/>
      <c r="L9" s="170">
        <v>73.11</v>
      </c>
      <c r="M9" s="170">
        <v>26472.762019999998</v>
      </c>
      <c r="N9" s="170">
        <v>149.1</v>
      </c>
      <c r="O9" s="170">
        <v>0.77910000000000001</v>
      </c>
      <c r="P9" s="164">
        <v>45012.800000000047</v>
      </c>
      <c r="Q9" s="164"/>
      <c r="R9" s="164"/>
      <c r="S9" s="164">
        <v>83.25</v>
      </c>
      <c r="T9" s="164">
        <v>83721.03</v>
      </c>
      <c r="U9" s="164">
        <v>156.9</v>
      </c>
      <c r="V9" s="164">
        <v>0.75729999999999997</v>
      </c>
      <c r="W9">
        <v>13646.405999999959</v>
      </c>
      <c r="X9" s="165">
        <v>49.456576142819998</v>
      </c>
      <c r="Y9" s="165">
        <v>129.8364963244</v>
      </c>
      <c r="Z9" s="165">
        <v>61.12</v>
      </c>
      <c r="AA9" s="165">
        <v>24026.82</v>
      </c>
      <c r="AB9" s="165">
        <v>135.30000000000001</v>
      </c>
      <c r="AC9" s="165">
        <v>0.83879999999999999</v>
      </c>
      <c r="AD9" s="175">
        <v>26125.265000000014</v>
      </c>
      <c r="AE9" s="175"/>
      <c r="AF9" s="175"/>
      <c r="AG9" s="175">
        <v>78.89</v>
      </c>
      <c r="AH9" s="175">
        <v>31598</v>
      </c>
      <c r="AI9" s="175">
        <v>156.19999999999999</v>
      </c>
      <c r="AJ9" s="175">
        <v>0.77</v>
      </c>
      <c r="AK9" s="177">
        <v>32577.188000000024</v>
      </c>
      <c r="AL9" s="177"/>
      <c r="AM9" s="177"/>
    </row>
    <row r="10" spans="1:39" x14ac:dyDescent="0.25">
      <c r="A10" s="161">
        <f>Data!A21</f>
        <v>45047</v>
      </c>
      <c r="B10" s="163"/>
      <c r="C10" s="163"/>
      <c r="D10" s="163"/>
      <c r="E10" s="163"/>
      <c r="F10" s="163"/>
      <c r="G10" s="163"/>
      <c r="H10" s="163"/>
      <c r="I10" s="170"/>
      <c r="J10" s="170"/>
      <c r="K10" s="165"/>
      <c r="L10" s="170"/>
      <c r="M10" s="170"/>
      <c r="N10" s="170"/>
      <c r="O10" s="170"/>
      <c r="P10" s="164"/>
      <c r="Q10" s="164"/>
      <c r="R10" s="164"/>
      <c r="S10" s="164"/>
      <c r="T10" s="164"/>
      <c r="U10" s="164"/>
      <c r="V10" s="164"/>
      <c r="W10" s="165"/>
      <c r="AD10" s="175"/>
      <c r="AE10" s="175"/>
      <c r="AF10" s="175"/>
      <c r="AG10" s="175"/>
      <c r="AH10" s="175"/>
      <c r="AI10" s="175"/>
      <c r="AJ10" s="175"/>
      <c r="AK10" s="177"/>
      <c r="AL10" s="177"/>
      <c r="AM10" s="177"/>
    </row>
    <row r="11" spans="1:39" x14ac:dyDescent="0.25">
      <c r="A11" s="161">
        <f>Data!A22</f>
        <v>45078</v>
      </c>
      <c r="B11" s="163"/>
      <c r="C11" s="163"/>
      <c r="D11" s="163"/>
      <c r="E11" s="163"/>
      <c r="F11" s="163"/>
      <c r="G11" s="163"/>
      <c r="H11" s="163"/>
      <c r="I11" s="170"/>
      <c r="J11" s="170"/>
      <c r="K11" s="170"/>
      <c r="L11" s="170"/>
      <c r="M11" s="170"/>
      <c r="N11" s="170"/>
      <c r="O11" s="170"/>
      <c r="P11" s="164"/>
      <c r="Q11" s="164"/>
      <c r="R11" s="164"/>
      <c r="S11" s="164"/>
      <c r="T11" s="164"/>
      <c r="U11" s="164"/>
      <c r="V11" s="164"/>
      <c r="W11" s="165"/>
      <c r="X11" s="165"/>
      <c r="Y11" s="165"/>
      <c r="Z11" s="165"/>
      <c r="AA11" s="165"/>
      <c r="AB11" s="165"/>
      <c r="AC11" s="165"/>
      <c r="AD11" s="175"/>
      <c r="AE11" s="175"/>
      <c r="AF11" s="175"/>
      <c r="AG11" s="175"/>
      <c r="AH11" s="175"/>
      <c r="AI11" s="175"/>
      <c r="AJ11" s="175"/>
      <c r="AK11" s="177"/>
      <c r="AL11" s="177"/>
      <c r="AM11" s="177"/>
    </row>
    <row r="12" spans="1:39" x14ac:dyDescent="0.25">
      <c r="A12" s="161">
        <f>Data!A23</f>
        <v>45108</v>
      </c>
      <c r="B12" s="163"/>
      <c r="C12" s="163"/>
      <c r="D12" s="163"/>
      <c r="E12" s="163"/>
      <c r="F12" s="163"/>
      <c r="G12" s="163"/>
      <c r="H12" s="163"/>
      <c r="I12" s="170"/>
      <c r="J12" s="170"/>
      <c r="K12" s="170"/>
      <c r="L12" s="170"/>
      <c r="M12" s="170"/>
      <c r="N12" s="170"/>
      <c r="O12" s="170"/>
      <c r="P12" s="164"/>
      <c r="Q12" s="164"/>
      <c r="R12" s="164"/>
      <c r="S12" s="164"/>
      <c r="T12" s="164"/>
      <c r="U12" s="164"/>
      <c r="V12" s="164"/>
      <c r="W12" s="165"/>
      <c r="X12" s="165"/>
      <c r="Y12" s="165"/>
      <c r="Z12" s="165"/>
      <c r="AA12" s="165"/>
      <c r="AB12" s="165"/>
      <c r="AC12" s="165"/>
      <c r="AD12" s="175"/>
      <c r="AE12" s="175"/>
      <c r="AF12" s="175"/>
      <c r="AG12" s="175"/>
      <c r="AH12" s="175"/>
      <c r="AI12" s="175"/>
      <c r="AJ12" s="175"/>
      <c r="AK12" s="177"/>
      <c r="AL12" s="177"/>
      <c r="AM12" s="177"/>
    </row>
    <row r="13" spans="1:39" x14ac:dyDescent="0.25">
      <c r="A13" s="161">
        <f>Data!A24</f>
        <v>45139</v>
      </c>
      <c r="B13" s="163"/>
      <c r="C13" s="163"/>
      <c r="D13" s="163"/>
      <c r="E13" s="163"/>
      <c r="F13" s="163"/>
      <c r="G13" s="163"/>
      <c r="H13" s="163"/>
      <c r="I13" s="170"/>
      <c r="J13" s="170"/>
      <c r="K13" s="170"/>
      <c r="L13" s="170"/>
      <c r="M13" s="170"/>
      <c r="N13" s="170"/>
      <c r="O13" s="170"/>
      <c r="P13" s="164"/>
      <c r="Q13" s="164"/>
      <c r="R13" s="164"/>
      <c r="S13" s="164"/>
      <c r="T13" s="164"/>
      <c r="U13" s="164"/>
      <c r="V13" s="164"/>
      <c r="W13" s="165"/>
      <c r="X13" s="165"/>
      <c r="Y13" s="165"/>
      <c r="Z13" s="165"/>
      <c r="AA13" s="165"/>
      <c r="AB13" s="165"/>
      <c r="AC13" s="165"/>
      <c r="AD13" s="175"/>
      <c r="AE13" s="175"/>
      <c r="AF13" s="175"/>
      <c r="AG13" s="175"/>
      <c r="AH13" s="175"/>
      <c r="AI13" s="175"/>
      <c r="AJ13" s="175"/>
      <c r="AK13" s="177"/>
      <c r="AL13" s="177"/>
      <c r="AM13" s="177"/>
    </row>
    <row r="14" spans="1:39" x14ac:dyDescent="0.25">
      <c r="A14" s="161">
        <f>Data!A25</f>
        <v>45170</v>
      </c>
      <c r="B14" s="163"/>
      <c r="C14" s="163"/>
      <c r="D14" s="163"/>
      <c r="E14" s="163"/>
      <c r="F14" s="163"/>
      <c r="G14" s="163"/>
      <c r="H14" s="163"/>
      <c r="I14" s="170"/>
      <c r="J14" s="170"/>
      <c r="K14" s="170"/>
      <c r="L14" s="170"/>
      <c r="M14" s="170"/>
      <c r="N14" s="170"/>
      <c r="O14" s="170"/>
      <c r="P14" s="164"/>
      <c r="Q14" s="164"/>
      <c r="R14" s="164"/>
      <c r="S14" s="164"/>
      <c r="T14" s="164"/>
      <c r="U14" s="164"/>
      <c r="V14" s="164"/>
      <c r="W14" s="165"/>
      <c r="X14" s="165"/>
      <c r="Y14" s="165"/>
      <c r="Z14" s="165"/>
      <c r="AA14" s="165"/>
      <c r="AB14" s="165"/>
      <c r="AC14" s="165"/>
      <c r="AD14" s="175"/>
      <c r="AE14" s="175"/>
      <c r="AF14" s="175"/>
      <c r="AG14" s="175"/>
      <c r="AH14" s="175"/>
      <c r="AI14" s="175"/>
      <c r="AJ14" s="175"/>
      <c r="AK14" s="177"/>
      <c r="AL14" s="177"/>
      <c r="AM14" s="177"/>
    </row>
    <row r="15" spans="1:39" x14ac:dyDescent="0.25">
      <c r="A15" s="161">
        <f>Data!A26</f>
        <v>45200</v>
      </c>
      <c r="B15" s="163"/>
      <c r="C15" s="163"/>
      <c r="D15" s="163"/>
      <c r="E15" s="163"/>
      <c r="F15" s="163"/>
      <c r="G15" s="163"/>
      <c r="H15" s="163"/>
      <c r="I15" s="170"/>
      <c r="J15" s="170"/>
      <c r="K15" s="170"/>
      <c r="L15" s="170"/>
      <c r="M15" s="170"/>
      <c r="N15" s="170"/>
      <c r="O15" s="170"/>
      <c r="P15" s="164"/>
      <c r="Q15" s="164"/>
      <c r="R15" s="164"/>
      <c r="S15" s="164"/>
      <c r="T15" s="164"/>
      <c r="U15" s="164"/>
      <c r="V15" s="164"/>
      <c r="W15" s="165"/>
      <c r="X15" s="165"/>
      <c r="Y15" s="165"/>
      <c r="Z15" s="165"/>
      <c r="AA15" s="165"/>
      <c r="AB15" s="165"/>
      <c r="AC15" s="165"/>
      <c r="AD15" s="175"/>
      <c r="AE15" s="175"/>
      <c r="AF15" s="175"/>
      <c r="AG15" s="175"/>
      <c r="AH15" s="175"/>
      <c r="AI15" s="175"/>
      <c r="AJ15" s="175"/>
      <c r="AK15" s="177"/>
      <c r="AL15" s="177"/>
      <c r="AM15" s="177"/>
    </row>
    <row r="16" spans="1:39" x14ac:dyDescent="0.25">
      <c r="A16" s="161" t="e">
        <f>Data!#REF!</f>
        <v>#REF!</v>
      </c>
      <c r="B16" s="163"/>
      <c r="C16" s="163"/>
      <c r="D16" s="163"/>
      <c r="E16" s="163"/>
      <c r="F16" s="163"/>
      <c r="G16" s="163"/>
      <c r="H16" s="163"/>
      <c r="I16" s="170"/>
      <c r="J16" s="170"/>
      <c r="K16" s="170"/>
      <c r="L16" s="170"/>
      <c r="M16" s="170"/>
      <c r="N16" s="170"/>
      <c r="O16" s="170"/>
      <c r="P16" s="164"/>
      <c r="Q16" s="164"/>
      <c r="R16" s="164"/>
      <c r="S16" s="164"/>
      <c r="T16" s="164"/>
      <c r="U16" s="164"/>
      <c r="V16" s="164"/>
      <c r="W16" s="165"/>
      <c r="X16" s="165"/>
      <c r="Y16" s="165"/>
      <c r="Z16" s="165"/>
      <c r="AA16" s="165"/>
      <c r="AB16" s="165"/>
      <c r="AC16" s="165"/>
      <c r="AD16" s="175"/>
      <c r="AE16" s="175"/>
      <c r="AF16" s="175"/>
      <c r="AG16" s="175"/>
      <c r="AH16" s="175"/>
      <c r="AI16" s="175"/>
      <c r="AJ16" s="175"/>
      <c r="AK16" s="177"/>
      <c r="AL16" s="177"/>
      <c r="AM16" s="177"/>
    </row>
  </sheetData>
  <autoFilter ref="A1:AM1" xr:uid="{00000000-0001-0000-0100-000000000000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"/>
  <sheetViews>
    <sheetView workbookViewId="0">
      <selection activeCell="E1" sqref="A1:E6"/>
    </sheetView>
  </sheetViews>
  <sheetFormatPr defaultRowHeight="15" x14ac:dyDescent="0.25"/>
  <cols>
    <col min="3" max="3" width="12.140625" style="118" customWidth="1"/>
  </cols>
  <sheetData>
    <row r="1" spans="1:3" ht="15.75" thickBot="1" x14ac:dyDescent="0.3">
      <c r="A1" s="112">
        <v>506061.85</v>
      </c>
      <c r="B1" s="113">
        <v>642983.18999999994</v>
      </c>
      <c r="C1" s="118">
        <f>(A1-B1)/B1</f>
        <v>-0.21294699788341276</v>
      </c>
    </row>
    <row r="2" spans="1:3" ht="15.75" thickBot="1" x14ac:dyDescent="0.3">
      <c r="A2" s="114">
        <v>594582.4</v>
      </c>
      <c r="B2" s="115">
        <v>627296.02</v>
      </c>
      <c r="C2" s="118">
        <f>(A2-B2)/B2</f>
        <v>-5.215021131490679E-2</v>
      </c>
    </row>
    <row r="3" spans="1:3" ht="15.75" thickBot="1" x14ac:dyDescent="0.3">
      <c r="A3" s="114">
        <v>90797.14</v>
      </c>
      <c r="B3" s="115">
        <v>123041.36</v>
      </c>
      <c r="C3" s="118">
        <f>(A3-B3)/B3</f>
        <v>-0.2620600097398143</v>
      </c>
    </row>
    <row r="4" spans="1:3" x14ac:dyDescent="0.25">
      <c r="A4" s="116">
        <v>222184.45</v>
      </c>
      <c r="B4" s="117">
        <v>241974.39999999999</v>
      </c>
      <c r="C4" s="118">
        <f>(A4-B4)/B4</f>
        <v>-8.1785304561143593E-2</v>
      </c>
    </row>
    <row r="5" spans="1:3" ht="15.75" thickBot="1" x14ac:dyDescent="0.3">
      <c r="A5" s="114">
        <v>102448.17</v>
      </c>
      <c r="B5" s="115">
        <v>109552.03</v>
      </c>
      <c r="C5" s="118">
        <f>(A5-B5)/B5</f>
        <v>-6.4844622231098784E-2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CN34"/>
  <sheetViews>
    <sheetView tabSelected="1" topLeftCell="A14" zoomScale="80" zoomScaleNormal="80" workbookViewId="0">
      <pane xSplit="1" topLeftCell="CG1" activePane="topRight" state="frozen"/>
      <selection pane="topRight" activeCell="CN20" sqref="CN20"/>
    </sheetView>
  </sheetViews>
  <sheetFormatPr defaultRowHeight="15" x14ac:dyDescent="0.25"/>
  <cols>
    <col min="1" max="1" width="23.85546875" style="13" customWidth="1"/>
    <col min="2" max="2" width="30.140625" style="20" customWidth="1"/>
    <col min="3" max="3" width="27.85546875" customWidth="1"/>
    <col min="4" max="4" width="16.42578125" customWidth="1"/>
    <col min="5" max="5" width="16.5703125" customWidth="1"/>
    <col min="6" max="6" width="23.28515625" customWidth="1"/>
    <col min="7" max="7" width="9.140625" hidden="1" customWidth="1"/>
    <col min="8" max="8" width="12.85546875" hidden="1" customWidth="1"/>
    <col min="9" max="9" width="29.5703125" customWidth="1"/>
    <col min="10" max="10" width="20.42578125" hidden="1" customWidth="1"/>
    <col min="11" max="11" width="23.140625" style="14" customWidth="1"/>
    <col min="12" max="12" width="25" customWidth="1"/>
    <col min="13" max="13" width="14" customWidth="1"/>
    <col min="14" max="14" width="25" customWidth="1"/>
    <col min="15" max="15" width="17.5703125" customWidth="1"/>
    <col min="16" max="16" width="15.5703125" customWidth="1"/>
    <col min="17" max="18" width="15.5703125" hidden="1" customWidth="1"/>
    <col min="19" max="19" width="25" customWidth="1"/>
    <col min="20" max="20" width="17" hidden="1" customWidth="1"/>
    <col min="21" max="21" width="18.5703125" style="6" customWidth="1"/>
    <col min="22" max="22" width="25" customWidth="1"/>
    <col min="23" max="23" width="29.42578125" customWidth="1"/>
    <col min="24" max="24" width="29.5703125" customWidth="1"/>
    <col min="25" max="25" width="18.5703125" customWidth="1"/>
    <col min="26" max="26" width="14.28515625" customWidth="1"/>
    <col min="27" max="28" width="18.140625" hidden="1" customWidth="1"/>
    <col min="29" max="29" width="37.7109375" customWidth="1"/>
    <col min="30" max="30" width="17.42578125" hidden="1" customWidth="1"/>
    <col min="31" max="31" width="24" customWidth="1"/>
    <col min="32" max="32" width="26" customWidth="1"/>
    <col min="33" max="33" width="10.85546875" customWidth="1"/>
    <col min="34" max="34" width="29.5703125" customWidth="1"/>
    <col min="35" max="35" width="18.5703125" customWidth="1"/>
    <col min="36" max="36" width="14.28515625" customWidth="1"/>
    <col min="37" max="37" width="14.28515625" hidden="1" customWidth="1"/>
    <col min="38" max="38" width="18" customWidth="1"/>
    <col min="39" max="39" width="18" hidden="1" customWidth="1"/>
    <col min="40" max="40" width="24.28515625" customWidth="1"/>
    <col min="41" max="41" width="33.5703125" style="177" customWidth="1"/>
    <col min="42" max="47" width="26" style="177" customWidth="1"/>
    <col min="48" max="48" width="23.42578125" customWidth="1"/>
    <col min="49" max="49" width="29.5703125" customWidth="1"/>
    <col min="50" max="50" width="18.5703125" customWidth="1"/>
    <col min="51" max="51" width="13.140625" customWidth="1"/>
    <col min="52" max="52" width="19.28515625" customWidth="1"/>
    <col min="53" max="53" width="11.140625" hidden="1" customWidth="1"/>
    <col min="54" max="54" width="18.5703125" hidden="1" customWidth="1"/>
    <col min="55" max="55" width="17.140625" customWidth="1"/>
    <col min="56" max="56" width="23.7109375" style="17" hidden="1" customWidth="1"/>
    <col min="57" max="57" width="20.5703125" style="8" customWidth="1"/>
    <col min="58" max="58" width="18.7109375" customWidth="1"/>
    <col min="59" max="59" width="14.7109375" customWidth="1"/>
    <col min="60" max="60" width="16.140625" customWidth="1"/>
    <col min="61" max="62" width="11.42578125" customWidth="1"/>
    <col min="63" max="63" width="20.42578125" customWidth="1"/>
    <col min="64" max="64" width="11.42578125" customWidth="1"/>
    <col min="65" max="65" width="14.5703125" customWidth="1"/>
    <col min="66" max="66" width="13.85546875" customWidth="1"/>
    <col min="67" max="67" width="20.140625" customWidth="1"/>
    <col min="68" max="68" width="12.5703125" customWidth="1"/>
    <col min="69" max="70" width="29.42578125" customWidth="1"/>
    <col min="71" max="71" width="18.28515625" customWidth="1"/>
    <col min="72" max="72" width="17.42578125" customWidth="1"/>
    <col min="73" max="73" width="18.28515625" customWidth="1"/>
    <col min="74" max="74" width="50.85546875" customWidth="1"/>
    <col min="75" max="75" width="24.5703125" customWidth="1"/>
    <col min="76" max="76" width="33.7109375" customWidth="1"/>
    <col min="77" max="77" width="16.85546875" customWidth="1"/>
    <col min="78" max="78" width="23.5703125" hidden="1" customWidth="1"/>
    <col min="79" max="79" width="15.140625" customWidth="1"/>
    <col min="80" max="80" width="13.28515625" hidden="1" customWidth="1"/>
    <col min="81" max="81" width="19.5703125" hidden="1" customWidth="1"/>
    <col min="82" max="83" width="24.42578125" customWidth="1"/>
    <col min="84" max="84" width="50.5703125" style="14" customWidth="1"/>
    <col min="85" max="85" width="12.85546875" style="14" customWidth="1"/>
    <col min="86" max="86" width="30.5703125" style="14" customWidth="1"/>
    <col min="87" max="87" width="28.7109375" style="6" customWidth="1"/>
    <col min="88" max="88" width="15.5703125" style="6" customWidth="1"/>
    <col min="89" max="89" width="12.42578125" customWidth="1"/>
    <col min="90" max="90" width="18.140625" customWidth="1"/>
    <col min="91" max="91" width="38.85546875" customWidth="1"/>
    <col min="92" max="92" width="23.42578125" customWidth="1"/>
    <col min="93" max="94" width="12.42578125" customWidth="1"/>
    <col min="95" max="95" width="17.7109375" customWidth="1"/>
  </cols>
  <sheetData>
    <row r="1" spans="1:92" x14ac:dyDescent="0.25">
      <c r="A1" s="19" t="s">
        <v>21</v>
      </c>
      <c r="B1" s="21" t="s">
        <v>113</v>
      </c>
      <c r="C1" s="21" t="s">
        <v>112</v>
      </c>
      <c r="D1" s="21" t="s">
        <v>114</v>
      </c>
      <c r="E1" s="21" t="s">
        <v>115</v>
      </c>
      <c r="F1" s="21" t="s">
        <v>116</v>
      </c>
      <c r="G1" s="21" t="s">
        <v>176</v>
      </c>
      <c r="H1" s="21" t="s">
        <v>180</v>
      </c>
      <c r="I1" s="21" t="s">
        <v>117</v>
      </c>
      <c r="J1" s="21" t="s">
        <v>182</v>
      </c>
      <c r="K1" s="22" t="s">
        <v>118</v>
      </c>
      <c r="L1" s="23" t="s">
        <v>119</v>
      </c>
      <c r="M1" s="23" t="s">
        <v>120</v>
      </c>
      <c r="N1" s="23" t="s">
        <v>121</v>
      </c>
      <c r="O1" s="23" t="s">
        <v>122</v>
      </c>
      <c r="P1" s="23" t="s">
        <v>123</v>
      </c>
      <c r="Q1" s="23" t="s">
        <v>174</v>
      </c>
      <c r="R1" s="23" t="s">
        <v>173</v>
      </c>
      <c r="S1" s="23" t="s">
        <v>124</v>
      </c>
      <c r="T1" s="23" t="s">
        <v>183</v>
      </c>
      <c r="U1" s="24" t="s">
        <v>148</v>
      </c>
      <c r="V1" s="25" t="s">
        <v>125</v>
      </c>
      <c r="W1" s="25" t="s">
        <v>126</v>
      </c>
      <c r="X1" s="25" t="s">
        <v>149</v>
      </c>
      <c r="Y1" s="25" t="s">
        <v>127</v>
      </c>
      <c r="Z1" s="25" t="s">
        <v>128</v>
      </c>
      <c r="AA1" s="25" t="s">
        <v>181</v>
      </c>
      <c r="AB1" s="25" t="s">
        <v>175</v>
      </c>
      <c r="AC1" s="25" t="s">
        <v>129</v>
      </c>
      <c r="AD1" s="25" t="s">
        <v>184</v>
      </c>
      <c r="AE1" s="26" t="s">
        <v>130</v>
      </c>
      <c r="AF1" s="167" t="s">
        <v>131</v>
      </c>
      <c r="AG1" s="167" t="s">
        <v>132</v>
      </c>
      <c r="AH1" s="167" t="s">
        <v>133</v>
      </c>
      <c r="AI1" s="167" t="s">
        <v>135</v>
      </c>
      <c r="AJ1" s="167" t="s">
        <v>134</v>
      </c>
      <c r="AK1" s="167" t="s">
        <v>179</v>
      </c>
      <c r="AL1" s="167" t="s">
        <v>143</v>
      </c>
      <c r="AM1" s="167" t="s">
        <v>185</v>
      </c>
      <c r="AN1" s="168" t="s">
        <v>136</v>
      </c>
      <c r="AO1" s="187" t="s">
        <v>191</v>
      </c>
      <c r="AP1" s="187" t="s">
        <v>192</v>
      </c>
      <c r="AQ1" s="187" t="s">
        <v>193</v>
      </c>
      <c r="AR1" s="187" t="s">
        <v>194</v>
      </c>
      <c r="AS1" s="187" t="s">
        <v>195</v>
      </c>
      <c r="AT1" s="187" t="s">
        <v>196</v>
      </c>
      <c r="AU1" s="187" t="s">
        <v>197</v>
      </c>
      <c r="AV1" s="173" t="s">
        <v>150</v>
      </c>
      <c r="AW1" s="173" t="s">
        <v>137</v>
      </c>
      <c r="AX1" s="173" t="s">
        <v>138</v>
      </c>
      <c r="AY1" s="173" t="s">
        <v>139</v>
      </c>
      <c r="AZ1" s="173" t="s">
        <v>140</v>
      </c>
      <c r="BA1" s="173" t="s">
        <v>178</v>
      </c>
      <c r="BB1" s="173" t="s">
        <v>177</v>
      </c>
      <c r="BC1" s="173" t="s">
        <v>141</v>
      </c>
      <c r="BD1" s="173" t="s">
        <v>186</v>
      </c>
      <c r="BE1" s="174" t="s">
        <v>142</v>
      </c>
      <c r="BF1" s="26" t="s">
        <v>96</v>
      </c>
      <c r="BG1" s="26" t="s">
        <v>97</v>
      </c>
      <c r="BH1" s="26" t="s">
        <v>98</v>
      </c>
      <c r="BI1" s="26" t="s">
        <v>99</v>
      </c>
      <c r="BJ1" s="26" t="s">
        <v>100</v>
      </c>
      <c r="BK1" s="26" t="s">
        <v>188</v>
      </c>
      <c r="BL1" s="26" t="s">
        <v>101</v>
      </c>
      <c r="BM1" s="26" t="s">
        <v>102</v>
      </c>
      <c r="BN1" s="26" t="s">
        <v>103</v>
      </c>
      <c r="BO1" s="26" t="s">
        <v>104</v>
      </c>
      <c r="BP1" s="26" t="s">
        <v>105</v>
      </c>
      <c r="BQ1" s="26" t="s">
        <v>106</v>
      </c>
      <c r="BR1" s="26" t="s">
        <v>198</v>
      </c>
      <c r="BS1" s="185" t="s">
        <v>107</v>
      </c>
      <c r="BT1" s="185" t="s">
        <v>108</v>
      </c>
      <c r="BU1" s="185" t="s">
        <v>109</v>
      </c>
      <c r="BV1" s="185" t="s">
        <v>110</v>
      </c>
      <c r="BW1" s="185" t="s">
        <v>111</v>
      </c>
      <c r="BX1" s="185" t="s">
        <v>199</v>
      </c>
      <c r="BY1" s="185" t="s">
        <v>202</v>
      </c>
      <c r="BZ1" s="22" t="s">
        <v>145</v>
      </c>
      <c r="CA1" s="22" t="s">
        <v>161</v>
      </c>
      <c r="CB1" s="22"/>
      <c r="CC1" s="31">
        <f>IFERROR(Table1[[#This Row],[Verg_P50_(kWh)]]*(Table1[[#This Row],[Verg_Irradiated_(kWh/m²)]]/Table1[[#This Row],[Verg_estimatedPOA]]),0)</f>
        <v>0</v>
      </c>
      <c r="CD1" s="24" t="s">
        <v>172</v>
      </c>
      <c r="CE1" s="24" t="s">
        <v>201</v>
      </c>
      <c r="CF1" s="24" t="s">
        <v>162</v>
      </c>
      <c r="CG1" s="26" t="s">
        <v>144</v>
      </c>
      <c r="CH1" s="26" t="s">
        <v>163</v>
      </c>
      <c r="CI1" s="28" t="s">
        <v>147</v>
      </c>
      <c r="CJ1" s="28" t="s">
        <v>164</v>
      </c>
      <c r="CK1" s="28" t="s">
        <v>165</v>
      </c>
      <c r="CL1" s="28" t="s">
        <v>200</v>
      </c>
      <c r="CM1" s="27" t="s">
        <v>146</v>
      </c>
    </row>
    <row r="2" spans="1:92" x14ac:dyDescent="0.25">
      <c r="A2" s="13">
        <v>44470</v>
      </c>
      <c r="B2" s="30">
        <v>15875.7</v>
      </c>
      <c r="C2" s="30">
        <v>0</v>
      </c>
      <c r="D2" s="30">
        <v>0</v>
      </c>
      <c r="E2" s="30">
        <v>15.83</v>
      </c>
      <c r="F2" s="21">
        <f>106909*3/31</f>
        <v>10346.032258064517</v>
      </c>
      <c r="G2" s="21"/>
      <c r="H2" s="21"/>
      <c r="I2" s="30">
        <v>193.89</v>
      </c>
      <c r="J2" s="31">
        <v>0</v>
      </c>
      <c r="K2" s="31">
        <v>0</v>
      </c>
      <c r="L2" s="32">
        <v>4349.6000000000004</v>
      </c>
      <c r="M2" s="32">
        <v>0</v>
      </c>
      <c r="N2" s="32">
        <v>0</v>
      </c>
      <c r="O2" s="32">
        <v>100</v>
      </c>
      <c r="P2" s="32">
        <f>35710*(4/31)</f>
        <v>4607.7419354838712</v>
      </c>
      <c r="Q2" s="32">
        <v>0</v>
      </c>
      <c r="R2" s="32">
        <v>0</v>
      </c>
      <c r="S2" s="32">
        <v>199.21</v>
      </c>
      <c r="T2" s="33">
        <v>0</v>
      </c>
      <c r="U2" s="33">
        <v>0</v>
      </c>
      <c r="V2" s="34">
        <v>0</v>
      </c>
      <c r="W2" s="34">
        <v>0</v>
      </c>
      <c r="X2" s="34">
        <v>0</v>
      </c>
      <c r="Y2" s="34">
        <v>-0.01</v>
      </c>
      <c r="Z2" s="34">
        <v>0</v>
      </c>
      <c r="AA2" s="34">
        <v>0</v>
      </c>
      <c r="AB2" s="34">
        <v>0</v>
      </c>
      <c r="AC2" s="34">
        <v>196.71</v>
      </c>
      <c r="AD2" s="34">
        <v>0</v>
      </c>
      <c r="AE2" s="34">
        <v>0</v>
      </c>
      <c r="AF2" s="166">
        <v>0</v>
      </c>
      <c r="AG2" s="166">
        <v>0</v>
      </c>
      <c r="AH2" s="166">
        <v>0</v>
      </c>
      <c r="AI2" s="166">
        <v>0</v>
      </c>
      <c r="AJ2" s="166">
        <v>0</v>
      </c>
      <c r="AK2" s="166"/>
      <c r="AL2" s="166">
        <v>185.5</v>
      </c>
      <c r="AM2" s="169">
        <v>0</v>
      </c>
      <c r="AN2" s="169">
        <v>0</v>
      </c>
      <c r="AO2" s="176">
        <v>0</v>
      </c>
      <c r="AP2" s="176">
        <v>0</v>
      </c>
      <c r="AQ2" s="176">
        <v>0</v>
      </c>
      <c r="AR2" s="176">
        <v>0</v>
      </c>
      <c r="AS2" s="176">
        <v>0</v>
      </c>
      <c r="AT2" s="176">
        <v>0</v>
      </c>
      <c r="AU2" s="176">
        <v>0</v>
      </c>
      <c r="AV2" s="171">
        <v>0</v>
      </c>
      <c r="AW2" s="171">
        <v>0</v>
      </c>
      <c r="AX2" s="171">
        <v>0</v>
      </c>
      <c r="AY2" s="171">
        <v>0</v>
      </c>
      <c r="AZ2" s="171">
        <v>40429.5</v>
      </c>
      <c r="BA2" s="171">
        <v>0</v>
      </c>
      <c r="BB2" s="171"/>
      <c r="BC2" s="171">
        <v>0</v>
      </c>
      <c r="BD2" s="171">
        <v>0</v>
      </c>
      <c r="BE2" s="172">
        <v>0</v>
      </c>
      <c r="BF2" s="38">
        <v>0.67410000000000003</v>
      </c>
      <c r="BG2" s="38">
        <v>0.65890000000000004</v>
      </c>
      <c r="BH2" s="38">
        <v>0.61480000000000001</v>
      </c>
      <c r="BI2" s="38">
        <v>0.60660000000000003</v>
      </c>
      <c r="BJ2" s="38">
        <v>0.7944</v>
      </c>
      <c r="BK2" s="38">
        <v>0.79339999999999999</v>
      </c>
      <c r="BL2" s="29">
        <f t="shared" ref="BL2:BL10" si="0">0.15</f>
        <v>0.15</v>
      </c>
      <c r="BM2" s="29">
        <f>Table1[[#This Row],[Mid_ZAR/kWh]]*Table1[[#This Row],[Mid_(kWh)2]]*(1+0.15)</f>
        <v>3371.8751640000005</v>
      </c>
      <c r="BN2" s="29">
        <f>Table1[[#This Row],[HIG_ZAR/kWh]]*Table1[[#This Row],[Hig_Energy_produced_(kWh)2]]*(1+0.15)</f>
        <v>0</v>
      </c>
      <c r="BO2" s="29">
        <f>Table1[[#This Row],[VER_ZAR/kWh]]*Table1[[#This Row],[Verg_Energy_(kWh)]]*(1+0.15)</f>
        <v>11224.437414</v>
      </c>
      <c r="BP2" s="29">
        <f>Table1[[#This Row],[DUR_ZAR/kWh]]*Table1[[#This Row],[Dur_Energy_produced_(kWh)]]*(1+0.15)</f>
        <v>0</v>
      </c>
      <c r="BQ2" s="29">
        <f>Table1[[#This Row],[HER_ZAR/kWh2]]*Table1[[#This Row],[Her_Energy_produced_(kWh)]]*(1+0.15)</f>
        <v>0</v>
      </c>
      <c r="BR2" s="29">
        <f>Table1[[#This Row],[TZA ZAR/kWh]]*Table1[[#This Row],[TZA_Energy_produced_(kWh)]]*(1+0.15)</f>
        <v>0</v>
      </c>
      <c r="BS2" s="16">
        <f>Table1[[#This Row],[Mid_ZAR/kWh]]*Table1[[#This Row],[Mid_P50_(kWh)]]*(1+0.15)</f>
        <v>3571.9906645161291</v>
      </c>
      <c r="BT2" s="16">
        <f>Table1[[#This Row],[HIG_ZAR/kWh]]*Table1[[#This Row],[Hig_P50_(kWh)]]*(1+0.15)</f>
        <v>30634.847182499998</v>
      </c>
      <c r="BU2" s="16">
        <f>Table1[[#This Row],[VER_ZAR/kWh]]*Table1[[#This Row],[Verg_P50_(kWh)]]*(1+0.15)</f>
        <v>7314.851727096775</v>
      </c>
      <c r="BV2" s="16">
        <f>Table1[[#This Row],[DUR_ZAR/kWh]]*Table1[[#This Row],[Dur_P50_(kWh)]]*(1+0.15)</f>
        <v>0</v>
      </c>
      <c r="BW2" s="16">
        <f>Table1[[#This Row],[HER_ZAR/kWh2]]*Table1[[#This Row],[Her_P50_(kWh)]]*(1+0.15)</f>
        <v>0</v>
      </c>
      <c r="BX2" s="15">
        <f>Table1[[#This Row],[TZA ZAR/kWh]]*Table1[[#This Row],[TZA_P50_(kWh)]]*(1+0.15)</f>
        <v>0</v>
      </c>
      <c r="BY2" s="16"/>
      <c r="BZ2" s="22">
        <f>95*(3/31)</f>
        <v>9.193548387096774</v>
      </c>
      <c r="CA2" s="31">
        <f>IFERROR(Table1[[#This Row],[Verg_P50_(kWh)]]*(Table1[[#This Row],[Verg_Irradiated_(kWh/m²)]]/Table1[[#This Row],[Verg_estimatedPOA]]),0)</f>
        <v>0</v>
      </c>
      <c r="CB2" s="31">
        <v>0</v>
      </c>
      <c r="CC2" s="31">
        <f>IFERROR(Table1[[#This Row],[Verg_P50_(kWh)]]*(Table1[[#This Row],[Verg_Irradiated_(kWh/m²)]]/Table1[[#This Row],[Verg_estimatedPOA]]),0)</f>
        <v>0</v>
      </c>
      <c r="CD2" s="33">
        <v>95</v>
      </c>
      <c r="CE2" s="33">
        <v>95</v>
      </c>
      <c r="CF2" s="110">
        <f>IFERROR(Table1[[#This Row],[Mid_P50_(kWh)]]*(Table1[[#This Row],[Mid_Irradiated_(kWh/m²)]]/Table1[[#This Row],[Mid_estimatedPOA]]),0)</f>
        <v>0</v>
      </c>
      <c r="CG2" s="35">
        <v>0</v>
      </c>
      <c r="CH2" s="111">
        <f>IFERROR(Table1[[#This Row],[Dur_P50_(kWh)]]*(Table1[[#This Row],[Dur_Energy_Irradiated_(kWh/m²)]]/Table1[[#This Row],[Dur_estimatedPOA]]),0)</f>
        <v>0</v>
      </c>
      <c r="CI2" s="37">
        <v>95</v>
      </c>
      <c r="CJ2" s="14">
        <f>IFERROR(Table1[[#This Row],[Hig_P50_(kWh)]]*(Table1[[#This Row],[Hig_Energy_Irradiated_(kWh/m²)]]/Table1[[#This Row],[Hig_estimatedPOA]]),0)</f>
        <v>0</v>
      </c>
      <c r="CK2" s="14">
        <f>IFERROR(Table1[[#This Row],[Her_P50_(kWh)]]*(Table1[[#This Row],[Her_Energy_Irradiated_(kWh/m²)]]/Table1[[#This Row],[Her_estimatedPOA]]),0)</f>
        <v>0</v>
      </c>
      <c r="CL2" s="37">
        <f>IFERROR(Table1[[#This Row],[TZA_P50_(kWh)]]*(Table1[[#This Row],[TZA_Energy_Irradiated_(kWh/m²)]]/Table1[[#This Row],[TZA_estimatedPOA]]),0)</f>
        <v>0</v>
      </c>
      <c r="CM2" s="36">
        <v>95</v>
      </c>
    </row>
    <row r="3" spans="1:92" x14ac:dyDescent="0.25">
      <c r="A3" s="13">
        <v>44501</v>
      </c>
      <c r="B3" s="30">
        <v>114666.79999999999</v>
      </c>
      <c r="C3" s="30">
        <v>0</v>
      </c>
      <c r="D3" s="30">
        <v>206.89599999999999</v>
      </c>
      <c r="E3" s="30">
        <v>92.2</v>
      </c>
      <c r="F3" s="30">
        <v>124191.3</v>
      </c>
      <c r="G3" s="30"/>
      <c r="H3" s="30"/>
      <c r="I3" s="30">
        <v>229.029</v>
      </c>
      <c r="J3" s="31">
        <v>0</v>
      </c>
      <c r="K3" s="31">
        <v>0</v>
      </c>
      <c r="L3" s="32">
        <v>18453.8</v>
      </c>
      <c r="M3" s="32">
        <v>0</v>
      </c>
      <c r="N3" s="32">
        <v>196.26300000000001</v>
      </c>
      <c r="O3" s="32">
        <v>100</v>
      </c>
      <c r="P3" s="32">
        <v>35427.199999999997</v>
      </c>
      <c r="Q3" s="32">
        <v>0</v>
      </c>
      <c r="R3" s="32">
        <v>0</v>
      </c>
      <c r="S3" s="32">
        <v>199.72</v>
      </c>
      <c r="T3" s="33">
        <v>0</v>
      </c>
      <c r="U3" s="33">
        <v>0</v>
      </c>
      <c r="V3" s="34">
        <v>67694.7</v>
      </c>
      <c r="W3" s="34">
        <v>0</v>
      </c>
      <c r="X3" s="34">
        <v>152.46199999999999</v>
      </c>
      <c r="Y3" s="34">
        <v>68.81</v>
      </c>
      <c r="Z3" s="34">
        <f>122450*(20/30)</f>
        <v>81633.333333333328</v>
      </c>
      <c r="AA3" s="34">
        <v>0</v>
      </c>
      <c r="AB3" s="34">
        <v>0</v>
      </c>
      <c r="AC3" s="34">
        <v>231.47</v>
      </c>
      <c r="AD3" s="34">
        <v>0</v>
      </c>
      <c r="AE3" s="34">
        <v>0</v>
      </c>
      <c r="AF3" s="166">
        <v>0</v>
      </c>
      <c r="AG3" s="166">
        <v>0</v>
      </c>
      <c r="AH3" s="166">
        <v>0</v>
      </c>
      <c r="AI3" s="166">
        <v>0</v>
      </c>
      <c r="AJ3" s="166">
        <v>0</v>
      </c>
      <c r="AK3" s="166"/>
      <c r="AL3" s="166">
        <v>219.8</v>
      </c>
      <c r="AM3" s="169">
        <v>0</v>
      </c>
      <c r="AN3" s="169">
        <v>0</v>
      </c>
      <c r="AO3" s="176">
        <v>0</v>
      </c>
      <c r="AP3" s="176">
        <v>0</v>
      </c>
      <c r="AQ3" s="176">
        <v>0</v>
      </c>
      <c r="AR3" s="176">
        <v>0</v>
      </c>
      <c r="AS3" s="176">
        <v>0</v>
      </c>
      <c r="AT3" s="176">
        <v>0</v>
      </c>
      <c r="AU3" s="176">
        <v>0</v>
      </c>
      <c r="AV3" s="171">
        <v>0</v>
      </c>
      <c r="AW3" s="171">
        <v>0</v>
      </c>
      <c r="AX3" s="171">
        <v>0</v>
      </c>
      <c r="AY3" s="171">
        <v>0</v>
      </c>
      <c r="AZ3" s="171">
        <v>40364.699999999997</v>
      </c>
      <c r="BA3" s="171">
        <v>0</v>
      </c>
      <c r="BB3" s="171"/>
      <c r="BC3" s="171">
        <v>0</v>
      </c>
      <c r="BD3" s="171">
        <v>0</v>
      </c>
      <c r="BE3" s="172">
        <v>0</v>
      </c>
      <c r="BF3" s="38">
        <v>0.67410000000000003</v>
      </c>
      <c r="BG3" s="38">
        <v>0.65890000000000004</v>
      </c>
      <c r="BH3" s="38">
        <v>0.61480000000000001</v>
      </c>
      <c r="BI3" s="38">
        <v>0.60660000000000003</v>
      </c>
      <c r="BJ3" s="38">
        <v>0.7944</v>
      </c>
      <c r="BK3" s="38">
        <v>0.79339999999999999</v>
      </c>
      <c r="BL3" s="29">
        <f t="shared" si="0"/>
        <v>0.15</v>
      </c>
      <c r="BM3" s="29">
        <f>Table1[[#This Row],[Mid_ZAR/kWh]]*Table1[[#This Row],[Mid_(kWh)2]]*(1+0.15)</f>
        <v>14305.662566999999</v>
      </c>
      <c r="BN3" s="29">
        <f>Table1[[#This Row],[HIG_ZAR/kWh]]*Table1[[#This Row],[Hig_Energy_produced_(kWh)2]]*(1+0.15)</f>
        <v>0</v>
      </c>
      <c r="BO3" s="29">
        <f>Table1[[#This Row],[VER_ZAR/kWh]]*Table1[[#This Row],[Verg_Energy_(kWh)]]*(1+0.15)</f>
        <v>81071.720935999998</v>
      </c>
      <c r="BP3" s="29">
        <f>Table1[[#This Row],[DUR_ZAR/kWh]]*Table1[[#This Row],[Dur_Energy_produced_(kWh)]]*(1+0.15)</f>
        <v>47223.145772999997</v>
      </c>
      <c r="BQ3" s="29">
        <f>Table1[[#This Row],[HER_ZAR/kWh2]]*Table1[[#This Row],[Her_Energy_produced_(kWh)]]*(1+0.15)</f>
        <v>0</v>
      </c>
      <c r="BR3" s="29">
        <f>Table1[[#This Row],[TZA ZAR/kWh]]*Table1[[#This Row],[TZA_Energy_produced_(kWh)]]*(1+0.15)</f>
        <v>0</v>
      </c>
      <c r="BS3" s="16">
        <f>Table1[[#This Row],[Mid_ZAR/kWh]]*Table1[[#This Row],[Mid_P50_(kWh)]]*(1+0.15)</f>
        <v>27463.696848</v>
      </c>
      <c r="BT3" s="16">
        <f>Table1[[#This Row],[HIG_ZAR/kWh]]*Table1[[#This Row],[Hig_P50_(kWh)]]*(1+0.15)</f>
        <v>30585.745954499998</v>
      </c>
      <c r="BU3" s="16">
        <f>Table1[[#This Row],[VER_ZAR/kWh]]*Table1[[#This Row],[Verg_P50_(kWh)]]*(1+0.15)</f>
        <v>87805.732926000012</v>
      </c>
      <c r="BV3" s="16">
        <f>Table1[[#This Row],[DUR_ZAR/kWh]]*Table1[[#This Row],[Dur_P50_(kWh)]]*(1+0.15)</f>
        <v>56946.596999999994</v>
      </c>
      <c r="BW3" s="16">
        <f>Table1[[#This Row],[HER_ZAR/kWh2]]*Table1[[#This Row],[Her_P50_(kWh)]]*(1+0.15)</f>
        <v>0</v>
      </c>
      <c r="BX3" s="15">
        <f>Table1[[#This Row],[TZA ZAR/kWh]]*Table1[[#This Row],[TZA_P50_(kWh)]]*(1+0.15)</f>
        <v>0</v>
      </c>
      <c r="BY3" s="16"/>
      <c r="BZ3" s="31">
        <v>95</v>
      </c>
      <c r="CA3" s="31">
        <f>IFERROR(Table1[[#This Row],[Verg_P50_(kWh)]]*(Table1[[#This Row],[Verg_Irradiated_(kWh/m²)]]/Table1[[#This Row],[Verg_estimatedPOA]]),0)</f>
        <v>112189.64936667409</v>
      </c>
      <c r="CB3" s="31">
        <v>0</v>
      </c>
      <c r="CC3" s="31">
        <f>IFERROR(Table1[[#This Row],[Verg_P50_(kWh)]]*(Table1[[#This Row],[Verg_Irradiated_(kWh/m²)]]/Table1[[#This Row],[Verg_estimatedPOA]]),0)</f>
        <v>112189.64936667409</v>
      </c>
      <c r="CD3" s="33">
        <v>95</v>
      </c>
      <c r="CE3" s="33">
        <v>95</v>
      </c>
      <c r="CF3" s="110">
        <f>IFERROR(Table1[[#This Row],[Mid_P50_(kWh)]]*(Table1[[#This Row],[Mid_Irradiated_(kWh/m²)]]/Table1[[#This Row],[Mid_estimatedPOA]]),0)</f>
        <v>34813.982343280593</v>
      </c>
      <c r="CG3" s="26">
        <f>95*(20/30)</f>
        <v>63.333333333333329</v>
      </c>
      <c r="CH3" s="111">
        <f>IFERROR(Table1[[#This Row],[Dur_P50_(kWh)]]*(Table1[[#This Row],[Dur_Energy_Irradiated_(kWh/m²)]]/Table1[[#This Row],[Dur_estimatedPOA]]),0)</f>
        <v>53769.306029579064</v>
      </c>
      <c r="CI3" s="37">
        <v>95</v>
      </c>
      <c r="CJ3" s="14">
        <f>IFERROR(Table1[[#This Row],[Hig_P50_(kWh)]]*(Table1[[#This Row],[Hig_Energy_Irradiated_(kWh/m²)]]/Table1[[#This Row],[Hig_estimatedPOA]]),0)</f>
        <v>0</v>
      </c>
      <c r="CK3" s="14">
        <f>IFERROR(Table1[[#This Row],[Her_P50_(kWh)]]*(Table1[[#This Row],[Her_Energy_Irradiated_(kWh/m²)]]/Table1[[#This Row],[Her_estimatedPOA]]),0)</f>
        <v>0</v>
      </c>
      <c r="CL3" s="37">
        <f>IFERROR(Table1[[#This Row],[TZA_P50_(kWh)]]*(Table1[[#This Row],[TZA_Energy_Irradiated_(kWh/m²)]]/Table1[[#This Row],[TZA_estimatedPOA]]),0)</f>
        <v>0</v>
      </c>
      <c r="CM3" s="36">
        <v>95</v>
      </c>
    </row>
    <row r="4" spans="1:92" x14ac:dyDescent="0.25">
      <c r="A4" s="13">
        <v>44531</v>
      </c>
      <c r="B4" s="30">
        <v>126249.60000000002</v>
      </c>
      <c r="C4" s="30">
        <v>0</v>
      </c>
      <c r="D4" s="30">
        <v>222.57400000000001</v>
      </c>
      <c r="E4" s="30">
        <v>100</v>
      </c>
      <c r="F4" s="30">
        <v>135649</v>
      </c>
      <c r="G4" s="30"/>
      <c r="H4" s="30"/>
      <c r="I4" s="30">
        <v>253.69</v>
      </c>
      <c r="J4" s="31">
        <v>0</v>
      </c>
      <c r="K4" s="31">
        <v>0</v>
      </c>
      <c r="L4" s="32">
        <v>48330.802999999993</v>
      </c>
      <c r="M4" s="32">
        <v>0</v>
      </c>
      <c r="N4" s="32">
        <v>183.732</v>
      </c>
      <c r="O4" s="32">
        <v>100</v>
      </c>
      <c r="P4" s="32">
        <v>37840</v>
      </c>
      <c r="Q4" s="32">
        <v>0</v>
      </c>
      <c r="R4" s="32">
        <v>0</v>
      </c>
      <c r="S4" s="32">
        <v>215.76</v>
      </c>
      <c r="T4" s="33">
        <v>0</v>
      </c>
      <c r="U4" s="33">
        <v>0</v>
      </c>
      <c r="V4" s="34">
        <v>94632.700000000026</v>
      </c>
      <c r="W4" s="34">
        <v>0</v>
      </c>
      <c r="X4" s="34">
        <v>236.13900000000001</v>
      </c>
      <c r="Y4" s="34">
        <v>100</v>
      </c>
      <c r="Z4" s="34">
        <v>130720.8</v>
      </c>
      <c r="AA4" s="34">
        <v>0</v>
      </c>
      <c r="AB4" s="34">
        <v>0</v>
      </c>
      <c r="AC4" s="34">
        <v>257.40300000000002</v>
      </c>
      <c r="AD4" s="34">
        <v>0</v>
      </c>
      <c r="AE4" s="34">
        <v>0</v>
      </c>
      <c r="AF4" s="166">
        <v>0</v>
      </c>
      <c r="AG4" s="166">
        <v>0</v>
      </c>
      <c r="AH4" s="166">
        <v>0</v>
      </c>
      <c r="AI4" s="166">
        <v>0</v>
      </c>
      <c r="AJ4" s="166">
        <v>0</v>
      </c>
      <c r="AK4" s="166"/>
      <c r="AL4" s="166">
        <v>243.4</v>
      </c>
      <c r="AM4" s="169">
        <v>0</v>
      </c>
      <c r="AN4" s="169">
        <v>0</v>
      </c>
      <c r="AO4" s="176">
        <v>0</v>
      </c>
      <c r="AP4" s="176">
        <v>0</v>
      </c>
      <c r="AQ4" s="176">
        <v>0</v>
      </c>
      <c r="AR4" s="176">
        <v>0</v>
      </c>
      <c r="AS4" s="176">
        <v>0</v>
      </c>
      <c r="AT4" s="176">
        <v>0</v>
      </c>
      <c r="AU4" s="176">
        <v>0</v>
      </c>
      <c r="AV4" s="171">
        <v>0</v>
      </c>
      <c r="AW4" s="171">
        <v>0</v>
      </c>
      <c r="AX4" s="171">
        <v>0</v>
      </c>
      <c r="AY4" s="171">
        <v>0</v>
      </c>
      <c r="AZ4" s="171">
        <v>42270.2</v>
      </c>
      <c r="BA4" s="171">
        <v>0</v>
      </c>
      <c r="BB4" s="171"/>
      <c r="BC4" s="171">
        <v>0</v>
      </c>
      <c r="BD4" s="171">
        <v>0</v>
      </c>
      <c r="BE4" s="172">
        <v>0</v>
      </c>
      <c r="BF4" s="38">
        <v>0.67410000000000003</v>
      </c>
      <c r="BG4" s="38">
        <v>0.65890000000000004</v>
      </c>
      <c r="BH4" s="38">
        <v>0.61480000000000001</v>
      </c>
      <c r="BI4" s="38">
        <v>0.60660000000000003</v>
      </c>
      <c r="BJ4" s="38">
        <v>0.7944</v>
      </c>
      <c r="BK4" s="38">
        <v>0.79339999999999999</v>
      </c>
      <c r="BL4" s="29">
        <f t="shared" si="0"/>
        <v>0.15</v>
      </c>
      <c r="BM4" s="29">
        <f>Table1[[#This Row],[Mid_ZAR/kWh]]*Table1[[#This Row],[Mid_(kWh)2]]*(1+0.15)</f>
        <v>37466.763447644997</v>
      </c>
      <c r="BN4" s="29">
        <f>Table1[[#This Row],[HIG_ZAR/kWh]]*Table1[[#This Row],[Hig_Energy_produced_(kWh)2]]*(1+0.15)</f>
        <v>0</v>
      </c>
      <c r="BO4" s="29">
        <f>Table1[[#This Row],[VER_ZAR/kWh]]*Table1[[#This Row],[Verg_Energy_(kWh)]]*(1+0.15)</f>
        <v>89260.992192000005</v>
      </c>
      <c r="BP4" s="29">
        <f>Table1[[#This Row],[DUR_ZAR/kWh]]*Table1[[#This Row],[Dur_Energy_produced_(kWh)]]*(1+0.15)</f>
        <v>66014.825193000011</v>
      </c>
      <c r="BQ4" s="29">
        <f>Table1[[#This Row],[HER_ZAR/kWh2]]*Table1[[#This Row],[Her_Energy_produced_(kWh)]]*(1+0.15)</f>
        <v>0</v>
      </c>
      <c r="BR4" s="29">
        <f>Table1[[#This Row],[TZA ZAR/kWh]]*Table1[[#This Row],[TZA_Energy_produced_(kWh)]]*(1+0.15)</f>
        <v>0</v>
      </c>
      <c r="BS4" s="16">
        <f>Table1[[#This Row],[Mid_ZAR/kWh]]*Table1[[#This Row],[Mid_P50_(kWh)]]*(1+0.15)</f>
        <v>29334.135599999998</v>
      </c>
      <c r="BT4" s="16">
        <f>Table1[[#This Row],[HIG_ZAR/kWh]]*Table1[[#This Row],[Hig_P50_(kWh)]]*(1+0.15)</f>
        <v>32029.609997</v>
      </c>
      <c r="BU4" s="16">
        <f>Table1[[#This Row],[VER_ZAR/kWh]]*Table1[[#This Row],[Verg_P50_(kWh)]]*(1+0.15)</f>
        <v>95906.55597999999</v>
      </c>
      <c r="BV4" s="16">
        <f>Table1[[#This Row],[DUR_ZAR/kWh]]*Table1[[#This Row],[Dur_P50_(kWh)]]*(1+0.15)</f>
        <v>91189.522872000001</v>
      </c>
      <c r="BW4" s="16">
        <f>Table1[[#This Row],[HER_ZAR/kWh2]]*Table1[[#This Row],[Her_P50_(kWh)]]*(1+0.15)</f>
        <v>0</v>
      </c>
      <c r="BX4" s="15">
        <f>Table1[[#This Row],[TZA ZAR/kWh]]*Table1[[#This Row],[TZA_P50_(kWh)]]*(1+0.15)</f>
        <v>0</v>
      </c>
      <c r="BY4" s="16"/>
      <c r="BZ4" s="31">
        <v>95</v>
      </c>
      <c r="CA4" s="31">
        <f>IFERROR(Table1[[#This Row],[Verg_P50_(kWh)]]*(Table1[[#This Row],[Verg_Irradiated_(kWh/m²)]]/Table1[[#This Row],[Verg_estimatedPOA]]),0)</f>
        <v>119011.15742047381</v>
      </c>
      <c r="CB4" s="31">
        <v>0</v>
      </c>
      <c r="CC4" s="31">
        <f>IFERROR(Table1[[#This Row],[Verg_P50_(kWh)]]*(Table1[[#This Row],[Verg_Irradiated_(kWh/m²)]]/Table1[[#This Row],[Verg_estimatedPOA]]),0)</f>
        <v>119011.15742047381</v>
      </c>
      <c r="CD4" s="33">
        <v>95</v>
      </c>
      <c r="CE4" s="33">
        <v>95</v>
      </c>
      <c r="CF4" s="110">
        <f>IFERROR(Table1[[#This Row],[Mid_P50_(kWh)]]*(Table1[[#This Row],[Mid_Irradiated_(kWh/m²)]]/Table1[[#This Row],[Mid_estimatedPOA]]),0)</f>
        <v>32222.927697441603</v>
      </c>
      <c r="CG4" s="35">
        <v>95</v>
      </c>
      <c r="CH4" s="111">
        <f>IFERROR(Table1[[#This Row],[Dur_P50_(kWh)]]*(Table1[[#This Row],[Dur_Energy_Irradiated_(kWh/m²)]]/Table1[[#This Row],[Dur_estimatedPOA]]),0)</f>
        <v>119921.98611204997</v>
      </c>
      <c r="CI4" s="37">
        <v>95</v>
      </c>
      <c r="CJ4" s="14">
        <f>IFERROR(Table1[[#This Row],[Hig_P50_(kWh)]]*(Table1[[#This Row],[Hig_Energy_Irradiated_(kWh/m²)]]/Table1[[#This Row],[Hig_estimatedPOA]]),0)</f>
        <v>0</v>
      </c>
      <c r="CK4" s="14">
        <f>IFERROR(Table1[[#This Row],[Her_P50_(kWh)]]*(Table1[[#This Row],[Her_Energy_Irradiated_(kWh/m²)]]/Table1[[#This Row],[Her_estimatedPOA]]),0)</f>
        <v>0</v>
      </c>
      <c r="CL4" s="37">
        <f>IFERROR(Table1[[#This Row],[TZA_P50_(kWh)]]*(Table1[[#This Row],[TZA_Energy_Irradiated_(kWh/m²)]]/Table1[[#This Row],[TZA_estimatedPOA]]),0)</f>
        <v>0</v>
      </c>
      <c r="CM4" s="36">
        <v>95</v>
      </c>
    </row>
    <row r="5" spans="1:92" x14ac:dyDescent="0.25">
      <c r="A5" s="13">
        <v>44562</v>
      </c>
      <c r="B5" s="30">
        <v>127624.6</v>
      </c>
      <c r="C5" s="30">
        <v>0</v>
      </c>
      <c r="D5" s="30">
        <v>246.77099999999999</v>
      </c>
      <c r="E5" s="30">
        <v>98.83</v>
      </c>
      <c r="F5" s="30">
        <v>134331.04</v>
      </c>
      <c r="G5" s="30"/>
      <c r="H5" s="30"/>
      <c r="I5" s="30">
        <v>251.91</v>
      </c>
      <c r="J5" s="31">
        <v>0</v>
      </c>
      <c r="K5" s="31">
        <v>0</v>
      </c>
      <c r="L5" s="32">
        <v>34169.195000000007</v>
      </c>
      <c r="M5" s="32">
        <v>0</v>
      </c>
      <c r="N5" s="32">
        <v>182.447</v>
      </c>
      <c r="O5" s="32">
        <v>0</v>
      </c>
      <c r="P5" s="32">
        <v>36357.19</v>
      </c>
      <c r="Q5" s="32">
        <v>0</v>
      </c>
      <c r="R5" s="32">
        <v>0</v>
      </c>
      <c r="S5" s="32">
        <v>208.26400000000001</v>
      </c>
      <c r="T5" s="33">
        <v>0</v>
      </c>
      <c r="U5" s="33">
        <v>0</v>
      </c>
      <c r="V5" s="34">
        <v>100806.39999999998</v>
      </c>
      <c r="W5" s="34">
        <v>0</v>
      </c>
      <c r="X5" s="34">
        <v>250.66399999999999</v>
      </c>
      <c r="Y5" s="34">
        <v>88.6</v>
      </c>
      <c r="Z5" s="34">
        <v>130944.06</v>
      </c>
      <c r="AA5" s="34">
        <v>0</v>
      </c>
      <c r="AB5" s="34">
        <v>0</v>
      </c>
      <c r="AC5" s="34">
        <v>255.22</v>
      </c>
      <c r="AD5" s="34">
        <v>0</v>
      </c>
      <c r="AE5" s="34">
        <v>0</v>
      </c>
      <c r="AF5" s="166">
        <v>0</v>
      </c>
      <c r="AG5" s="166">
        <v>0</v>
      </c>
      <c r="AH5" s="166">
        <v>0</v>
      </c>
      <c r="AI5" s="166">
        <v>0</v>
      </c>
      <c r="AJ5" s="167">
        <v>42603.5</v>
      </c>
      <c r="AK5" s="166"/>
      <c r="AL5" s="167">
        <v>237.9</v>
      </c>
      <c r="AM5" s="169">
        <v>0</v>
      </c>
      <c r="AN5" s="169">
        <v>0</v>
      </c>
      <c r="AO5" s="176">
        <v>0</v>
      </c>
      <c r="AP5" s="176">
        <v>0</v>
      </c>
      <c r="AQ5" s="176">
        <v>0</v>
      </c>
      <c r="AR5" s="176">
        <v>0</v>
      </c>
      <c r="AS5" s="176">
        <v>0</v>
      </c>
      <c r="AT5" s="176">
        <v>0</v>
      </c>
      <c r="AU5" s="176">
        <v>0</v>
      </c>
      <c r="AV5" s="171">
        <v>0</v>
      </c>
      <c r="AW5" s="171">
        <v>0</v>
      </c>
      <c r="AX5" s="171">
        <v>0</v>
      </c>
      <c r="AY5" s="171">
        <v>0</v>
      </c>
      <c r="AZ5" s="173">
        <v>40996.9</v>
      </c>
      <c r="BA5" s="171">
        <v>0</v>
      </c>
      <c r="BB5" s="171"/>
      <c r="BC5" s="171">
        <v>204.7</v>
      </c>
      <c r="BD5" s="171">
        <v>0</v>
      </c>
      <c r="BE5" s="172">
        <v>0</v>
      </c>
      <c r="BF5" s="38">
        <v>0.67410000000000003</v>
      </c>
      <c r="BG5" s="38">
        <v>0.65890000000000004</v>
      </c>
      <c r="BH5" s="38">
        <v>0.61480000000000001</v>
      </c>
      <c r="BI5" s="38">
        <v>0.60660000000000003</v>
      </c>
      <c r="BJ5" s="38">
        <v>0.7944</v>
      </c>
      <c r="BK5" s="38">
        <v>0.79339999999999999</v>
      </c>
      <c r="BL5" s="29">
        <f t="shared" si="0"/>
        <v>0.15</v>
      </c>
      <c r="BM5" s="29">
        <f>Table1[[#This Row],[Mid_ZAR/kWh]]*Table1[[#This Row],[Mid_(kWh)2]]*(1+0.15)</f>
        <v>26488.472501925007</v>
      </c>
      <c r="BN5" s="29">
        <f>Table1[[#This Row],[HIG_ZAR/kWh]]*Table1[[#This Row],[Hig_Energy_produced_(kWh)2]]*(1+0.15)</f>
        <v>0</v>
      </c>
      <c r="BO5" s="29">
        <f>Table1[[#This Row],[VER_ZAR/kWh]]*Table1[[#This Row],[Verg_Energy_(kWh)]]*(1+0.15)</f>
        <v>90233.144692000002</v>
      </c>
      <c r="BP5" s="29">
        <f>Table1[[#This Row],[DUR_ZAR/kWh]]*Table1[[#This Row],[Dur_Energy_produced_(kWh)]]*(1+0.15)</f>
        <v>70321.536575999984</v>
      </c>
      <c r="BQ5" s="29">
        <f>Table1[[#This Row],[HER_ZAR/kWh2]]*Table1[[#This Row],[Her_Energy_produced_(kWh)]]*(1+0.15)</f>
        <v>0</v>
      </c>
      <c r="BR5" s="29">
        <f>Table1[[#This Row],[TZA ZAR/kWh]]*Table1[[#This Row],[TZA_Energy_produced_(kWh)]]*(1+0.15)</f>
        <v>0</v>
      </c>
      <c r="BS5" s="16">
        <f>Table1[[#This Row],[Mid_ZAR/kWh]]*Table1[[#This Row],[Mid_P50_(kWh)]]*(1+0.15)</f>
        <v>28184.639045850003</v>
      </c>
      <c r="BT5" s="16">
        <f>Table1[[#This Row],[HIG_ZAR/kWh]]*Table1[[#This Row],[Hig_P50_(kWh)]]*(1+0.15)</f>
        <v>31064.786021500004</v>
      </c>
      <c r="BU5" s="16">
        <f>Table1[[#This Row],[VER_ZAR/kWh]]*Table1[[#This Row],[Verg_P50_(kWh)]]*(1+0.15)</f>
        <v>94974.73190079999</v>
      </c>
      <c r="BV5" s="16">
        <f>Table1[[#This Row],[DUR_ZAR/kWh]]*Table1[[#This Row],[Dur_P50_(kWh)]]*(1+0.15)</f>
        <v>91345.266815399998</v>
      </c>
      <c r="BW5" s="16">
        <f>Table1[[#This Row],[HER_ZAR/kWh2]]*Table1[[#This Row],[Her_P50_(kWh)]]*(1+0.15)</f>
        <v>38920.853459999998</v>
      </c>
      <c r="BX5" s="15">
        <f>Table1[[#This Row],[TZA ZAR/kWh]]*Table1[[#This Row],[TZA_P50_(kWh)]]*(1+0.15)</f>
        <v>0</v>
      </c>
      <c r="BY5" s="16"/>
      <c r="BZ5" s="31">
        <v>95</v>
      </c>
      <c r="CA5" s="31">
        <f>IFERROR(Table1[[#This Row],[Verg_P50_(kWh)]]*(Table1[[#This Row],[Verg_Irradiated_(kWh/m²)]]/Table1[[#This Row],[Verg_estimatedPOA]]),0)</f>
        <v>131590.66758699538</v>
      </c>
      <c r="CB5" s="31">
        <v>0</v>
      </c>
      <c r="CC5" s="31">
        <f>IFERROR(Table1[[#This Row],[Verg_P50_(kWh)]]*(Table1[[#This Row],[Verg_Irradiated_(kWh/m²)]]/Table1[[#This Row],[Verg_estimatedPOA]]),0)</f>
        <v>131590.66758699538</v>
      </c>
      <c r="CD5" s="33">
        <v>95</v>
      </c>
      <c r="CE5" s="33">
        <v>95</v>
      </c>
      <c r="CF5" s="110">
        <f>IFERROR(Table1[[#This Row],[Mid_P50_(kWh)]]*(Table1[[#This Row],[Mid_Irradiated_(kWh/m²)]]/Table1[[#This Row],[Mid_estimatedPOA]]),0)</f>
        <v>31850.248933709139</v>
      </c>
      <c r="CG5" s="35">
        <v>95</v>
      </c>
      <c r="CH5" s="111">
        <f>IFERROR(Table1[[#This Row],[Dur_P50_(kWh)]]*(Table1[[#This Row],[Dur_Energy_Irradiated_(kWh/m²)]]/Table1[[#This Row],[Dur_estimatedPOA]]),0)</f>
        <v>128606.54280949768</v>
      </c>
      <c r="CI5" s="37">
        <v>95</v>
      </c>
      <c r="CJ5" s="14">
        <f>IFERROR(Table1[[#This Row],[Hig_P50_(kWh)]]*(Table1[[#This Row],[Hig_Energy_Irradiated_(kWh/m²)]]/Table1[[#This Row],[Hig_estimatedPOA]]),0)</f>
        <v>0</v>
      </c>
      <c r="CK5" s="14">
        <f>IFERROR(Table1[[#This Row],[Her_P50_(kWh)]]*(Table1[[#This Row],[Her_Energy_Irradiated_(kWh/m²)]]/Table1[[#This Row],[Her_estimatedPOA]]),0)</f>
        <v>0</v>
      </c>
      <c r="CL5" s="37">
        <f>IFERROR(Table1[[#This Row],[TZA_P50_(kWh)]]*(Table1[[#This Row],[TZA_Energy_Irradiated_(kWh/m²)]]/Table1[[#This Row],[TZA_estimatedPOA]]),0)</f>
        <v>0</v>
      </c>
      <c r="CM5" s="36">
        <v>95</v>
      </c>
    </row>
    <row r="6" spans="1:92" x14ac:dyDescent="0.25">
      <c r="A6" s="13">
        <v>44593</v>
      </c>
      <c r="B6" s="30">
        <v>96946.4</v>
      </c>
      <c r="C6" s="30">
        <v>0</v>
      </c>
      <c r="D6" s="30">
        <v>198.67</v>
      </c>
      <c r="E6" s="30">
        <v>99.29</v>
      </c>
      <c r="F6" s="30">
        <v>108571.18</v>
      </c>
      <c r="G6" s="30"/>
      <c r="H6" s="30"/>
      <c r="I6" s="30">
        <v>202.77</v>
      </c>
      <c r="J6" s="31">
        <v>0</v>
      </c>
      <c r="K6" s="31">
        <v>0</v>
      </c>
      <c r="L6" s="32">
        <v>32936.601999999999</v>
      </c>
      <c r="M6" s="32">
        <v>0</v>
      </c>
      <c r="N6" s="32">
        <v>184.07</v>
      </c>
      <c r="O6" s="32">
        <v>64.27</v>
      </c>
      <c r="P6" s="32">
        <v>31490.67</v>
      </c>
      <c r="Q6" s="32">
        <v>0</v>
      </c>
      <c r="R6" s="32">
        <v>0</v>
      </c>
      <c r="S6" s="32">
        <v>176.04</v>
      </c>
      <c r="T6" s="33">
        <v>0</v>
      </c>
      <c r="U6" s="33">
        <v>0</v>
      </c>
      <c r="V6" s="34">
        <v>91369.8</v>
      </c>
      <c r="W6" s="34">
        <v>0</v>
      </c>
      <c r="X6" s="34">
        <v>199.75700000000001</v>
      </c>
      <c r="Y6" s="34">
        <v>99.05</v>
      </c>
      <c r="Z6" s="34">
        <v>111813.67</v>
      </c>
      <c r="AA6" s="34">
        <v>0</v>
      </c>
      <c r="AB6" s="34">
        <v>0</v>
      </c>
      <c r="AC6" s="25">
        <v>205.13</v>
      </c>
      <c r="AD6" s="34">
        <v>0</v>
      </c>
      <c r="AE6" s="34">
        <v>0</v>
      </c>
      <c r="AF6" s="166">
        <v>0</v>
      </c>
      <c r="AG6" s="166">
        <v>0</v>
      </c>
      <c r="AH6" s="166">
        <v>0</v>
      </c>
      <c r="AI6" s="166">
        <v>0</v>
      </c>
      <c r="AJ6" s="167">
        <v>35030.800000000003</v>
      </c>
      <c r="AK6" s="166"/>
      <c r="AL6" s="166">
        <v>190.3</v>
      </c>
      <c r="AM6" s="169">
        <v>0</v>
      </c>
      <c r="AN6" s="169">
        <v>0</v>
      </c>
      <c r="AO6" s="176">
        <v>0</v>
      </c>
      <c r="AP6" s="176">
        <v>0</v>
      </c>
      <c r="AQ6" s="176">
        <v>0</v>
      </c>
      <c r="AR6" s="176">
        <v>0</v>
      </c>
      <c r="AS6" s="176">
        <v>0</v>
      </c>
      <c r="AT6" s="176">
        <v>0</v>
      </c>
      <c r="AU6" s="176">
        <v>0</v>
      </c>
      <c r="AV6" s="171">
        <v>0</v>
      </c>
      <c r="AW6" s="171">
        <v>0</v>
      </c>
      <c r="AX6" s="171">
        <v>0</v>
      </c>
      <c r="AY6" s="171">
        <v>0</v>
      </c>
      <c r="AZ6" s="173">
        <v>36012</v>
      </c>
      <c r="BA6" s="171">
        <v>0</v>
      </c>
      <c r="BB6" s="171"/>
      <c r="BC6" s="171">
        <v>174.3</v>
      </c>
      <c r="BD6" s="171">
        <v>0</v>
      </c>
      <c r="BE6" s="172">
        <v>0</v>
      </c>
      <c r="BF6" s="38">
        <v>0.67410000000000003</v>
      </c>
      <c r="BG6" s="38">
        <v>0.65890000000000004</v>
      </c>
      <c r="BH6" s="38">
        <v>0.61480000000000001</v>
      </c>
      <c r="BI6" s="38">
        <v>0.60660000000000003</v>
      </c>
      <c r="BJ6" s="38">
        <v>0.7944</v>
      </c>
      <c r="BK6" s="38">
        <v>0.79339999999999999</v>
      </c>
      <c r="BL6" s="29">
        <f t="shared" si="0"/>
        <v>0.15</v>
      </c>
      <c r="BM6" s="29">
        <f>Table1[[#This Row],[Mid_ZAR/kWh]]*Table1[[#This Row],[Mid_(kWh)2]]*(1+0.15)</f>
        <v>25532.947919429997</v>
      </c>
      <c r="BN6" s="29">
        <f>Table1[[#This Row],[HIG_ZAR/kWh]]*Table1[[#This Row],[Hig_Energy_produced_(kWh)2]]*(1+0.15)</f>
        <v>0</v>
      </c>
      <c r="BO6" s="29">
        <f>Table1[[#This Row],[VER_ZAR/kWh]]*Table1[[#This Row],[Verg_Energy_(kWh)]]*(1+0.15)</f>
        <v>68543.04372799999</v>
      </c>
      <c r="BP6" s="29">
        <f>Table1[[#This Row],[DUR_ZAR/kWh]]*Table1[[#This Row],[Dur_Energy_produced_(kWh)]]*(1+0.15)</f>
        <v>63738.658781999999</v>
      </c>
      <c r="BQ6" s="29">
        <f>Table1[[#This Row],[HER_ZAR/kWh2]]*Table1[[#This Row],[Her_Energy_produced_(kWh)]]*(1+0.15)</f>
        <v>0</v>
      </c>
      <c r="BR6" s="29">
        <f>Table1[[#This Row],[TZA ZAR/kWh]]*Table1[[#This Row],[TZA_Energy_produced_(kWh)]]*(1+0.15)</f>
        <v>0</v>
      </c>
      <c r="BS6" s="16">
        <f>Table1[[#This Row],[Mid_ZAR/kWh]]*Table1[[#This Row],[Mid_P50_(kWh)]]*(1+0.15)</f>
        <v>24412.039744049998</v>
      </c>
      <c r="BT6" s="16">
        <f>Table1[[#This Row],[HIG_ZAR/kWh]]*Table1[[#This Row],[Hig_P50_(kWh)]]*(1+0.15)</f>
        <v>27287.552820000001</v>
      </c>
      <c r="BU6" s="16">
        <f>Table1[[#This Row],[VER_ZAR/kWh]]*Table1[[#This Row],[Verg_P50_(kWh)]]*(1+0.15)</f>
        <v>76761.995683599991</v>
      </c>
      <c r="BV6" s="16">
        <f>Table1[[#This Row],[DUR_ZAR/kWh]]*Table1[[#This Row],[Dur_P50_(kWh)]]*(1+0.15)</f>
        <v>78000.098055299997</v>
      </c>
      <c r="BW6" s="16">
        <f>Table1[[#This Row],[HER_ZAR/kWh2]]*Table1[[#This Row],[Her_P50_(kWh)]]*(1+0.15)</f>
        <v>32002.737647999998</v>
      </c>
      <c r="BX6" s="15">
        <f>Table1[[#This Row],[TZA ZAR/kWh]]*Table1[[#This Row],[TZA_P50_(kWh)]]*(1+0.15)</f>
        <v>0</v>
      </c>
      <c r="BY6" s="16"/>
      <c r="BZ6" s="31">
        <v>95</v>
      </c>
      <c r="CA6" s="31">
        <f>IFERROR(Table1[[#This Row],[Verg_P50_(kWh)]]*(Table1[[#This Row],[Verg_Irradiated_(kWh/m²)]]/Table1[[#This Row],[Verg_estimatedPOA]]),0)</f>
        <v>106375.87577353649</v>
      </c>
      <c r="CB6" s="31">
        <v>0</v>
      </c>
      <c r="CC6" s="31">
        <f>IFERROR(Table1[[#This Row],[Verg_P50_(kWh)]]*(Table1[[#This Row],[Verg_Irradiated_(kWh/m²)]]/Table1[[#This Row],[Verg_estimatedPOA]]),0)</f>
        <v>106375.87577353649</v>
      </c>
      <c r="CD6" s="33">
        <v>95</v>
      </c>
      <c r="CE6" s="33">
        <v>95</v>
      </c>
      <c r="CF6" s="110">
        <f>IFERROR(Table1[[#This Row],[Mid_P50_(kWh)]]*(Table1[[#This Row],[Mid_Irradiated_(kWh/m²)]]/Table1[[#This Row],[Mid_estimatedPOA]]),0)</f>
        <v>32927.10535616905</v>
      </c>
      <c r="CG6" s="35">
        <v>95</v>
      </c>
      <c r="CH6" s="111">
        <f>IFERROR(Table1[[#This Row],[Dur_P50_(kWh)]]*(Table1[[#This Row],[Dur_Energy_Irradiated_(kWh/m²)]]/Table1[[#This Row],[Dur_estimatedPOA]]),0)</f>
        <v>108884.91823814168</v>
      </c>
      <c r="CI6" s="37">
        <v>95</v>
      </c>
      <c r="CJ6" s="14">
        <f>IFERROR(Table1[[#This Row],[Hig_P50_(kWh)]]*(Table1[[#This Row],[Hig_Energy_Irradiated_(kWh/m²)]]/Table1[[#This Row],[Hig_estimatedPOA]]),0)</f>
        <v>0</v>
      </c>
      <c r="CK6" s="14">
        <f>IFERROR(Table1[[#This Row],[Her_P50_(kWh)]]*(Table1[[#This Row],[Her_Energy_Irradiated_(kWh/m²)]]/Table1[[#This Row],[Her_estimatedPOA]]),0)</f>
        <v>0</v>
      </c>
      <c r="CL6" s="37">
        <f>IFERROR(Table1[[#This Row],[TZA_P50_(kWh)]]*(Table1[[#This Row],[TZA_Energy_Irradiated_(kWh/m²)]]/Table1[[#This Row],[TZA_estimatedPOA]]),0)</f>
        <v>0</v>
      </c>
      <c r="CM6" s="36">
        <v>95</v>
      </c>
    </row>
    <row r="7" spans="1:92" x14ac:dyDescent="0.25">
      <c r="A7" s="13">
        <v>44621</v>
      </c>
      <c r="B7" s="30">
        <v>94648.1</v>
      </c>
      <c r="C7" s="30">
        <v>0</v>
      </c>
      <c r="D7" s="30">
        <v>172.58600000000001</v>
      </c>
      <c r="E7" s="30">
        <v>100</v>
      </c>
      <c r="F7" s="30">
        <v>100729.11</v>
      </c>
      <c r="G7" s="30"/>
      <c r="H7" s="30"/>
      <c r="I7" s="30">
        <v>186.17</v>
      </c>
      <c r="J7" s="31">
        <v>0</v>
      </c>
      <c r="K7" s="31">
        <v>0</v>
      </c>
      <c r="L7" s="32">
        <v>29032.3</v>
      </c>
      <c r="M7" s="32">
        <v>0</v>
      </c>
      <c r="N7" s="32">
        <v>157.10400000000001</v>
      </c>
      <c r="O7" s="32">
        <v>100</v>
      </c>
      <c r="P7" s="32">
        <v>32436.400000000001</v>
      </c>
      <c r="Q7" s="32">
        <v>0</v>
      </c>
      <c r="R7" s="32">
        <v>0</v>
      </c>
      <c r="S7" s="32">
        <v>177.10499999999999</v>
      </c>
      <c r="T7" s="33">
        <v>0</v>
      </c>
      <c r="U7" s="33">
        <v>0</v>
      </c>
      <c r="V7" s="34">
        <v>89806.300000000017</v>
      </c>
      <c r="W7" s="34">
        <v>0</v>
      </c>
      <c r="X7" s="34">
        <v>179.99600000000001</v>
      </c>
      <c r="Y7" s="34">
        <v>100</v>
      </c>
      <c r="Z7" s="34">
        <v>111969.25</v>
      </c>
      <c r="AA7" s="34">
        <v>0</v>
      </c>
      <c r="AB7" s="34">
        <v>0</v>
      </c>
      <c r="AC7" s="34">
        <v>189.04</v>
      </c>
      <c r="AD7" s="34">
        <v>0</v>
      </c>
      <c r="AE7" s="34">
        <v>0</v>
      </c>
      <c r="AF7" s="166">
        <v>17949.203000000001</v>
      </c>
      <c r="AG7" s="166">
        <v>0</v>
      </c>
      <c r="AH7" s="166">
        <v>0</v>
      </c>
      <c r="AI7" s="166">
        <v>100</v>
      </c>
      <c r="AJ7" s="166">
        <v>33133.5</v>
      </c>
      <c r="AK7" s="166"/>
      <c r="AL7" s="166">
        <v>174.6</v>
      </c>
      <c r="AM7" s="169">
        <v>0</v>
      </c>
      <c r="AN7" s="169">
        <v>0</v>
      </c>
      <c r="AO7" s="176">
        <v>0</v>
      </c>
      <c r="AP7" s="176">
        <v>0</v>
      </c>
      <c r="AQ7" s="176">
        <v>0</v>
      </c>
      <c r="AR7" s="176">
        <v>0</v>
      </c>
      <c r="AS7" s="176">
        <v>0</v>
      </c>
      <c r="AT7" s="176">
        <v>0</v>
      </c>
      <c r="AU7" s="176">
        <v>0</v>
      </c>
      <c r="AV7" s="171">
        <v>0</v>
      </c>
      <c r="AW7" s="171">
        <v>0</v>
      </c>
      <c r="AX7" s="171">
        <v>0</v>
      </c>
      <c r="AY7" s="171">
        <v>0</v>
      </c>
      <c r="AZ7" s="171">
        <v>38134</v>
      </c>
      <c r="BA7" s="171">
        <v>0</v>
      </c>
      <c r="BB7" s="171"/>
      <c r="BC7" s="173">
        <v>175.9</v>
      </c>
      <c r="BD7" s="171">
        <v>0</v>
      </c>
      <c r="BE7" s="172">
        <v>0</v>
      </c>
      <c r="BF7" s="38">
        <v>0.67410000000000003</v>
      </c>
      <c r="BG7" s="38">
        <v>0.65890000000000004</v>
      </c>
      <c r="BH7" s="38">
        <v>0.61480000000000001</v>
      </c>
      <c r="BI7" s="38">
        <v>0.60660000000000003</v>
      </c>
      <c r="BJ7" s="38">
        <v>0.7944</v>
      </c>
      <c r="BK7" s="38">
        <v>0.79339999999999999</v>
      </c>
      <c r="BL7" s="29">
        <f t="shared" si="0"/>
        <v>0.15</v>
      </c>
      <c r="BM7" s="29">
        <f>Table1[[#This Row],[Mid_ZAR/kWh]]*Table1[[#This Row],[Mid_(kWh)2]]*(1+0.15)</f>
        <v>22506.274444499995</v>
      </c>
      <c r="BN7" s="29">
        <f>Table1[[#This Row],[HIG_ZAR/kWh]]*Table1[[#This Row],[Hig_Energy_produced_(kWh)2]]*(1+0.15)</f>
        <v>0</v>
      </c>
      <c r="BO7" s="29">
        <f>Table1[[#This Row],[VER_ZAR/kWh]]*Table1[[#This Row],[Verg_Energy_(kWh)]]*(1+0.15)</f>
        <v>66918.099661999993</v>
      </c>
      <c r="BP7" s="29">
        <f>Table1[[#This Row],[DUR_ZAR/kWh]]*Table1[[#This Row],[Dur_Energy_produced_(kWh)]]*(1+0.15)</f>
        <v>62647.97681700001</v>
      </c>
      <c r="BQ7" s="29">
        <f>Table1[[#This Row],[HER_ZAR/kWh2]]*Table1[[#This Row],[Her_Energy_produced_(kWh)]]*(1+0.15)</f>
        <v>16397.673892679999</v>
      </c>
      <c r="BR7" s="29">
        <f>Table1[[#This Row],[TZA ZAR/kWh]]*Table1[[#This Row],[TZA_Energy_produced_(kWh)]]*(1+0.15)</f>
        <v>0</v>
      </c>
      <c r="BS7" s="16">
        <f>Table1[[#This Row],[Mid_ZAR/kWh]]*Table1[[#This Row],[Mid_P50_(kWh)]]*(1+0.15)</f>
        <v>25145.183826</v>
      </c>
      <c r="BT7" s="16">
        <f>Table1[[#This Row],[HIG_ZAR/kWh]]*Table1[[#This Row],[Hig_P50_(kWh)]]*(1+0.15)</f>
        <v>28895.466489999999</v>
      </c>
      <c r="BU7" s="16">
        <f>Table1[[#This Row],[VER_ZAR/kWh]]*Table1[[#This Row],[Verg_P50_(kWh)]]*(1+0.15)</f>
        <v>71217.4953522</v>
      </c>
      <c r="BV7" s="16">
        <f>Table1[[#This Row],[DUR_ZAR/kWh]]*Table1[[#This Row],[Dur_P50_(kWh)]]*(1+0.15)</f>
        <v>78108.629107500004</v>
      </c>
      <c r="BW7" s="16">
        <f>Table1[[#This Row],[HER_ZAR/kWh2]]*Table1[[#This Row],[Her_P50_(kWh)]]*(1+0.15)</f>
        <v>30269.440259999999</v>
      </c>
      <c r="BX7" s="15">
        <f>Table1[[#This Row],[TZA ZAR/kWh]]*Table1[[#This Row],[TZA_P50_(kWh)]]*(1+0.15)</f>
        <v>0</v>
      </c>
      <c r="BY7" s="16"/>
      <c r="BZ7" s="31">
        <v>95</v>
      </c>
      <c r="CA7" s="31">
        <f>IFERROR(Table1[[#This Row],[Verg_P50_(kWh)]]*(Table1[[#This Row],[Verg_Irradiated_(kWh/m²)]]/Table1[[#This Row],[Verg_estimatedPOA]]),0)</f>
        <v>93379.353163560198</v>
      </c>
      <c r="CB7" s="31">
        <v>0</v>
      </c>
      <c r="CC7" s="31">
        <f>IFERROR(Table1[[#This Row],[Verg_P50_(kWh)]]*(Table1[[#This Row],[Verg_Irradiated_(kWh/m²)]]/Table1[[#This Row],[Verg_estimatedPOA]]),0)</f>
        <v>93379.353163560198</v>
      </c>
      <c r="CD7" s="33">
        <v>95</v>
      </c>
      <c r="CE7" s="33">
        <v>95</v>
      </c>
      <c r="CF7" s="110">
        <f>IFERROR(Table1[[#This Row],[Mid_P50_(kWh)]]*(Table1[[#This Row],[Mid_Irradiated_(kWh/m²)]]/Table1[[#This Row],[Mid_estimatedPOA]]),0)</f>
        <v>28773.259849241982</v>
      </c>
      <c r="CG7" s="35">
        <v>95</v>
      </c>
      <c r="CH7" s="111">
        <f>IFERROR(Table1[[#This Row],[Dur_P50_(kWh)]]*(Table1[[#This Row],[Dur_Energy_Irradiated_(kWh/m²)]]/Table1[[#This Row],[Dur_estimatedPOA]]),0)</f>
        <v>106612.44775179858</v>
      </c>
      <c r="CI7" s="37">
        <v>95</v>
      </c>
      <c r="CJ7" s="14">
        <f>IFERROR(Table1[[#This Row],[Hig_P50_(kWh)]]*(Table1[[#This Row],[Hig_Energy_Irradiated_(kWh/m²)]]/Table1[[#This Row],[Hig_estimatedPOA]]),0)</f>
        <v>0</v>
      </c>
      <c r="CK7" s="14">
        <f>IFERROR(Table1[[#This Row],[Her_P50_(kWh)]]*(Table1[[#This Row],[Her_Energy_Irradiated_(kWh/m²)]]/Table1[[#This Row],[Her_estimatedPOA]]),0)</f>
        <v>0</v>
      </c>
      <c r="CL7" s="37">
        <f>IFERROR(Table1[[#This Row],[TZA_P50_(kWh)]]*(Table1[[#This Row],[TZA_Energy_Irradiated_(kWh/m²)]]/Table1[[#This Row],[TZA_estimatedPOA]]),0)</f>
        <v>0</v>
      </c>
      <c r="CM7" s="36">
        <v>95</v>
      </c>
    </row>
    <row r="8" spans="1:92" x14ac:dyDescent="0.25">
      <c r="A8" s="13">
        <v>44653</v>
      </c>
      <c r="B8" s="30">
        <v>70139.100000000006</v>
      </c>
      <c r="C8" s="30">
        <v>73.310868708241003</v>
      </c>
      <c r="D8" s="30">
        <v>131.821</v>
      </c>
      <c r="E8" s="30">
        <v>96.83</v>
      </c>
      <c r="F8" s="30">
        <v>70910.55</v>
      </c>
      <c r="G8" s="30">
        <v>4</v>
      </c>
      <c r="H8" s="30">
        <v>127.1</v>
      </c>
      <c r="I8" s="30">
        <v>127.78</v>
      </c>
      <c r="J8" s="31">
        <v>0.80030000000000001</v>
      </c>
      <c r="K8" s="31">
        <f>J8*(1-(G8/30))</f>
        <v>0.69359333333333339</v>
      </c>
      <c r="L8" s="32">
        <v>23635.79700000002</v>
      </c>
      <c r="M8" s="32">
        <v>81.264061325699004</v>
      </c>
      <c r="N8" s="32">
        <v>126.55500000000001</v>
      </c>
      <c r="O8" s="32">
        <v>96.69</v>
      </c>
      <c r="P8" s="32">
        <v>27151.55</v>
      </c>
      <c r="Q8" s="32">
        <v>2</v>
      </c>
      <c r="R8" s="32">
        <v>149.1</v>
      </c>
      <c r="S8" s="32">
        <v>143.78</v>
      </c>
      <c r="T8" s="33">
        <v>0.79900000000000004</v>
      </c>
      <c r="U8" s="32">
        <f>Table1[[#This Row],[Column22]]*(1-(Table1[[#This Row],[Unavailable days]]/30))</f>
        <v>0.74573333333333336</v>
      </c>
      <c r="V8" s="34">
        <v>70141.499999999971</v>
      </c>
      <c r="W8" s="34">
        <v>59.891782911532999</v>
      </c>
      <c r="X8" s="34">
        <v>137.03899999999999</v>
      </c>
      <c r="Y8" s="34">
        <v>96.77</v>
      </c>
      <c r="Z8" s="34">
        <v>85867.72</v>
      </c>
      <c r="AA8" s="34">
        <v>6</v>
      </c>
      <c r="AB8" s="34">
        <v>156.9</v>
      </c>
      <c r="AC8" s="34">
        <v>129.91</v>
      </c>
      <c r="AD8" s="34">
        <v>0.77669999999999995</v>
      </c>
      <c r="AE8" s="35">
        <f>Table1[[#This Row],[Column8]]*(1-(Table1[[#This Row],[unavailability days3]]/30))</f>
        <v>0.62136000000000002</v>
      </c>
      <c r="AF8" s="166">
        <v>21947</v>
      </c>
      <c r="AG8" s="166">
        <v>78.077173129494994</v>
      </c>
      <c r="AH8" s="166">
        <v>125.57036794905</v>
      </c>
      <c r="AI8" s="166">
        <v>93.46</v>
      </c>
      <c r="AJ8" s="166">
        <v>24642.9</v>
      </c>
      <c r="AK8" s="166">
        <v>135.30000000000001</v>
      </c>
      <c r="AL8" s="166">
        <f>123</f>
        <v>123</v>
      </c>
      <c r="AM8" s="169">
        <v>0.86029999999999995</v>
      </c>
      <c r="AN8" s="169">
        <f>Table1[[#This Row],[Column9]]*(1-(2/30))</f>
        <v>0.80294666666666659</v>
      </c>
      <c r="AO8" s="176">
        <v>0</v>
      </c>
      <c r="AP8" s="176">
        <v>0</v>
      </c>
      <c r="AQ8" s="176">
        <v>0</v>
      </c>
      <c r="AR8" s="176">
        <v>0</v>
      </c>
      <c r="AS8" s="176">
        <v>0</v>
      </c>
      <c r="AT8" s="176">
        <v>0</v>
      </c>
      <c r="AU8" s="176">
        <v>0</v>
      </c>
      <c r="AV8" s="171">
        <v>21643.97</v>
      </c>
      <c r="AW8" s="171">
        <v>69.850753753484994</v>
      </c>
      <c r="AX8" s="194">
        <v>140.90100000000001</v>
      </c>
      <c r="AY8" s="171">
        <v>95</v>
      </c>
      <c r="AZ8" s="171">
        <v>32456.1</v>
      </c>
      <c r="BA8" s="171">
        <v>19</v>
      </c>
      <c r="BB8" s="171">
        <v>156.19999999999999</v>
      </c>
      <c r="BC8" s="171">
        <v>140.9</v>
      </c>
      <c r="BD8" s="171">
        <v>0.78979999999999995</v>
      </c>
      <c r="BE8" s="172">
        <f>Table1[[#This Row],[Column10]]*(1-(Table1[[#This Row],[Unavailability days2]]/30))</f>
        <v>0.28959333333333331</v>
      </c>
      <c r="BF8" s="38">
        <v>0.67410000000000003</v>
      </c>
      <c r="BG8" s="38">
        <v>0.65890000000000004</v>
      </c>
      <c r="BH8" s="38">
        <v>0.61480000000000001</v>
      </c>
      <c r="BI8" s="38">
        <v>0.60660000000000003</v>
      </c>
      <c r="BJ8" s="38">
        <v>0.7944</v>
      </c>
      <c r="BK8" s="38">
        <v>0.79339999999999999</v>
      </c>
      <c r="BL8" s="29">
        <f t="shared" si="0"/>
        <v>0.15</v>
      </c>
      <c r="BM8" s="29">
        <f>Table1[[#This Row],[Mid_ZAR/kWh]]*Table1[[#This Row],[Mid_(kWh)2]]*(1+0.15)</f>
        <v>18322.824371355015</v>
      </c>
      <c r="BN8" s="29">
        <f>Table1[[#This Row],[HIG_ZAR/kWh]]*Table1[[#This Row],[Hig_Energy_produced_(kWh)2]]*(1+0.15)</f>
        <v>16400.393607950002</v>
      </c>
      <c r="BO8" s="29">
        <f>Table1[[#This Row],[VER_ZAR/kWh]]*Table1[[#This Row],[Verg_Energy_(kWh)]]*(1+0.15)</f>
        <v>49589.746481999995</v>
      </c>
      <c r="BP8" s="29">
        <f>Table1[[#This Row],[DUR_ZAR/kWh]]*Table1[[#This Row],[Dur_Energy_produced_(kWh)]]*(1+0.15)</f>
        <v>48930.008984999979</v>
      </c>
      <c r="BQ8" s="29">
        <f>Table1[[#This Row],[HER_ZAR/kWh2]]*Table1[[#This Row],[Her_Energy_produced_(kWh)]]*(1+0.15)</f>
        <v>20049.901320000001</v>
      </c>
      <c r="BR8" s="29">
        <f>Table1[[#This Row],[TZA ZAR/kWh]]*Table1[[#This Row],[TZA_Energy_produced_(kWh)]]*(1+0.15)</f>
        <v>0</v>
      </c>
      <c r="BS8" s="16">
        <f>Table1[[#This Row],[Mid_ZAR/kWh]]*Table1[[#This Row],[Mid_P50_(kWh)]]*(1+0.15)</f>
        <v>21048.288833249997</v>
      </c>
      <c r="BT8" s="16">
        <f>Table1[[#This Row],[HIG_ZAR/kWh]]*Table1[[#This Row],[Hig_P50_(kWh)]]*(1+0.15)</f>
        <v>24593.122933499999</v>
      </c>
      <c r="BU8" s="16">
        <f>Table1[[#This Row],[VER_ZAR/kWh]]*Table1[[#This Row],[Verg_P50_(kWh)]]*(1+0.15)</f>
        <v>50135.177060999995</v>
      </c>
      <c r="BV8" s="16">
        <f>Table1[[#This Row],[DUR_ZAR/kWh]]*Table1[[#This Row],[Dur_P50_(kWh)]]*(1+0.15)</f>
        <v>59900.462794799998</v>
      </c>
      <c r="BW8" s="16">
        <f>Table1[[#This Row],[HER_ZAR/kWh2]]*Table1[[#This Row],[Her_P50_(kWh)]]*(1+0.15)</f>
        <v>22512.767724000001</v>
      </c>
      <c r="BX8" s="15">
        <f>Table1[[#This Row],[TZA ZAR/kWh]]*Table1[[#This Row],[TZA_P50_(kWh)]]*(1+0.15)</f>
        <v>0</v>
      </c>
      <c r="BY8" s="16"/>
      <c r="BZ8" s="31">
        <v>95</v>
      </c>
      <c r="CA8" s="31">
        <f>IFERROR(Table1[[#This Row],[Verg_P50_(kWh)]]*(Table1[[#This Row],[Verg_Irradiated_(kWh/m²)]]/Table1[[#This Row],[Verg_estimatedPOA]]),0)</f>
        <v>73153.072558694636</v>
      </c>
      <c r="CB8" s="31">
        <f>(Table1[[#This Row],[Verg_Energy_(kWh)]]*100)/Table1[[#This Row],[Verg_PR_(%)]]</f>
        <v>95673.535501449529</v>
      </c>
      <c r="CC8" s="31">
        <f>IFERROR(Table1[[#This Row],[Verg_P50_(kWh)]]*(Table1[[#This Row],[Verg_Irradiated_(kWh/m²)]]/Table1[[#This Row],[Verg_estimatedPOA]]),0)</f>
        <v>73153.072558694636</v>
      </c>
      <c r="CD8" s="33">
        <v>95</v>
      </c>
      <c r="CE8" s="33">
        <v>95</v>
      </c>
      <c r="CF8" s="110">
        <f>IFERROR(Table1[[#This Row],[Mid_P50_(kWh)]]*(Table1[[#This Row],[Mid_Irradiated_(kWh/m²)]]/Table1[[#This Row],[Mid_estimatedPOA]]),0)</f>
        <v>23898.764850813746</v>
      </c>
      <c r="CG8" s="35">
        <v>95</v>
      </c>
      <c r="CH8" s="111">
        <f>IFERROR(Table1[[#This Row],[Dur_P50_(kWh)]]*(Table1[[#This Row],[Dur_Energy_Irradiated_(kWh/m²)]]/Table1[[#This Row],[Dur_estimatedPOA]]),0)</f>
        <v>90579.835894696327</v>
      </c>
      <c r="CI8" s="37">
        <v>95</v>
      </c>
      <c r="CJ8" s="14">
        <f>IFERROR(Table1[[#This Row],[Hig_P50_(kWh)]]*(Table1[[#This Row],[Hig_Energy_Irradiated_(kWh/m²)]]/Table1[[#This Row],[Hig_estimatedPOA]]),0)</f>
        <v>32456.330348474097</v>
      </c>
      <c r="CK8" s="14">
        <f>IFERROR(Table1[[#This Row],[Her_P50_(kWh)]]*(Table1[[#This Row],[Her_Energy_Irradiated_(kWh/m²)]]/Table1[[#This Row],[Her_estimatedPOA]]),0)</f>
        <v>25157.87008399711</v>
      </c>
      <c r="CL8" s="37">
        <f>IFERROR(Table1[[#This Row],[TZA_P50_(kWh)]]*(Table1[[#This Row],[TZA_Energy_Irradiated_(kWh/m²)]]/Table1[[#This Row],[TZA_estimatedPOA]]),0)</f>
        <v>0</v>
      </c>
      <c r="CM8" s="36">
        <v>95</v>
      </c>
    </row>
    <row r="9" spans="1:92" x14ac:dyDescent="0.25">
      <c r="A9" s="13">
        <v>44684</v>
      </c>
      <c r="B9" s="30">
        <v>52487.9</v>
      </c>
      <c r="C9" s="30">
        <v>77.960921698397001</v>
      </c>
      <c r="D9" s="30">
        <v>91.91</v>
      </c>
      <c r="E9" s="30">
        <v>99.26</v>
      </c>
      <c r="F9" s="30">
        <v>51576.41</v>
      </c>
      <c r="G9" s="30">
        <v>0</v>
      </c>
      <c r="H9" s="30">
        <v>90.9</v>
      </c>
      <c r="I9" s="30">
        <v>91.23</v>
      </c>
      <c r="J9" s="31">
        <v>0.81389999999999996</v>
      </c>
      <c r="K9" s="31">
        <f>J9*(1-(G9/31))</f>
        <v>0.81389999999999996</v>
      </c>
      <c r="L9" s="32">
        <v>23406.5</v>
      </c>
      <c r="M9" s="32">
        <v>74.747980931914995</v>
      </c>
      <c r="N9" s="32">
        <v>130.631</v>
      </c>
      <c r="O9" s="32">
        <v>95.94</v>
      </c>
      <c r="P9" s="32">
        <v>26286.34</v>
      </c>
      <c r="Q9" s="32">
        <v>3</v>
      </c>
      <c r="R9" s="32">
        <v>141.69999999999999</v>
      </c>
      <c r="S9" s="32">
        <v>133.62</v>
      </c>
      <c r="T9" s="33">
        <v>0.81399999999999995</v>
      </c>
      <c r="U9" s="32">
        <f>Table1[[#This Row],[Column22]]*(1-(Table1[[#This Row],[Unavailable days]]/31))</f>
        <v>0.73522580645161284</v>
      </c>
      <c r="V9" s="34">
        <v>60420.899999999994</v>
      </c>
      <c r="W9" s="34">
        <v>71.884365014154994</v>
      </c>
      <c r="X9" s="34">
        <v>92.722999999999999</v>
      </c>
      <c r="Y9" s="34">
        <v>90.56</v>
      </c>
      <c r="Z9" s="34">
        <v>68401.09</v>
      </c>
      <c r="AA9" s="34">
        <v>1</v>
      </c>
      <c r="AB9" s="34">
        <v>122.1</v>
      </c>
      <c r="AC9" s="34">
        <v>93.5</v>
      </c>
      <c r="AD9" s="34">
        <v>0.79510000000000003</v>
      </c>
      <c r="AE9" s="35">
        <f>Table1[[#This Row],[Column8]]*(1-(Table1[[#This Row],[unavailability days3]]/31))</f>
        <v>0.76945161290322583</v>
      </c>
      <c r="AF9" s="166">
        <v>19453</v>
      </c>
      <c r="AG9" s="166">
        <v>81.527601748501993</v>
      </c>
      <c r="AH9" s="166">
        <v>111.22573763131</v>
      </c>
      <c r="AI9" s="166">
        <v>95.92</v>
      </c>
      <c r="AJ9" s="166">
        <v>18855.099999999999</v>
      </c>
      <c r="AK9" s="166"/>
      <c r="AL9" s="166">
        <v>90.7</v>
      </c>
      <c r="AM9" s="169"/>
      <c r="AN9" s="169">
        <v>0.86550000000000005</v>
      </c>
      <c r="AO9" s="176">
        <v>0</v>
      </c>
      <c r="AP9" s="176">
        <v>0</v>
      </c>
      <c r="AQ9" s="176">
        <v>0</v>
      </c>
      <c r="AR9" s="176">
        <v>0</v>
      </c>
      <c r="AS9" s="176">
        <v>0</v>
      </c>
      <c r="AT9" s="176">
        <v>0</v>
      </c>
      <c r="AU9" s="176">
        <v>0</v>
      </c>
      <c r="AV9" s="171">
        <v>28195.21</v>
      </c>
      <c r="AW9" s="171">
        <v>66.896162571583005</v>
      </c>
      <c r="AX9" s="171">
        <v>128.04249999999999</v>
      </c>
      <c r="AY9" s="171">
        <v>97.61</v>
      </c>
      <c r="AZ9" s="171">
        <v>32046.3</v>
      </c>
      <c r="BA9" s="171">
        <v>2</v>
      </c>
      <c r="BB9" s="171">
        <v>155.19999999999999</v>
      </c>
      <c r="BC9" s="171">
        <v>131.30000000000001</v>
      </c>
      <c r="BD9" s="171">
        <v>0.78510000000000002</v>
      </c>
      <c r="BE9" s="172">
        <f>Table1[[#This Row],[Column10]]*(1-(Table1[[#This Row],[Unavailability days2]]/31))</f>
        <v>0.73444838709677429</v>
      </c>
      <c r="BF9" s="38">
        <v>0.67410000000000003</v>
      </c>
      <c r="BG9" s="38">
        <v>0.65890000000000004</v>
      </c>
      <c r="BH9" s="38">
        <v>0.61480000000000001</v>
      </c>
      <c r="BI9" s="38">
        <v>0.60660000000000003</v>
      </c>
      <c r="BJ9" s="38">
        <v>0.7944</v>
      </c>
      <c r="BK9" s="38">
        <v>0.79339999999999999</v>
      </c>
      <c r="BL9" s="29">
        <f t="shared" si="0"/>
        <v>0.15</v>
      </c>
      <c r="BM9" s="29">
        <f>Table1[[#This Row],[Mid_ZAR/kWh]]*Table1[[#This Row],[Mid_(kWh)2]]*(1+0.15)</f>
        <v>18145.069897499998</v>
      </c>
      <c r="BN9" s="29">
        <f>Table1[[#This Row],[HIG_ZAR/kWh]]*Table1[[#This Row],[Hig_Energy_produced_(kWh)2]]*(1+0.15)</f>
        <v>21364.497449349998</v>
      </c>
      <c r="BO9" s="29">
        <f>Table1[[#This Row],[VER_ZAR/kWh]]*Table1[[#This Row],[Verg_Energy_(kWh)]]*(1+0.15)</f>
        <v>37109.995058</v>
      </c>
      <c r="BP9" s="29">
        <f>Table1[[#This Row],[DUR_ZAR/kWh]]*Table1[[#This Row],[Dur_Energy_produced_(kWh)]]*(1+0.15)</f>
        <v>42149.015630999995</v>
      </c>
      <c r="BQ9" s="29">
        <f>Table1[[#This Row],[HER_ZAR/kWh2]]*Table1[[#This Row],[Her_Energy_produced_(kWh)]]*(1+0.15)</f>
        <v>17771.482679999997</v>
      </c>
      <c r="BR9" s="29">
        <f>Table1[[#This Row],[TZA ZAR/kWh]]*Table1[[#This Row],[TZA_Energy_produced_(kWh)]]*(1+0.15)</f>
        <v>0</v>
      </c>
      <c r="BS9" s="16">
        <f>Table1[[#This Row],[Mid_ZAR/kWh]]*Table1[[#This Row],[Mid_P50_(kWh)]]*(1+0.15)</f>
        <v>20377.565063100003</v>
      </c>
      <c r="BT9" s="16">
        <f>Table1[[#This Row],[HIG_ZAR/kWh]]*Table1[[#This Row],[Hig_P50_(kWh)]]*(1+0.15)</f>
        <v>24282.6031305</v>
      </c>
      <c r="BU9" s="16">
        <f>Table1[[#This Row],[VER_ZAR/kWh]]*Table1[[#This Row],[Verg_P50_(kWh)]]*(1+0.15)</f>
        <v>36465.553398199998</v>
      </c>
      <c r="BV9" s="16">
        <f>Table1[[#This Row],[DUR_ZAR/kWh]]*Table1[[#This Row],[Dur_P50_(kWh)]]*(1+0.15)</f>
        <v>47715.916373100001</v>
      </c>
      <c r="BW9" s="16">
        <f>Table1[[#This Row],[HER_ZAR/kWh2]]*Table1[[#This Row],[Her_P50_(kWh)]]*(1+0.15)</f>
        <v>17225.265155999998</v>
      </c>
      <c r="BX9" s="15">
        <f>Table1[[#This Row],[TZA ZAR/kWh]]*Table1[[#This Row],[TZA_P50_(kWh)]]*(1+0.15)</f>
        <v>0</v>
      </c>
      <c r="BY9" s="16"/>
      <c r="BZ9" s="31">
        <v>95</v>
      </c>
      <c r="CA9" s="31">
        <f>IFERROR(Table1[[#This Row],[Verg_P50_(kWh)]]*(Table1[[#This Row],[Verg_Irradiated_(kWh/m²)]]/Table1[[#This Row],[Verg_estimatedPOA]]),0)</f>
        <v>51960.844493039571</v>
      </c>
      <c r="CB9" s="31">
        <f>(Table1[[#This Row],[Verg_Energy_(kWh)]]*100)/Table1[[#This Row],[Verg_PR_(%)]]</f>
        <v>67325.910028433165</v>
      </c>
      <c r="CC9" s="31">
        <f>IFERROR(Table1[[#This Row],[Verg_P50_(kWh)]]*(Table1[[#This Row],[Verg_Irradiated_(kWh/m²)]]/Table1[[#This Row],[Verg_estimatedPOA]]),0)</f>
        <v>51960.844493039571</v>
      </c>
      <c r="CD9" s="33">
        <v>95</v>
      </c>
      <c r="CE9" s="33">
        <v>95</v>
      </c>
      <c r="CF9" s="110">
        <f>IFERROR(Table1[[#This Row],[Mid_P50_(kWh)]]*(Table1[[#This Row],[Mid_Irradiated_(kWh/m²)]]/Table1[[#This Row],[Mid_estimatedPOA]]),0)</f>
        <v>25698.330194132614</v>
      </c>
      <c r="CG9" s="35">
        <v>95</v>
      </c>
      <c r="CH9" s="111">
        <f>IFERROR(Table1[[#This Row],[Dur_P50_(kWh)]]*(Table1[[#This Row],[Dur_Energy_Irradiated_(kWh/m²)]]/Table1[[#This Row],[Dur_estimatedPOA]]),0)</f>
        <v>67832.665968663103</v>
      </c>
      <c r="CI9" s="37">
        <v>95</v>
      </c>
      <c r="CJ9" s="14">
        <f>IFERROR(Table1[[#This Row],[Hig_P50_(kWh)]]*(Table1[[#This Row],[Hig_Energy_Irradiated_(kWh/m²)]]/Table1[[#This Row],[Hig_estimatedPOA]]),0)</f>
        <v>31251.244232673263</v>
      </c>
      <c r="CK9" s="14">
        <f>IFERROR(Table1[[#This Row],[Her_P50_(kWh)]]*(Table1[[#This Row],[Her_Energy_Irradiated_(kWh/m²)]]/Table1[[#This Row],[Her_estimatedPOA]]),0)</f>
        <v>23122.077239383827</v>
      </c>
      <c r="CL9" s="37">
        <f>IFERROR(Table1[[#This Row],[TZA_P50_(kWh)]]*(Table1[[#This Row],[TZA_Energy_Irradiated_(kWh/m²)]]/Table1[[#This Row],[TZA_estimatedPOA]]),0)</f>
        <v>0</v>
      </c>
      <c r="CM9" s="36">
        <v>95</v>
      </c>
    </row>
    <row r="10" spans="1:92" x14ac:dyDescent="0.25">
      <c r="A10" s="13">
        <v>44713</v>
      </c>
      <c r="B10" s="30">
        <v>39237.9</v>
      </c>
      <c r="C10" s="30">
        <v>68.443101900182995</v>
      </c>
      <c r="D10" s="162">
        <v>78.727999999999994</v>
      </c>
      <c r="E10" s="30">
        <v>92.02</v>
      </c>
      <c r="F10" s="30">
        <v>41981.69</v>
      </c>
      <c r="G10" s="30">
        <v>0</v>
      </c>
      <c r="H10" s="30">
        <v>73.400000000000006</v>
      </c>
      <c r="I10" s="30">
        <v>73.63</v>
      </c>
      <c r="J10" s="31">
        <v>0.82050000000000001</v>
      </c>
      <c r="K10" s="31">
        <f>J10*(1-(G10/30))</f>
        <v>0.82050000000000001</v>
      </c>
      <c r="L10" s="32">
        <v>21763.203000000001</v>
      </c>
      <c r="M10" s="32">
        <v>77.946520998601997</v>
      </c>
      <c r="N10" s="32">
        <v>123.378</v>
      </c>
      <c r="O10" s="32">
        <v>100</v>
      </c>
      <c r="P10" s="32">
        <v>23827.62</v>
      </c>
      <c r="Q10" s="32">
        <v>10</v>
      </c>
      <c r="R10" s="32">
        <v>127.2</v>
      </c>
      <c r="S10" s="32">
        <v>118.53</v>
      </c>
      <c r="T10" s="33">
        <v>0.82199999999999995</v>
      </c>
      <c r="U10" s="32">
        <f>Table1[[#This Row],[Column22]]*(1-(Table1[[#This Row],[Unavailable days]]/30))</f>
        <v>0.54800000000000004</v>
      </c>
      <c r="V10" s="34">
        <v>48239.9</v>
      </c>
      <c r="W10" s="34">
        <v>67.475031842031996</v>
      </c>
      <c r="X10" s="34">
        <v>81.441999999999993</v>
      </c>
      <c r="Y10" s="34">
        <v>95.26</v>
      </c>
      <c r="Z10" s="34">
        <v>58421.74</v>
      </c>
      <c r="AA10" s="34">
        <v>0</v>
      </c>
      <c r="AB10" s="34">
        <v>103.1</v>
      </c>
      <c r="AC10" s="34">
        <v>75.8</v>
      </c>
      <c r="AD10" s="34">
        <v>0.80420000000000003</v>
      </c>
      <c r="AE10" s="35">
        <f>Table1[[#This Row],[Column8]]*(1-(Table1[[#This Row],[unavailability days3]]/30))</f>
        <v>0.80420000000000003</v>
      </c>
      <c r="AF10" s="166">
        <v>15026.093999999999</v>
      </c>
      <c r="AG10" s="166">
        <v>78.950729289001998</v>
      </c>
      <c r="AH10" s="166">
        <v>89.875620191997001</v>
      </c>
      <c r="AI10" s="166">
        <v>91.82</v>
      </c>
      <c r="AJ10" s="166">
        <v>15568.7</v>
      </c>
      <c r="AK10" s="166"/>
      <c r="AL10" s="166">
        <v>73.7</v>
      </c>
      <c r="AM10" s="169"/>
      <c r="AN10" s="169">
        <v>0.86619999999999997</v>
      </c>
      <c r="AO10" s="176">
        <v>0</v>
      </c>
      <c r="AP10" s="176">
        <v>0</v>
      </c>
      <c r="AQ10" s="176">
        <v>0</v>
      </c>
      <c r="AR10" s="176">
        <v>0</v>
      </c>
      <c r="AS10" s="176">
        <v>0</v>
      </c>
      <c r="AT10" s="176">
        <v>0</v>
      </c>
      <c r="AU10" s="176">
        <v>0</v>
      </c>
      <c r="AV10" s="171">
        <v>17909.61</v>
      </c>
      <c r="AW10" s="171">
        <v>61.823425827020998</v>
      </c>
      <c r="AX10" s="171">
        <v>123.858</v>
      </c>
      <c r="AY10" s="171">
        <v>94.65</v>
      </c>
      <c r="AZ10" s="171">
        <v>29236.3</v>
      </c>
      <c r="BA10" s="171">
        <v>25</v>
      </c>
      <c r="BB10" s="171">
        <v>141.30000000000001</v>
      </c>
      <c r="BC10" s="171">
        <v>115.6</v>
      </c>
      <c r="BD10" s="171">
        <v>0.78690000000000004</v>
      </c>
      <c r="BE10" s="172">
        <f>Table1[[#This Row],[Column10]]*(1-(Table1[[#This Row],[Unavailability days2]]/30))</f>
        <v>0.13114999999999999</v>
      </c>
      <c r="BF10" s="38">
        <v>0.67410000000000003</v>
      </c>
      <c r="BG10" s="38">
        <v>0.65890000000000004</v>
      </c>
      <c r="BH10" s="38">
        <v>0.61480000000000001</v>
      </c>
      <c r="BI10" s="38">
        <v>0.60660000000000003</v>
      </c>
      <c r="BJ10" s="38">
        <v>0.7944</v>
      </c>
      <c r="BK10" s="38">
        <v>0.79339999999999999</v>
      </c>
      <c r="BL10" s="38">
        <f t="shared" si="0"/>
        <v>0.15</v>
      </c>
      <c r="BM10" s="38">
        <f>Table1[[#This Row],[Mid_ZAR/kWh]]*Table1[[#This Row],[Mid_(kWh)2]]*(1+0.15)</f>
        <v>16871.161413645001</v>
      </c>
      <c r="BN10" s="29">
        <f>Table1[[#This Row],[HIG_ZAR/kWh]]*Table1[[#This Row],[Hig_Energy_produced_(kWh)2]]*(1+0.15)</f>
        <v>13570.73833335</v>
      </c>
      <c r="BO10" s="38">
        <f>Table1[[#This Row],[VER_ZAR/kWh]]*Table1[[#This Row],[Verg_Energy_(kWh)]]*(1+0.15)</f>
        <v>27741.980058000001</v>
      </c>
      <c r="BP10" s="29">
        <f>Table1[[#This Row],[DUR_ZAR/kWh]]*Table1[[#This Row],[Dur_Energy_produced_(kWh)]]*(1+0.15)</f>
        <v>33651.671841000003</v>
      </c>
      <c r="BQ10" s="38">
        <f>Table1[[#This Row],[HER_ZAR/kWh2]]*Table1[[#This Row],[Her_Energy_produced_(kWh)]]*(1+0.15)</f>
        <v>13727.238434639998</v>
      </c>
      <c r="BR10" s="38">
        <f>Table1[[#This Row],[TZA ZAR/kWh]]*Table1[[#This Row],[TZA_Energy_produced_(kWh)]]*(1+0.15)</f>
        <v>0</v>
      </c>
      <c r="BS10" s="15">
        <f>Table1[[#This Row],[Mid_ZAR/kWh]]*Table1[[#This Row],[Mid_P50_(kWh)]]*(1+0.15)</f>
        <v>18471.528438299996</v>
      </c>
      <c r="BT10" s="15">
        <f>Table1[[#This Row],[HIG_ZAR/kWh]]*Table1[[#This Row],[Hig_P50_(kWh)]]*(1+0.15)</f>
        <v>22153.367780500001</v>
      </c>
      <c r="BU10" s="15">
        <f>Table1[[#This Row],[VER_ZAR/kWh]]*Table1[[#This Row],[Verg_P50_(kWh)]]*(1+0.15)</f>
        <v>29681.894463799999</v>
      </c>
      <c r="BV10" s="15">
        <f>Table1[[#This Row],[DUR_ZAR/kWh]]*Table1[[#This Row],[Dur_P50_(kWh)]]*(1+0.15)</f>
        <v>40754.421606599994</v>
      </c>
      <c r="BW10" s="15">
        <f>Table1[[#This Row],[HER_ZAR/kWh2]]*Table1[[#This Row],[Her_P50_(kWh)]]*(1+0.15)</f>
        <v>14222.941571999998</v>
      </c>
      <c r="BX10" s="15">
        <f>Table1[[#This Row],[TZA ZAR/kWh]]*Table1[[#This Row],[TZA_P50_(kWh)]]*(1+0.15)</f>
        <v>0</v>
      </c>
      <c r="BY10" s="16"/>
      <c r="BZ10" s="31">
        <v>95</v>
      </c>
      <c r="CA10" s="31">
        <f>IFERROR(Table1[[#This Row],[Verg_P50_(kWh)]]*(Table1[[#This Row],[Verg_Irradiated_(kWh/m²)]]/Table1[[#This Row],[Verg_estimatedPOA]]),0)</f>
        <v>44888.421707456204</v>
      </c>
      <c r="CB10" s="31">
        <f>(Table1[[#This Row],[Verg_Energy_(kWh)]]*100)/Table1[[#This Row],[Verg_PR_(%)]]</f>
        <v>57329.225167533048</v>
      </c>
      <c r="CC10" s="31">
        <f>IFERROR(Table1[[#This Row],[Verg_P50_(kWh)]]*(Table1[[#This Row],[Verg_Irradiated_(kWh/m²)]]/Table1[[#This Row],[Verg_estimatedPOA]]),0)</f>
        <v>44888.421707456204</v>
      </c>
      <c r="CD10" s="33">
        <v>95</v>
      </c>
      <c r="CE10" s="33">
        <v>95</v>
      </c>
      <c r="CF10" s="110">
        <f>IFERROR(Table1[[#This Row],[Mid_P50_(kWh)]]*(Table1[[#This Row],[Mid_Irradiated_(kWh/m²)]]/Table1[[#This Row],[Mid_estimatedPOA]]),0)</f>
        <v>24802.194384206527</v>
      </c>
      <c r="CG10" s="35">
        <v>95</v>
      </c>
      <c r="CH10" s="111">
        <f>IFERROR(Table1[[#This Row],[Dur_P50_(kWh)]]*(Table1[[#This Row],[Dur_Energy_Irradiated_(kWh/m²)]]/Table1[[#This Row],[Dur_estimatedPOA]]),0)</f>
        <v>62770.228879683367</v>
      </c>
      <c r="CI10" s="37">
        <v>95</v>
      </c>
      <c r="CJ10" s="14">
        <f>IFERROR(Table1[[#This Row],[Hig_P50_(kWh)]]*(Table1[[#This Row],[Hig_Energy_Irradiated_(kWh/m²)]]/Table1[[#This Row],[Hig_estimatedPOA]]),0)</f>
        <v>31324.82392214533</v>
      </c>
      <c r="CK10" s="14">
        <f>IFERROR(Table1[[#This Row],[Her_P50_(kWh)]]*(Table1[[#This Row],[Her_Energy_Irradiated_(kWh/m²)]]/Table1[[#This Row],[Her_estimatedPOA]]),0)</f>
        <v>18985.70648688119</v>
      </c>
      <c r="CL10" s="37">
        <f>IFERROR(Table1[[#This Row],[TZA_P50_(kWh)]]*(Table1[[#This Row],[TZA_Energy_Irradiated_(kWh/m²)]]/Table1[[#This Row],[TZA_estimatedPOA]]),0)</f>
        <v>0</v>
      </c>
      <c r="CM10" s="36">
        <v>95</v>
      </c>
    </row>
    <row r="11" spans="1:92" x14ac:dyDescent="0.25">
      <c r="A11" s="13">
        <v>44743</v>
      </c>
      <c r="B11" s="30">
        <v>42440.4</v>
      </c>
      <c r="C11" s="30">
        <v>71.948242508776005</v>
      </c>
      <c r="D11" s="30">
        <v>75.14</v>
      </c>
      <c r="E11" s="30">
        <v>91.65</v>
      </c>
      <c r="F11" s="30">
        <v>47500.46</v>
      </c>
      <c r="G11" s="30">
        <v>1</v>
      </c>
      <c r="H11" s="30">
        <v>82.6</v>
      </c>
      <c r="I11" s="30">
        <f>82.94</f>
        <v>82.94</v>
      </c>
      <c r="J11" s="31">
        <v>0.82489999999999997</v>
      </c>
      <c r="K11" s="31">
        <f>J11*(1-(G11/31))</f>
        <v>0.79829032258064514</v>
      </c>
      <c r="L11" s="32">
        <v>20957.109</v>
      </c>
      <c r="M11" s="32">
        <v>73.192121140666003</v>
      </c>
      <c r="N11" s="32">
        <v>126.994</v>
      </c>
      <c r="O11" s="32">
        <v>93.77</v>
      </c>
      <c r="P11" s="32">
        <v>26254.38</v>
      </c>
      <c r="Q11" s="32">
        <v>6</v>
      </c>
      <c r="R11" s="32">
        <v>140.30000000000001</v>
      </c>
      <c r="S11" s="32">
        <v>131.26</v>
      </c>
      <c r="T11" s="33">
        <v>0.82110000000000005</v>
      </c>
      <c r="U11" s="32">
        <f>Table1[[#This Row],[Column22]]*(1-(Table1[[#This Row],[Unavailable days]]/31))</f>
        <v>0.66217741935483876</v>
      </c>
      <c r="V11" s="34">
        <v>44538.000000000029</v>
      </c>
      <c r="W11" s="34">
        <v>57.901555176400002</v>
      </c>
      <c r="X11" s="34">
        <v>81.201999999999998</v>
      </c>
      <c r="Y11" s="34">
        <v>89.31</v>
      </c>
      <c r="Z11" s="34">
        <v>64810.21</v>
      </c>
      <c r="AA11" s="34">
        <v>0</v>
      </c>
      <c r="AB11" s="34">
        <v>114.3</v>
      </c>
      <c r="AC11" s="34">
        <v>85.46</v>
      </c>
      <c r="AD11" s="34">
        <v>0.80469999999999997</v>
      </c>
      <c r="AE11" s="35">
        <f>Table1[[#This Row],[Column8]]*(1-(Table1[[#This Row],[unavailability days3]]/31))</f>
        <v>0.80469999999999997</v>
      </c>
      <c r="AF11" s="166">
        <v>15238.202999999899</v>
      </c>
      <c r="AG11" s="166">
        <v>76.401521277227999</v>
      </c>
      <c r="AH11" s="166">
        <v>94.089611137236005</v>
      </c>
      <c r="AI11" s="166">
        <v>88.05</v>
      </c>
      <c r="AJ11" s="166">
        <v>17678.8</v>
      </c>
      <c r="AK11" s="166"/>
      <c r="AL11" s="166">
        <v>84.1</v>
      </c>
      <c r="AM11" s="169"/>
      <c r="AN11" s="169">
        <v>0.87170000000000003</v>
      </c>
      <c r="AO11" s="176">
        <v>0</v>
      </c>
      <c r="AP11" s="176">
        <v>0</v>
      </c>
      <c r="AQ11" s="176">
        <v>0</v>
      </c>
      <c r="AR11" s="176">
        <v>0</v>
      </c>
      <c r="AS11" s="176">
        <v>0</v>
      </c>
      <c r="AT11" s="176">
        <v>0</v>
      </c>
      <c r="AU11" s="176">
        <v>0</v>
      </c>
      <c r="AV11" s="171">
        <v>21623.061000000002</v>
      </c>
      <c r="AW11" s="171">
        <v>63.598771298679999</v>
      </c>
      <c r="AX11" s="171">
        <v>128.2997</v>
      </c>
      <c r="AY11" s="171">
        <v>94.95</v>
      </c>
      <c r="AZ11" s="171">
        <v>32105.9</v>
      </c>
      <c r="BA11" s="171">
        <v>18</v>
      </c>
      <c r="BB11" s="171">
        <v>154.30000000000001</v>
      </c>
      <c r="BC11" s="171">
        <v>128.30000000000001</v>
      </c>
      <c r="BD11" s="171">
        <v>0.79090000000000005</v>
      </c>
      <c r="BE11" s="172">
        <f>Table1[[#This Row],[Column10]]*(1-(Table1[[#This Row],[Unavailability days2]]/31))</f>
        <v>0.33166774193548387</v>
      </c>
      <c r="BF11" s="38">
        <v>0.67410000000000003</v>
      </c>
      <c r="BG11" s="38">
        <v>0.65890000000000004</v>
      </c>
      <c r="BH11" s="38">
        <v>0.61480000000000001</v>
      </c>
      <c r="BI11" s="38">
        <v>0.60660000000000003</v>
      </c>
      <c r="BJ11" s="38">
        <v>0.7944</v>
      </c>
      <c r="BK11" s="38">
        <v>0.79339999999999999</v>
      </c>
      <c r="BL11" s="29">
        <f t="shared" ref="BL11:BL26" si="1">0.15</f>
        <v>0.15</v>
      </c>
      <c r="BM11" s="29">
        <f>Table1[[#This Row],[Mid_ZAR/kWh]]*Table1[[#This Row],[Mid_(kWh)2]]*(1+0.15)</f>
        <v>16246.265253435</v>
      </c>
      <c r="BN11" s="29">
        <f>Table1[[#This Row],[HIG_ZAR/kWh]]*Table1[[#This Row],[Hig_Energy_produced_(kWh)2]]*(1+0.15)</f>
        <v>16384.550126835002</v>
      </c>
      <c r="BO11" s="29">
        <f>Table1[[#This Row],[VER_ZAR/kWh]]*Table1[[#This Row],[Verg_Energy_(kWh)]]*(1+0.15)</f>
        <v>30006.211608000001</v>
      </c>
      <c r="BP11" s="29">
        <f>Table1[[#This Row],[DUR_ZAR/kWh]]*Table1[[#This Row],[Dur_Energy_produced_(kWh)]]*(1+0.15)</f>
        <v>31069.263420000021</v>
      </c>
      <c r="BQ11" s="29">
        <f>Table1[[#This Row],[HER_ZAR/kWh2]]*Table1[[#This Row],[Her_Energy_produced_(kWh)]]*(1+0.15)</f>
        <v>13921.012732679908</v>
      </c>
      <c r="BR11" s="29">
        <f>Table1[[#This Row],[TZA ZAR/kWh]]*Table1[[#This Row],[TZA_Energy_produced_(kWh)]]*(1+0.15)</f>
        <v>0</v>
      </c>
      <c r="BS11" s="16">
        <f>Table1[[#This Row],[Mid_ZAR/kWh]]*Table1[[#This Row],[Mid_P50_(kWh)]]*(1+0.15)</f>
        <v>20352.789191699998</v>
      </c>
      <c r="BT11" s="16">
        <f>Table1[[#This Row],[HIG_ZAR/kWh]]*Table1[[#This Row],[Hig_P50_(kWh)]]*(1+0.15)</f>
        <v>24327.764136500002</v>
      </c>
      <c r="BU11" s="16">
        <f>Table1[[#This Row],[VER_ZAR/kWh]]*Table1[[#This Row],[Verg_P50_(kWh)]]*(1+0.15)</f>
        <v>33583.7752292</v>
      </c>
      <c r="BV11" s="16">
        <f>Table1[[#This Row],[DUR_ZAR/kWh]]*Table1[[#This Row],[Dur_P50_(kWh)]]*(1+0.15)</f>
        <v>45210.954393899992</v>
      </c>
      <c r="BW11" s="16">
        <f>Table1[[#This Row],[HER_ZAR/kWh2]]*Table1[[#This Row],[Her_P50_(kWh)]]*(1+0.15)</f>
        <v>16150.644527999997</v>
      </c>
      <c r="BX11" s="15">
        <f>Table1[[#This Row],[TZA ZAR/kWh]]*Table1[[#This Row],[TZA_P50_(kWh)]]*(1+0.15)</f>
        <v>0</v>
      </c>
      <c r="BY11" s="16"/>
      <c r="BZ11" s="31">
        <v>95</v>
      </c>
      <c r="CA11" s="31">
        <f>IFERROR(Table1[[#This Row],[Verg_P50_(kWh)]]*(Table1[[#This Row],[Verg_Irradiated_(kWh/m²)]]/Table1[[#This Row],[Verg_estimatedPOA]]),0)</f>
        <v>43033.332100313484</v>
      </c>
      <c r="CB11" s="31">
        <f>(Table1[[#This Row],[Verg_Energy_(kWh)]]*100)/Table1[[#This Row],[Verg_PR_(%)]]</f>
        <v>58987.403333477203</v>
      </c>
      <c r="CC11" s="31">
        <f>IFERROR(Table1[[#This Row],[Verg_P50_(kWh)]]*(Table1[[#This Row],[Verg_Irradiated_(kWh/m²)]]/Table1[[#This Row],[Verg_estimatedPOA]]),0)</f>
        <v>43033.332100313484</v>
      </c>
      <c r="CD11" s="33">
        <v>95</v>
      </c>
      <c r="CE11" s="33">
        <v>95</v>
      </c>
      <c r="CF11" s="110">
        <f>IFERROR(Table1[[#This Row],[Mid_P50_(kWh)]]*(Table1[[#This Row],[Mid_Irradiated_(kWh/m²)]]/Table1[[#This Row],[Mid_estimatedPOA]]),0)</f>
        <v>25401.102649093405</v>
      </c>
      <c r="CG11" s="35">
        <v>95</v>
      </c>
      <c r="CH11" s="111">
        <f>IFERROR(Table1[[#This Row],[Dur_P50_(kWh)]]*(Table1[[#This Row],[Dur_Energy_Irradiated_(kWh/m²)]]/Table1[[#This Row],[Dur_estimatedPOA]]),0)</f>
        <v>61581.075034168032</v>
      </c>
      <c r="CI11" s="37">
        <v>95</v>
      </c>
      <c r="CJ11" s="14">
        <f>IFERROR(Table1[[#This Row],[Hig_P50_(kWh)]]*(Table1[[#This Row],[Hig_Energy_Irradiated_(kWh/m²)]]/Table1[[#This Row],[Hig_estimatedPOA]]),0)</f>
        <v>32105.824927747464</v>
      </c>
      <c r="CK11" s="14">
        <f>IFERROR(Table1[[#This Row],[Her_P50_(kWh)]]*(Table1[[#This Row],[Her_Energy_Irradiated_(kWh/m²)]]/Table1[[#This Row],[Her_estimatedPOA]]),0)</f>
        <v>19778.73266793065</v>
      </c>
      <c r="CL11" s="37">
        <f>IFERROR(Table1[[#This Row],[TZA_P50_(kWh)]]*(Table1[[#This Row],[TZA_Energy_Irradiated_(kWh/m²)]]/Table1[[#This Row],[TZA_estimatedPOA]]),0)</f>
        <v>0</v>
      </c>
      <c r="CM11" s="36">
        <v>95</v>
      </c>
    </row>
    <row r="12" spans="1:92" x14ac:dyDescent="0.25">
      <c r="A12" s="13">
        <v>44774</v>
      </c>
      <c r="B12" s="30">
        <v>60653.20000000007</v>
      </c>
      <c r="C12" s="30">
        <v>80.146371981672999</v>
      </c>
      <c r="D12" s="30">
        <v>96.751999999999995</v>
      </c>
      <c r="E12" s="30">
        <v>99.42</v>
      </c>
      <c r="F12" s="30">
        <v>61452.66</v>
      </c>
      <c r="G12" s="30">
        <v>0</v>
      </c>
      <c r="H12" s="30">
        <v>106.7</v>
      </c>
      <c r="I12" s="30">
        <v>107.17</v>
      </c>
      <c r="J12" s="31">
        <v>0.82620000000000005</v>
      </c>
      <c r="K12" s="31">
        <f>J12*(1-(G12/31))</f>
        <v>0.82620000000000005</v>
      </c>
      <c r="L12" s="32">
        <v>29575.187999999995</v>
      </c>
      <c r="M12" s="32">
        <v>77.377301878088005</v>
      </c>
      <c r="N12" s="32">
        <v>163.59899999999999</v>
      </c>
      <c r="O12" s="32">
        <v>98.77</v>
      </c>
      <c r="P12" s="32">
        <v>30459.35</v>
      </c>
      <c r="Q12" s="32">
        <v>10</v>
      </c>
      <c r="R12" s="32">
        <v>165.6</v>
      </c>
      <c r="S12" s="32">
        <v>157.71</v>
      </c>
      <c r="T12" s="33">
        <v>0.80710000000000004</v>
      </c>
      <c r="U12" s="32">
        <f>Table1[[#This Row],[Column22]]*(1-(Table1[[#This Row],[Unavailable days]]/31))</f>
        <v>0.54674516129032269</v>
      </c>
      <c r="V12" s="34">
        <v>57792.900000000023</v>
      </c>
      <c r="W12" s="34">
        <v>62.522504116675996</v>
      </c>
      <c r="X12" s="34">
        <v>103.111</v>
      </c>
      <c r="Y12" s="34">
        <v>99.75</v>
      </c>
      <c r="Z12" s="34">
        <v>77138.89</v>
      </c>
      <c r="AA12" s="34">
        <v>0</v>
      </c>
      <c r="AB12" s="34">
        <v>136.80000000000001</v>
      </c>
      <c r="AC12" s="34">
        <v>110.33</v>
      </c>
      <c r="AD12" s="34">
        <v>0.80030000000000001</v>
      </c>
      <c r="AE12" s="35">
        <f>Table1[[#This Row],[Column8]]*(1-(Table1[[#This Row],[unavailability days3]]/31))</f>
        <v>0.80030000000000001</v>
      </c>
      <c r="AF12" s="166">
        <v>22528.203000000009</v>
      </c>
      <c r="AG12" s="166">
        <v>87.592032338652999</v>
      </c>
      <c r="AH12" s="166">
        <v>121.28788040562</v>
      </c>
      <c r="AI12" s="166">
        <v>99.96</v>
      </c>
      <c r="AJ12" s="166">
        <v>21795.8</v>
      </c>
      <c r="AK12" s="166"/>
      <c r="AL12" s="166">
        <v>106.1</v>
      </c>
      <c r="AM12" s="169"/>
      <c r="AN12" s="169">
        <v>0.87549999999999994</v>
      </c>
      <c r="AO12" s="176">
        <v>0</v>
      </c>
      <c r="AP12" s="176">
        <v>0</v>
      </c>
      <c r="AQ12" s="176">
        <v>0</v>
      </c>
      <c r="AR12" s="176">
        <v>0</v>
      </c>
      <c r="AS12" s="176">
        <v>0</v>
      </c>
      <c r="AT12" s="176">
        <v>0</v>
      </c>
      <c r="AU12" s="176">
        <v>0</v>
      </c>
      <c r="AV12" s="171">
        <v>30455.185000000001</v>
      </c>
      <c r="AW12" s="171">
        <v>65.363153214378002</v>
      </c>
      <c r="AX12" s="171">
        <v>156.94499999999999</v>
      </c>
      <c r="AY12" s="171">
        <v>93.31</v>
      </c>
      <c r="AZ12" s="171">
        <v>36750.9</v>
      </c>
      <c r="BA12" s="171">
        <v>0</v>
      </c>
      <c r="BB12" s="171">
        <v>176.7</v>
      </c>
      <c r="BC12" s="171">
        <v>154.4</v>
      </c>
      <c r="BD12" s="171">
        <v>0.79049999999999998</v>
      </c>
      <c r="BE12" s="172">
        <f>Table1[[#This Row],[Column10]]*(1-(Table1[[#This Row],[Unavailability days2]]/31))</f>
        <v>0.79049999999999998</v>
      </c>
      <c r="BF12" s="38">
        <v>0.67410000000000003</v>
      </c>
      <c r="BG12" s="38">
        <v>0.65890000000000004</v>
      </c>
      <c r="BH12" s="38">
        <v>0.61480000000000001</v>
      </c>
      <c r="BI12" s="38">
        <v>0.60660000000000003</v>
      </c>
      <c r="BJ12" s="38">
        <v>0.7944</v>
      </c>
      <c r="BK12" s="38">
        <v>0.79339999999999999</v>
      </c>
      <c r="BL12" s="29">
        <f t="shared" si="1"/>
        <v>0.15</v>
      </c>
      <c r="BM12" s="29">
        <f>Table1[[#This Row],[Mid_ZAR/kWh]]*Table1[[#This Row],[Mid_(kWh)2]]*(1+0.15)</f>
        <v>22927.129365419998</v>
      </c>
      <c r="BN12" s="29">
        <f>Table1[[#This Row],[HIG_ZAR/kWh]]*Table1[[#This Row],[Hig_Energy_produced_(kWh)2]]*(1+0.15)</f>
        <v>23076.959605975</v>
      </c>
      <c r="BO12" s="29">
        <f>Table1[[#This Row],[VER_ZAR/kWh]]*Table1[[#This Row],[Verg_Energy_(kWh)]]*(1+0.15)</f>
        <v>42883.025464000042</v>
      </c>
      <c r="BP12" s="29">
        <f>Table1[[#This Row],[DUR_ZAR/kWh]]*Table1[[#This Row],[Dur_Energy_produced_(kWh)]]*(1+0.15)</f>
        <v>40315.749111000012</v>
      </c>
      <c r="BQ12" s="29">
        <f>Table1[[#This Row],[HER_ZAR/kWh2]]*Table1[[#This Row],[Her_Energy_produced_(kWh)]]*(1+0.15)</f>
        <v>20580.865132680006</v>
      </c>
      <c r="BR12" s="29">
        <f>Table1[[#This Row],[TZA ZAR/kWh]]*Table1[[#This Row],[TZA_Energy_produced_(kWh)]]*(1+0.15)</f>
        <v>0</v>
      </c>
      <c r="BS12" s="16">
        <f>Table1[[#This Row],[Mid_ZAR/kWh]]*Table1[[#This Row],[Mid_P50_(kWh)]]*(1+0.15)</f>
        <v>23612.545010249996</v>
      </c>
      <c r="BT12" s="16">
        <f>Table1[[#This Row],[HIG_ZAR/kWh]]*Table1[[#This Row],[Hig_P50_(kWh)]]*(1+0.15)</f>
        <v>27847.443211499998</v>
      </c>
      <c r="BU12" s="16">
        <f>Table1[[#This Row],[VER_ZAR/kWh]]*Table1[[#This Row],[Verg_P50_(kWh)]]*(1+0.15)</f>
        <v>43448.259673200002</v>
      </c>
      <c r="BV12" s="16">
        <f>Table1[[#This Row],[DUR_ZAR/kWh]]*Table1[[#This Row],[Dur_P50_(kWh)]]*(1+0.15)</f>
        <v>53811.318275099999</v>
      </c>
      <c r="BW12" s="16">
        <f>Table1[[#This Row],[HER_ZAR/kWh2]]*Table1[[#This Row],[Her_P50_(kWh)]]*(1+0.15)</f>
        <v>19911.771047999999</v>
      </c>
      <c r="BX12" s="15">
        <f>Table1[[#This Row],[TZA ZAR/kWh]]*Table1[[#This Row],[TZA_P50_(kWh)]]*(1+0.15)</f>
        <v>0</v>
      </c>
      <c r="BY12" s="16"/>
      <c r="BZ12" s="31">
        <v>95</v>
      </c>
      <c r="CA12" s="31">
        <f>IFERROR(Table1[[#This Row],[Verg_P50_(kWh)]]*(Table1[[#This Row],[Verg_Irradiated_(kWh/m²)]]/Table1[[#This Row],[Verg_estimatedPOA]]),0)</f>
        <v>55478.844455724553</v>
      </c>
      <c r="CB12" s="31">
        <f>(Table1[[#This Row],[Verg_Energy_(kWh)]]*100)/Table1[[#This Row],[Verg_PR_(%)]]</f>
        <v>75678.03569931972</v>
      </c>
      <c r="CC12" s="31">
        <f>IFERROR(Table1[[#This Row],[Verg_P50_(kWh)]]*(Table1[[#This Row],[Verg_Irradiated_(kWh/m²)]]/Table1[[#This Row],[Verg_estimatedPOA]]),0)</f>
        <v>55478.844455724553</v>
      </c>
      <c r="CD12" s="33">
        <v>95</v>
      </c>
      <c r="CE12" s="33">
        <v>95</v>
      </c>
      <c r="CF12" s="110">
        <f>IFERROR(Table1[[#This Row],[Mid_P50_(kWh)]]*(Table1[[#This Row],[Mid_Irradiated_(kWh/m²)]]/Table1[[#This Row],[Mid_estimatedPOA]]),0)</f>
        <v>31596.723103481065</v>
      </c>
      <c r="CG12" s="35">
        <v>95</v>
      </c>
      <c r="CH12" s="111">
        <f>IFERROR(Table1[[#This Row],[Dur_P50_(kWh)]]*(Table1[[#This Row],[Dur_Energy_Irradiated_(kWh/m²)]]/Table1[[#This Row],[Dur_estimatedPOA]]),0)</f>
        <v>72091.61684754827</v>
      </c>
      <c r="CI12" s="37">
        <v>95</v>
      </c>
      <c r="CJ12" s="14">
        <f>IFERROR(Table1[[#This Row],[Hig_P50_(kWh)]]*(Table1[[#This Row],[Hig_Energy_Irradiated_(kWh/m²)]]/Table1[[#This Row],[Hig_estimatedPOA]]),0)</f>
        <v>37356.670987694299</v>
      </c>
      <c r="CK12" s="14">
        <f>IFERROR(Table1[[#This Row],[Her_P50_(kWh)]]*(Table1[[#This Row],[Her_Energy_Irradiated_(kWh/m²)]]/Table1[[#This Row],[Her_estimatedPOA]]),0)</f>
        <v>24915.800035295124</v>
      </c>
      <c r="CL12" s="37">
        <f>IFERROR(Table1[[#This Row],[TZA_P50_(kWh)]]*(Table1[[#This Row],[TZA_Energy_Irradiated_(kWh/m²)]]/Table1[[#This Row],[TZA_estimatedPOA]]),0)</f>
        <v>0</v>
      </c>
      <c r="CM12" s="36">
        <v>95</v>
      </c>
    </row>
    <row r="13" spans="1:92" x14ac:dyDescent="0.25">
      <c r="A13" s="13">
        <v>44805</v>
      </c>
      <c r="B13" s="163">
        <f>DataInput!B2</f>
        <v>73642.7</v>
      </c>
      <c r="C13" s="163">
        <f>DataInput!C2</f>
        <v>73.381460323998994</v>
      </c>
      <c r="D13" s="163">
        <v>133.30000000000001</v>
      </c>
      <c r="E13" s="163">
        <f>DataInput!E2</f>
        <v>93.43</v>
      </c>
      <c r="F13" s="163">
        <f>DataInput!F2</f>
        <v>82459.520000000004</v>
      </c>
      <c r="G13" s="163">
        <f>DataInput!G2</f>
        <v>145.1</v>
      </c>
      <c r="H13" s="163">
        <f>DataInput!H2</f>
        <v>0.81520000000000004</v>
      </c>
      <c r="I13" s="163">
        <v>145.76</v>
      </c>
      <c r="J13" s="163"/>
      <c r="K13" s="163">
        <f>DataInput!H2</f>
        <v>0.81520000000000004</v>
      </c>
      <c r="L13" s="164">
        <f>DataInput!I2</f>
        <v>24112.812000000002</v>
      </c>
      <c r="M13" s="164">
        <f>DataInput!J2</f>
        <v>55.778812894300998</v>
      </c>
      <c r="N13" s="164">
        <v>183.251</v>
      </c>
      <c r="O13" s="164">
        <f>DataInput!L2</f>
        <v>83.92</v>
      </c>
      <c r="P13" s="164">
        <f>DataInput!M2</f>
        <v>33234.25</v>
      </c>
      <c r="Q13" s="164">
        <f>DataInput!N2</f>
        <v>184.8</v>
      </c>
      <c r="R13" s="164">
        <f>DataInput!O2</f>
        <v>0.78910000000000002</v>
      </c>
      <c r="S13" s="164">
        <v>179.4</v>
      </c>
      <c r="T13" s="164">
        <f>DataInput!O2</f>
        <v>0.78910000000000002</v>
      </c>
      <c r="U13" s="164">
        <f>DataInput!O2</f>
        <v>0.78910000000000002</v>
      </c>
      <c r="V13" s="165">
        <f>DataInput!P2</f>
        <v>58368.3</v>
      </c>
      <c r="W13" s="165">
        <f>DataInput!Q2</f>
        <v>54.520171259251001</v>
      </c>
      <c r="X13" s="165">
        <v>136.71100000000001</v>
      </c>
      <c r="Y13" s="165">
        <f>DataInput!S2</f>
        <v>96.24</v>
      </c>
      <c r="Z13" s="165">
        <f>DataInput!T2</f>
        <v>93478.78</v>
      </c>
      <c r="AA13" s="165">
        <f>DataInput!U2</f>
        <v>168</v>
      </c>
      <c r="AB13" s="165">
        <f>DataInput!V2</f>
        <v>0.78969999999999996</v>
      </c>
      <c r="AC13" s="165">
        <v>148.54</v>
      </c>
      <c r="AD13" s="165"/>
      <c r="AE13" s="165">
        <f>DataInput!V2</f>
        <v>0.78969999999999996</v>
      </c>
      <c r="AF13" s="170">
        <f>DataInput!W2</f>
        <v>23105.905999999999</v>
      </c>
      <c r="AG13" s="170">
        <f>DataInput!X2</f>
        <v>69.509371496029004</v>
      </c>
      <c r="AH13" s="170">
        <f>DataInput!Y2</f>
        <v>153.14681898115001</v>
      </c>
      <c r="AI13" s="170">
        <f>DataInput!Z2</f>
        <v>80.150000000000006</v>
      </c>
      <c r="AJ13" s="170">
        <v>27916.6</v>
      </c>
      <c r="AK13" s="170">
        <f>DataInput!AB2</f>
        <v>151.5</v>
      </c>
      <c r="AL13" s="166">
        <v>142.5</v>
      </c>
      <c r="AM13" s="166"/>
      <c r="AN13" s="166">
        <f>DataInput!AC2</f>
        <v>0.87039999999999995</v>
      </c>
      <c r="AO13" s="176">
        <v>0</v>
      </c>
      <c r="AP13" s="176">
        <v>0</v>
      </c>
      <c r="AQ13" s="176">
        <v>0</v>
      </c>
      <c r="AR13" s="176">
        <v>0</v>
      </c>
      <c r="AS13" s="176">
        <v>0</v>
      </c>
      <c r="AT13" s="176">
        <v>0</v>
      </c>
      <c r="AU13" s="176">
        <v>0</v>
      </c>
      <c r="AV13" s="171">
        <f>DataInput!AD2</f>
        <v>27096.681</v>
      </c>
      <c r="AW13" s="171">
        <f>DataInput!AE2</f>
        <v>52.233015222683001</v>
      </c>
      <c r="AX13" s="171">
        <v>179.7405</v>
      </c>
      <c r="AY13" s="171">
        <f>DataInput!AG2</f>
        <v>80.59</v>
      </c>
      <c r="AZ13" s="171">
        <v>39471.1</v>
      </c>
      <c r="BA13" s="171"/>
      <c r="BB13" s="171"/>
      <c r="BC13" s="171">
        <v>175.7</v>
      </c>
      <c r="BD13" s="171"/>
      <c r="BE13" s="171">
        <f>DataInput!AJ2</f>
        <v>0.79220000000000002</v>
      </c>
      <c r="BF13" s="38">
        <v>0.67410000000000003</v>
      </c>
      <c r="BG13" s="38">
        <v>0.65890000000000004</v>
      </c>
      <c r="BH13" s="38">
        <v>0.61480000000000001</v>
      </c>
      <c r="BI13" s="38">
        <v>0.60660000000000003</v>
      </c>
      <c r="BJ13" s="38">
        <v>0.7944</v>
      </c>
      <c r="BK13" s="38">
        <v>0.79339999999999999</v>
      </c>
      <c r="BL13" s="29">
        <f t="shared" si="1"/>
        <v>0.15</v>
      </c>
      <c r="BM13" s="29">
        <f>Table1[[#This Row],[Mid_ZAR/kWh]]*Table1[[#This Row],[Mid_(kWh)2]]*(1+0.15)</f>
        <v>18692.613554579999</v>
      </c>
      <c r="BN13" s="29">
        <f>Table1[[#This Row],[HIG_ZAR/kWh]]*Table1[[#This Row],[Hig_Energy_produced_(kWh)2]]*(1+0.15)</f>
        <v>20532.103577534999</v>
      </c>
      <c r="BO13" s="29">
        <f>Table1[[#This Row],[VER_ZAR/kWh]]*Table1[[#This Row],[Verg_Energy_(kWh)]]*(1+0.15)</f>
        <v>52066.861753999998</v>
      </c>
      <c r="BP13" s="29">
        <f>Table1[[#This Row],[DUR_ZAR/kWh]]*Table1[[#This Row],[Dur_Energy_produced_(kWh)]]*(1+0.15)</f>
        <v>40717.142396999996</v>
      </c>
      <c r="BQ13" s="29">
        <f>Table1[[#This Row],[HER_ZAR/kWh2]]*Table1[[#This Row],[Her_Energy_produced_(kWh)]]*(1+0.15)</f>
        <v>21108.631485359998</v>
      </c>
      <c r="BR13" s="29">
        <f>Table1[[#This Row],[TZA ZAR/kWh]]*Table1[[#This Row],[TZA_Energy_produced_(kWh)]]*(1+0.15)</f>
        <v>0</v>
      </c>
      <c r="BS13" s="16">
        <f>Table1[[#This Row],[Mid_ZAR/kWh]]*Table1[[#This Row],[Mid_P50_(kWh)]]*(1+0.15)</f>
        <v>25763.689113750002</v>
      </c>
      <c r="BT13" s="16">
        <f>Table1[[#This Row],[HIG_ZAR/kWh]]*Table1[[#This Row],[Hig_P50_(kWh)]]*(1+0.15)</f>
        <v>29908.633958499999</v>
      </c>
      <c r="BU13" s="16">
        <f>Table1[[#This Row],[VER_ZAR/kWh]]*Table1[[#This Row],[Verg_P50_(kWh)]]*(1+0.15)</f>
        <v>58300.529830400003</v>
      </c>
      <c r="BV13" s="16">
        <f>Table1[[#This Row],[DUR_ZAR/kWh]]*Table1[[#This Row],[Dur_P50_(kWh)]]*(1+0.15)</f>
        <v>65209.862140199992</v>
      </c>
      <c r="BW13" s="16">
        <f>Table1[[#This Row],[HER_ZAR/kWh2]]*Table1[[#This Row],[Her_P50_(kWh)]]*(1+0.15)</f>
        <v>25503.489095999998</v>
      </c>
      <c r="BX13" s="15">
        <f>Table1[[#This Row],[TZA ZAR/kWh]]*Table1[[#This Row],[TZA_P50_(kWh)]]*(1+0.15)</f>
        <v>0</v>
      </c>
      <c r="BY13" s="16"/>
      <c r="BZ13" s="31">
        <v>95</v>
      </c>
      <c r="CA13" s="31">
        <f>IFERROR(Table1[[#This Row],[Verg_P50_(kWh)]]*(Table1[[#This Row],[Verg_Irradiated_(kWh/m²)]]/Table1[[#This Row],[Verg_estimatedPOA]]),0)</f>
        <v>75410.63402854008</v>
      </c>
      <c r="CB13" s="31">
        <v>0</v>
      </c>
      <c r="CC13" s="31">
        <f>IFERROR(Table1[[#This Row],[Verg_P50_(kWh)]]*(Table1[[#This Row],[Verg_Irradiated_(kWh/m²)]]/Table1[[#This Row],[Verg_estimatedPOA]]),0)</f>
        <v>75410.63402854008</v>
      </c>
      <c r="CD13" s="33">
        <v>95</v>
      </c>
      <c r="CE13" s="33">
        <v>95</v>
      </c>
      <c r="CF13" s="110">
        <f>IFERROR(Table1[[#This Row],[Mid_P50_(kWh)]]*(Table1[[#This Row],[Mid_Irradiated_(kWh/m²)]]/Table1[[#This Row],[Mid_estimatedPOA]]),0)</f>
        <v>33947.656336399108</v>
      </c>
      <c r="CG13" s="35">
        <v>95</v>
      </c>
      <c r="CH13" s="111">
        <f>IFERROR(Table1[[#This Row],[Dur_P50_(kWh)]]*(Table1[[#This Row],[Dur_Energy_Irradiated_(kWh/m²)]]/Table1[[#This Row],[Dur_estimatedPOA]]),0)</f>
        <v>86034.586593375527</v>
      </c>
      <c r="CI13" s="37">
        <v>95</v>
      </c>
      <c r="CJ13" s="14">
        <f>IFERROR(Table1[[#This Row],[Hig_P50_(kWh)]]*(Table1[[#This Row],[Hig_Energy_Irradiated_(kWh/m²)]]/Table1[[#This Row],[Hig_estimatedPOA]]),0)</f>
        <v>40378.800509675581</v>
      </c>
      <c r="CK13" s="14">
        <f>IFERROR(Table1[[#This Row],[Her_P50_(kWh)]]*(Table1[[#This Row],[Her_Energy_Irradiated_(kWh/m²)]]/Table1[[#This Row],[Her_estimatedPOA]]),0)</f>
        <v>30002.37534574858</v>
      </c>
      <c r="CL13" s="37">
        <f>IFERROR(Table1[[#This Row],[TZA_P50_(kWh)]]*(Table1[[#This Row],[TZA_Energy_Irradiated_(kWh/m²)]]/Table1[[#This Row],[TZA_estimatedPOA]]),0)</f>
        <v>0</v>
      </c>
      <c r="CM13" s="36">
        <v>95</v>
      </c>
    </row>
    <row r="14" spans="1:92" x14ac:dyDescent="0.25">
      <c r="A14" s="13">
        <v>44835</v>
      </c>
      <c r="B14" s="163">
        <f>DataInput!B3</f>
        <v>107657.60000000001</v>
      </c>
      <c r="C14" s="163">
        <f>DataInput!C3</f>
        <v>77.752584519999999</v>
      </c>
      <c r="D14" s="163">
        <f>DataInput!D3</f>
        <v>192.77340000000001</v>
      </c>
      <c r="E14" s="163">
        <f>DataInput!E3</f>
        <v>98.55</v>
      </c>
      <c r="F14" s="163">
        <f>DataInput!F3</f>
        <v>106909</v>
      </c>
      <c r="G14" s="162"/>
      <c r="H14" s="162"/>
      <c r="I14" s="163">
        <v>193.89</v>
      </c>
      <c r="J14" s="162"/>
      <c r="K14" s="163">
        <f>DataInput!H3</f>
        <v>0.79500000000000004</v>
      </c>
      <c r="L14" s="164">
        <f>DataInput!I3</f>
        <v>29329.41</v>
      </c>
      <c r="M14" s="164">
        <f>DataInput!J3</f>
        <v>56.759700000000002</v>
      </c>
      <c r="N14" s="164">
        <v>185.941</v>
      </c>
      <c r="O14" s="164">
        <f>DataInput!L3</f>
        <v>85.16</v>
      </c>
      <c r="P14" s="164">
        <f>DataInput!M3</f>
        <v>35710.019999999997</v>
      </c>
      <c r="Q14" s="164">
        <f>DataInput!N3</f>
        <v>201.1</v>
      </c>
      <c r="R14" s="164">
        <f>DataInput!O3</f>
        <v>0.7792</v>
      </c>
      <c r="S14" s="164">
        <v>199.21</v>
      </c>
      <c r="T14" s="164">
        <f>DataInput!O3</f>
        <v>0.7792</v>
      </c>
      <c r="U14" s="164">
        <f>DataInput!O3</f>
        <v>0.7792</v>
      </c>
      <c r="V14" s="165">
        <f>DataInput!P3</f>
        <v>75264.2</v>
      </c>
      <c r="W14" s="165">
        <f>DataInput!Q3</f>
        <v>51.674779999999998</v>
      </c>
      <c r="X14" s="165">
        <v>192.90199999999999</v>
      </c>
      <c r="Y14" s="165">
        <f>DataInput!S3</f>
        <v>96.28</v>
      </c>
      <c r="Z14" s="165">
        <f>DataInput!T3</f>
        <v>112173.2</v>
      </c>
      <c r="AA14" s="165">
        <f>DataInput!U3</f>
        <v>204.9</v>
      </c>
      <c r="AB14" s="165">
        <f>DataInput!V3</f>
        <v>0.77700000000000002</v>
      </c>
      <c r="AC14" s="165">
        <v>196.71</v>
      </c>
      <c r="AD14" s="165">
        <f>DataInput!V3</f>
        <v>0.77700000000000002</v>
      </c>
      <c r="AE14" s="165">
        <f>DataInput!V3</f>
        <v>0.77700000000000002</v>
      </c>
      <c r="AF14" s="170">
        <f>DataInput!W3</f>
        <v>28544.39</v>
      </c>
      <c r="AG14" s="170">
        <f>DataInput!X3</f>
        <v>75.801820000000006</v>
      </c>
      <c r="AH14" s="170">
        <f>DataInput!Y3</f>
        <v>175.22389999999999</v>
      </c>
      <c r="AI14" s="170">
        <f>DataInput!Z3</f>
        <v>87.57</v>
      </c>
      <c r="AJ14" s="170">
        <v>35025.599999999999</v>
      </c>
      <c r="AK14" s="170">
        <f>DataInput!AB3</f>
        <v>191.6</v>
      </c>
      <c r="AL14" s="166">
        <v>185.5</v>
      </c>
      <c r="AM14" s="166"/>
      <c r="AN14" s="166">
        <f>DataInput!AC3</f>
        <v>0.86350000000000005</v>
      </c>
      <c r="AO14" s="176">
        <f>DataInput!AK3</f>
        <v>25936.001</v>
      </c>
      <c r="AP14" s="176">
        <v>0</v>
      </c>
      <c r="AQ14" s="176">
        <v>0</v>
      </c>
      <c r="AR14" s="176">
        <v>0</v>
      </c>
      <c r="AS14" s="176">
        <v>51809.5</v>
      </c>
      <c r="AT14" s="189">
        <v>154.5</v>
      </c>
      <c r="AU14" s="193">
        <v>82.6</v>
      </c>
      <c r="AV14" s="171">
        <f>DataInput!AD3</f>
        <v>28902.95</v>
      </c>
      <c r="AW14" s="171">
        <f>DataInput!AE3</f>
        <v>52.821240000000003</v>
      </c>
      <c r="AX14" s="173">
        <v>177.96870000000001</v>
      </c>
      <c r="AY14" s="171">
        <f>DataInput!AG3</f>
        <v>87.51</v>
      </c>
      <c r="AZ14" s="171">
        <v>40429.5</v>
      </c>
      <c r="BA14" s="171"/>
      <c r="BB14" s="171"/>
      <c r="BC14" s="171">
        <v>190.6</v>
      </c>
      <c r="BD14" s="171"/>
      <c r="BE14" s="171">
        <f>DataInput!AJ3</f>
        <v>0.78700000000000003</v>
      </c>
      <c r="BF14" s="38">
        <v>0.67410000000000003</v>
      </c>
      <c r="BG14" s="38">
        <v>0.65890000000000004</v>
      </c>
      <c r="BH14" s="38">
        <v>0.61480000000000001</v>
      </c>
      <c r="BI14" s="38">
        <v>0.60660000000000003</v>
      </c>
      <c r="BJ14" s="38">
        <v>0.7944</v>
      </c>
      <c r="BK14" s="38">
        <v>0.79339999999999999</v>
      </c>
      <c r="BL14" s="29">
        <f t="shared" si="1"/>
        <v>0.15</v>
      </c>
      <c r="BM14" s="29">
        <f>Table1[[#This Row],[Mid_ZAR/kWh]]*Table1[[#This Row],[Mid_(kWh)2]]*(1+0.15)</f>
        <v>22736.59857315</v>
      </c>
      <c r="BN14" s="29">
        <f>Table1[[#This Row],[HIG_ZAR/kWh]]*Table1[[#This Row],[Hig_Energy_produced_(kWh)2]]*(1+0.15)</f>
        <v>21900.77681825</v>
      </c>
      <c r="BO14" s="29">
        <f>Table1[[#This Row],[VER_ZAR/kWh]]*Table1[[#This Row],[Verg_Energy_(kWh)]]*(1+0.15)</f>
        <v>76116.076352000004</v>
      </c>
      <c r="BP14" s="29">
        <f>Table1[[#This Row],[DUR_ZAR/kWh]]*Table1[[#This Row],[Dur_Energy_produced_(kWh)]]*(1+0.15)</f>
        <v>52503.553277999999</v>
      </c>
      <c r="BQ14" s="29">
        <f>Table1[[#This Row],[HER_ZAR/kWh2]]*Table1[[#This Row],[Her_Energy_produced_(kWh)]]*(1+0.15)</f>
        <v>26077.012928399996</v>
      </c>
      <c r="BR14" s="29">
        <f>Table1[[#This Row],[TZA ZAR/kWh]]*Table1[[#This Row],[TZA_Energy_produced_(kWh)]]*(1+0.15)</f>
        <v>23664.266672409998</v>
      </c>
      <c r="BS14" s="16">
        <f>Table1[[#This Row],[Mid_ZAR/kWh]]*Table1[[#This Row],[Mid_P50_(kWh)]]*(1+0.15)</f>
        <v>27682.943154299996</v>
      </c>
      <c r="BT14" s="16">
        <f>Table1[[#This Row],[HIG_ZAR/kWh]]*Table1[[#This Row],[Hig_P50_(kWh)]]*(1+0.15)</f>
        <v>30634.847182499998</v>
      </c>
      <c r="BU14" s="16">
        <f>Table1[[#This Row],[VER_ZAR/kWh]]*Table1[[#This Row],[Verg_P50_(kWh)]]*(1+0.15)</f>
        <v>75586.801179999995</v>
      </c>
      <c r="BV14" s="16">
        <f>Table1[[#This Row],[DUR_ZAR/kWh]]*Table1[[#This Row],[Dur_P50_(kWh)]]*(1+0.15)</f>
        <v>78250.902587999997</v>
      </c>
      <c r="BW14" s="16">
        <f>Table1[[#This Row],[HER_ZAR/kWh2]]*Table1[[#This Row],[Her_P50_(kWh)]]*(1+0.15)</f>
        <v>31997.987135999996</v>
      </c>
      <c r="BX14" s="15">
        <f>Table1[[#This Row],[TZA ZAR/kWh]]*Table1[[#This Row],[TZA_P50_(kWh)]]*(1+0.15)</f>
        <v>47271.505894999995</v>
      </c>
      <c r="BY14" s="16"/>
      <c r="BZ14" s="31">
        <v>95</v>
      </c>
      <c r="CA14" s="31">
        <f>IFERROR(Table1[[#This Row],[Verg_P50_(kWh)]]*(Table1[[#This Row],[Verg_Irradiated_(kWh/m²)]]/Table1[[#This Row],[Verg_estimatedPOA]]),0)</f>
        <v>106293.31796688845</v>
      </c>
      <c r="CB14" s="31"/>
      <c r="CC14" s="31">
        <f>IFERROR(Table1[[#This Row],[Verg_P50_(kWh)]]*(Table1[[#This Row],[Verg_Irradiated_(kWh/m²)]]/Table1[[#This Row],[Verg_estimatedPOA]]),0)</f>
        <v>106293.31796688845</v>
      </c>
      <c r="CD14" s="33">
        <v>95</v>
      </c>
      <c r="CE14" s="33">
        <v>95</v>
      </c>
      <c r="CF14" s="110">
        <f>IFERROR(Table1[[#This Row],[Mid_P50_(kWh)]]*(Table1[[#This Row],[Mid_Irradiated_(kWh/m²)]]/Table1[[#This Row],[Mid_estimatedPOA]]),0)</f>
        <v>33331.443345313986</v>
      </c>
      <c r="CG14" s="35">
        <v>95</v>
      </c>
      <c r="CH14" s="111">
        <f>IFERROR(Table1[[#This Row],[Dur_P50_(kWh)]]*(Table1[[#This Row],[Dur_Energy_Irradiated_(kWh/m²)]]/Table1[[#This Row],[Dur_estimatedPOA]]),0)</f>
        <v>110001.70111534745</v>
      </c>
      <c r="CI14" s="37">
        <v>95</v>
      </c>
      <c r="CJ14" s="14">
        <f>IFERROR(Table1[[#This Row],[Hig_P50_(kWh)]]*(Table1[[#This Row],[Hig_Energy_Irradiated_(kWh/m²)]]/Table1[[#This Row],[Hig_estimatedPOA]]),0)</f>
        <v>37750.186551154256</v>
      </c>
      <c r="CK14" s="14">
        <f>IFERROR(Table1[[#This Row],[Her_P50_(kWh)]]*(Table1[[#This Row],[Her_Energy_Irradiated_(kWh/m²)]]/Table1[[#This Row],[Her_estimatedPOA]]),0)</f>
        <v>33085.295050350403</v>
      </c>
      <c r="CL14" s="37">
        <f>IFERROR(Table1[[#This Row],[TZA_P50_(kWh)]]*(Table1[[#This Row],[TZA_Energy_Irradiated_(kWh/m²)]]/Table1[[#This Row],[TZA_estimatedPOA]]),0)</f>
        <v>0</v>
      </c>
      <c r="CM14" s="36">
        <v>95</v>
      </c>
    </row>
    <row r="15" spans="1:92" x14ac:dyDescent="0.25">
      <c r="A15" s="13">
        <v>44867</v>
      </c>
      <c r="B15" s="163">
        <f>DataInput!B4</f>
        <v>100687</v>
      </c>
      <c r="C15" s="163">
        <f>DataInput!C4</f>
        <v>0</v>
      </c>
      <c r="D15" s="163">
        <f>DataInput!D4</f>
        <v>371.17250000000001</v>
      </c>
      <c r="E15" s="163">
        <f>DataInput!E4</f>
        <v>100</v>
      </c>
      <c r="F15" s="163">
        <f>DataInput!F4</f>
        <v>124191.3</v>
      </c>
      <c r="G15" s="163">
        <f>DataInput!G3</f>
        <v>192.9</v>
      </c>
      <c r="H15" s="163">
        <f>DataInput!H3</f>
        <v>0.79500000000000004</v>
      </c>
      <c r="I15" s="163">
        <v>229.029</v>
      </c>
      <c r="J15" s="162"/>
      <c r="K15" s="163">
        <f>DataInput!H4</f>
        <v>0.78210000000000002</v>
      </c>
      <c r="L15" s="164">
        <f>DataInput!I4</f>
        <v>25513.5</v>
      </c>
      <c r="M15" s="164">
        <f>DataInput!J4</f>
        <v>0</v>
      </c>
      <c r="N15" s="164">
        <f>DataInput!K4</f>
        <v>170.374</v>
      </c>
      <c r="O15" s="164">
        <f>DataInput!L4</f>
        <v>82.22</v>
      </c>
      <c r="P15" s="164">
        <f>DataInput!M4</f>
        <v>35427.230000000003</v>
      </c>
      <c r="Q15" s="164">
        <f>DataInput!N4</f>
        <v>199.6</v>
      </c>
      <c r="R15" s="164">
        <f>DataInput!O4</f>
        <v>0.77880000000000005</v>
      </c>
      <c r="S15" s="164">
        <v>199.72</v>
      </c>
      <c r="T15" s="164">
        <f>DataInput!O4</f>
        <v>0.77880000000000005</v>
      </c>
      <c r="U15" s="164">
        <f>DataInput!O4</f>
        <v>0.77880000000000005</v>
      </c>
      <c r="V15" s="165">
        <f>DataInput!P4</f>
        <v>83356.2</v>
      </c>
      <c r="W15" s="165">
        <f>DataInput!Q4</f>
        <v>0</v>
      </c>
      <c r="X15" s="165">
        <v>166.58449999999999</v>
      </c>
      <c r="Y15" s="165">
        <f>DataInput!S4</f>
        <v>90.49</v>
      </c>
      <c r="Z15" s="165">
        <f>DataInput!T4</f>
        <v>122450</v>
      </c>
      <c r="AA15" s="165">
        <f>DataInput!U4</f>
        <v>226.4</v>
      </c>
      <c r="AB15" s="165">
        <f>DataInput!V4</f>
        <v>0.76759999999999995</v>
      </c>
      <c r="AC15" s="165">
        <v>231.47</v>
      </c>
      <c r="AD15" s="165">
        <f>DataInput!V4</f>
        <v>0.76759999999999995</v>
      </c>
      <c r="AE15" s="165">
        <f>DataInput!V4</f>
        <v>0.76759999999999995</v>
      </c>
      <c r="AF15" s="170">
        <f>DataInput!W4</f>
        <v>34776.910000000003</v>
      </c>
      <c r="AG15" s="170">
        <f>DataInput!X4</f>
        <v>78.783360000000002</v>
      </c>
      <c r="AH15" s="170">
        <f>DataInput!Y4</f>
        <v>204.05690000000001</v>
      </c>
      <c r="AI15" s="170">
        <f>DataInput!Z4</f>
        <v>89.5</v>
      </c>
      <c r="AJ15" s="170">
        <v>40142.6</v>
      </c>
      <c r="AK15" s="170">
        <f>DataInput!AB4</f>
        <v>221.3</v>
      </c>
      <c r="AL15" s="166">
        <v>219.8</v>
      </c>
      <c r="AM15" s="166"/>
      <c r="AN15" s="166">
        <f>DataInput!AC4</f>
        <v>0.85680000000000001</v>
      </c>
      <c r="AO15" s="176">
        <f>DataInput!AK4</f>
        <v>3935.5970000000002</v>
      </c>
      <c r="AP15" s="176">
        <v>0</v>
      </c>
      <c r="AQ15" s="176">
        <v>0</v>
      </c>
      <c r="AR15" s="176">
        <v>0</v>
      </c>
      <c r="AS15" s="176">
        <v>51175.7</v>
      </c>
      <c r="AT15" s="189">
        <v>154.5</v>
      </c>
      <c r="AU15" s="193">
        <v>82.6</v>
      </c>
      <c r="AV15" s="171">
        <f>DataInput!AD4</f>
        <v>29838.61</v>
      </c>
      <c r="AW15" s="171">
        <f>DataInput!AE4</f>
        <v>0</v>
      </c>
      <c r="AX15" s="171">
        <v>166.58449999999999</v>
      </c>
      <c r="AY15" s="171">
        <f>DataInput!AG4</f>
        <v>91.02</v>
      </c>
      <c r="AZ15" s="171">
        <v>40364.699999999997</v>
      </c>
      <c r="BA15" s="171"/>
      <c r="BB15" s="171"/>
      <c r="BC15" s="171">
        <v>197</v>
      </c>
      <c r="BD15" s="171"/>
      <c r="BE15" s="171">
        <f>DataInput!AJ4</f>
        <v>0.78480000000000005</v>
      </c>
      <c r="BF15" s="38">
        <v>0.67410000000000003</v>
      </c>
      <c r="BG15" s="38">
        <v>0.65890000000000004</v>
      </c>
      <c r="BH15" s="38">
        <v>0.61480000000000001</v>
      </c>
      <c r="BI15" s="38">
        <v>0.60660000000000003</v>
      </c>
      <c r="BJ15" s="38">
        <v>0.7944</v>
      </c>
      <c r="BK15" s="38">
        <v>0.79339999999999999</v>
      </c>
      <c r="BL15" s="29">
        <f t="shared" si="1"/>
        <v>0.15</v>
      </c>
      <c r="BM15" s="29">
        <f>Table1[[#This Row],[Mid_ZAR/kWh]]*Table1[[#This Row],[Mid_(kWh)2]]*(1+0.15)</f>
        <v>19778.4479025</v>
      </c>
      <c r="BN15" s="29">
        <f>Table1[[#This Row],[HIG_ZAR/kWh]]*Table1[[#This Row],[Hig_Energy_produced_(kWh)2]]*(1+0.15)</f>
        <v>22609.759148349996</v>
      </c>
      <c r="BO15" s="29">
        <f>Table1[[#This Row],[VER_ZAR/kWh]]*Table1[[#This Row],[Verg_Energy_(kWh)]]*(1+0.15)</f>
        <v>71187.722739999997</v>
      </c>
      <c r="BP15" s="29">
        <f>Table1[[#This Row],[DUR_ZAR/kWh]]*Table1[[#This Row],[Dur_Energy_produced_(kWh)]]*(1+0.15)</f>
        <v>58148.451557999993</v>
      </c>
      <c r="BQ15" s="29">
        <f>Table1[[#This Row],[HER_ZAR/kWh2]]*Table1[[#This Row],[Her_Energy_produced_(kWh)]]*(1+0.15)</f>
        <v>31770.793899600001</v>
      </c>
      <c r="BR15" s="29">
        <f>Table1[[#This Row],[TZA ZAR/kWh]]*Table1[[#This Row],[TZA_Energy_produced_(kWh)]]*(1+0.15)</f>
        <v>3590.8780587699998</v>
      </c>
      <c r="BS15" s="16">
        <f>Table1[[#This Row],[Mid_ZAR/kWh]]*Table1[[#This Row],[Mid_P50_(kWh)]]*(1+0.15)</f>
        <v>27463.72010445</v>
      </c>
      <c r="BT15" s="16">
        <f>Table1[[#This Row],[HIG_ZAR/kWh]]*Table1[[#This Row],[Hig_P50_(kWh)]]*(1+0.15)</f>
        <v>30585.745954499998</v>
      </c>
      <c r="BU15" s="16">
        <f>Table1[[#This Row],[VER_ZAR/kWh]]*Table1[[#This Row],[Verg_P50_(kWh)]]*(1+0.15)</f>
        <v>87805.732926000012</v>
      </c>
      <c r="BV15" s="16">
        <f>Table1[[#This Row],[DUR_ZAR/kWh]]*Table1[[#This Row],[Dur_P50_(kWh)]]*(1+0.15)</f>
        <v>85419.895499999984</v>
      </c>
      <c r="BW15" s="16">
        <f>Table1[[#This Row],[HER_ZAR/kWh2]]*Table1[[#This Row],[Her_P50_(kWh)]]*(1+0.15)</f>
        <v>36672.673655999999</v>
      </c>
      <c r="BX15" s="15">
        <f>Table1[[#This Row],[TZA ZAR/kWh]]*Table1[[#This Row],[TZA_P50_(kWh)]]*(1+0.15)</f>
        <v>46693.220436999996</v>
      </c>
      <c r="BY15" s="16"/>
      <c r="BZ15" s="31">
        <v>95</v>
      </c>
      <c r="CA15" s="31">
        <f>IFERROR(Table1[[#This Row],[Verg_P50_(kWh)]]*(Table1[[#This Row],[Verg_Irradiated_(kWh/m²)]]/Table1[[#This Row],[Verg_estimatedPOA]]),0)</f>
        <v>201268.81442633903</v>
      </c>
      <c r="CB15" s="31"/>
      <c r="CC15" s="31">
        <f>IFERROR(Table1[[#This Row],[Verg_P50_(kWh)]]*(Table1[[#This Row],[Verg_Irradiated_(kWh/m²)]]/Table1[[#This Row],[Verg_estimatedPOA]]),0)</f>
        <v>201268.81442633903</v>
      </c>
      <c r="CD15" s="33">
        <v>95</v>
      </c>
      <c r="CE15" s="33">
        <v>95</v>
      </c>
      <c r="CF15" s="110">
        <f>IFERROR(Table1[[#This Row],[Mid_P50_(kWh)]]*(Table1[[#This Row],[Mid_Irradiated_(kWh/m²)]]/Table1[[#This Row],[Mid_estimatedPOA]]),0)</f>
        <v>30221.704806829563</v>
      </c>
      <c r="CG15" s="35">
        <v>95</v>
      </c>
      <c r="CH15" s="111">
        <f>IFERROR(Table1[[#This Row],[Dur_P50_(kWh)]]*(Table1[[#This Row],[Dur_Energy_Irradiated_(kWh/m²)]]/Table1[[#This Row],[Dur_estimatedPOA]]),0)</f>
        <v>88124.906143344706</v>
      </c>
      <c r="CI15" s="37">
        <v>95</v>
      </c>
      <c r="CJ15" s="14">
        <f>IFERROR(Table1[[#This Row],[Hig_P50_(kWh)]]*(Table1[[#This Row],[Hig_Energy_Irradiated_(kWh/m²)]]/Table1[[#This Row],[Hig_estimatedPOA]]),0)</f>
        <v>34132.656686040602</v>
      </c>
      <c r="CK15" s="14">
        <f>IFERROR(Table1[[#This Row],[Her_P50_(kWh)]]*(Table1[[#This Row],[Her_Energy_Irradiated_(kWh/m²)]]/Table1[[#This Row],[Her_estimatedPOA]]),0)</f>
        <v>37267.399972429484</v>
      </c>
      <c r="CL15" s="37">
        <f>IFERROR(Table1[[#This Row],[TZA_P50_(kWh)]]*(Table1[[#This Row],[TZA_Energy_Irradiated_(kWh/m²)]]/Table1[[#This Row],[TZA_estimatedPOA]]),0)</f>
        <v>0</v>
      </c>
      <c r="CM15" s="36">
        <v>95</v>
      </c>
    </row>
    <row r="16" spans="1:92" x14ac:dyDescent="0.25">
      <c r="A16" s="13">
        <v>44898</v>
      </c>
      <c r="B16" s="163">
        <f>DataInput!B5</f>
        <v>59646</v>
      </c>
      <c r="C16" s="163">
        <f>DataInput!C5</f>
        <v>0</v>
      </c>
      <c r="D16" s="163">
        <f>DataInput!D5</f>
        <v>238.8135</v>
      </c>
      <c r="E16" s="163">
        <f>DataInput!E5</f>
        <v>86.45</v>
      </c>
      <c r="F16" s="163">
        <f>DataInput!F5</f>
        <v>135649</v>
      </c>
      <c r="G16" s="163">
        <f>DataInput!G4</f>
        <v>227.8</v>
      </c>
      <c r="H16" s="163">
        <f>DataInput!H4</f>
        <v>0.78210000000000002</v>
      </c>
      <c r="I16" s="163">
        <v>253.69</v>
      </c>
      <c r="J16" s="30"/>
      <c r="K16" s="163">
        <f>DataInput!H5</f>
        <v>0.77190000000000003</v>
      </c>
      <c r="L16" s="164">
        <f>DataInput!I5</f>
        <v>26685.38</v>
      </c>
      <c r="M16" s="164">
        <f>DataInput!J5</f>
        <v>0</v>
      </c>
      <c r="N16" s="164">
        <f>DataInput!K5</f>
        <v>196.70150000000001</v>
      </c>
      <c r="O16" s="164">
        <f>DataInput!L5</f>
        <v>76.45</v>
      </c>
      <c r="P16" s="164">
        <f>DataInput!M5</f>
        <v>37840.03</v>
      </c>
      <c r="Q16" s="32"/>
      <c r="R16" s="32"/>
      <c r="S16" s="164">
        <v>215.756</v>
      </c>
      <c r="T16" s="164">
        <f>DataInput!O5</f>
        <v>0.77259999999999995</v>
      </c>
      <c r="U16" s="164">
        <f>DataInput!O5</f>
        <v>0.77259999999999995</v>
      </c>
      <c r="V16" s="165">
        <f>DataInput!P5</f>
        <v>70379.5</v>
      </c>
      <c r="W16" s="165">
        <f>DataInput!Q5</f>
        <v>0</v>
      </c>
      <c r="X16" s="165">
        <f>DataInput!R5</f>
        <v>245.81200000000001</v>
      </c>
      <c r="Y16" s="165">
        <f>DataInput!S5</f>
        <v>79.680000000000007</v>
      </c>
      <c r="Z16" s="165">
        <f>DataInput!T5</f>
        <v>130720.8</v>
      </c>
      <c r="AA16" s="165">
        <f>DataInput!U5</f>
        <v>243.9</v>
      </c>
      <c r="AB16" s="165">
        <f>DataInput!V5</f>
        <v>0.76070000000000004</v>
      </c>
      <c r="AC16" s="165">
        <v>257.40300000000002</v>
      </c>
      <c r="AD16" s="165">
        <f>DataInput!V5</f>
        <v>0.76070000000000004</v>
      </c>
      <c r="AE16" s="165">
        <f>DataInput!V5</f>
        <v>0.76070000000000004</v>
      </c>
      <c r="AF16" s="170">
        <f>DataInput!W5</f>
        <v>29747.47</v>
      </c>
      <c r="AG16" s="170">
        <f>DataInput!X5</f>
        <v>66.127849999999995</v>
      </c>
      <c r="AH16" s="170">
        <f>DataInput!Y5</f>
        <v>209.86259999999999</v>
      </c>
      <c r="AI16" s="170">
        <f>DataInput!Z5</f>
        <v>75.22</v>
      </c>
      <c r="AJ16" s="195">
        <v>43620.800000000003</v>
      </c>
      <c r="AK16" s="170">
        <f>DataInput!AB5</f>
        <v>243.1</v>
      </c>
      <c r="AL16" s="166">
        <v>243.4</v>
      </c>
      <c r="AM16" s="166"/>
      <c r="AN16" s="166">
        <f>DataInput!AC5</f>
        <v>0.84760000000000002</v>
      </c>
      <c r="AO16" s="176">
        <f>DataInput!AK5</f>
        <v>35677.703999999998</v>
      </c>
      <c r="AP16" s="176">
        <v>0</v>
      </c>
      <c r="AQ16" s="176">
        <v>167.77350000000001</v>
      </c>
      <c r="AR16" s="176">
        <v>0</v>
      </c>
      <c r="AS16" s="176">
        <v>54892.7</v>
      </c>
      <c r="AT16" s="193">
        <v>167.5</v>
      </c>
      <c r="AU16" s="193">
        <v>82.6</v>
      </c>
      <c r="AV16" s="171">
        <f>DataInput!AD5</f>
        <v>26158.93</v>
      </c>
      <c r="AW16" s="171">
        <f>DataInput!AE5</f>
        <v>0</v>
      </c>
      <c r="AX16" s="171">
        <f>DataInput!AF5</f>
        <v>179.87950000000001</v>
      </c>
      <c r="AY16" s="171">
        <f>DataInput!AG5</f>
        <v>75.48</v>
      </c>
      <c r="AZ16" s="171">
        <v>42270.2</v>
      </c>
      <c r="BA16" s="171"/>
      <c r="BB16" s="171"/>
      <c r="BC16" s="171">
        <v>212.4</v>
      </c>
      <c r="BD16" s="171"/>
      <c r="BE16" s="171">
        <f>DataInput!AJ5</f>
        <v>0.77600000000000002</v>
      </c>
      <c r="BF16" s="38">
        <v>0.71454600000000001</v>
      </c>
      <c r="BG16" s="38">
        <v>0.65890000000000004</v>
      </c>
      <c r="BH16" s="38">
        <v>0.65168800000000005</v>
      </c>
      <c r="BI16" s="38">
        <v>0.64299600000000001</v>
      </c>
      <c r="BJ16" s="38">
        <v>0.7944</v>
      </c>
      <c r="BK16" s="38">
        <v>0.79339999999999999</v>
      </c>
      <c r="BL16" s="38">
        <f>0.15</f>
        <v>0.15</v>
      </c>
      <c r="BM16" s="38">
        <f>Table1[[#This Row],[Mid_ZAR/kWh]]*Table1[[#This Row],[Mid_(kWh)2]]*(1+0.15)</f>
        <v>21928.121268102001</v>
      </c>
      <c r="BN16" s="38">
        <f>Table1[[#This Row],[HIG_ZAR/kWh]]*Table1[[#This Row],[Hig_Energy_produced_(kWh)2]]*(1+0.15)</f>
        <v>19821.536823549999</v>
      </c>
      <c r="BO16" s="38">
        <f>Table1[[#This Row],[VER_ZAR/kWh]]*Table1[[#This Row],[Verg_Energy_(kWh)]]*(1+0.15)</f>
        <v>44701.169815199995</v>
      </c>
      <c r="BP16" s="38">
        <f>Table1[[#This Row],[DUR_ZAR/kWh]]*Table1[[#This Row],[Dur_Energy_produced_(kWh)]]*(1+0.15)</f>
        <v>52041.797529299998</v>
      </c>
      <c r="BQ16" s="38">
        <f>Table1[[#This Row],[HER_ZAR/kWh2]]*Table1[[#This Row],[Her_Energy_produced_(kWh)]]*(1+0.15)</f>
        <v>27176.098693200001</v>
      </c>
      <c r="BR16" s="38">
        <f>Table1[[#This Row],[TZA ZAR/kWh]]*Table1[[#This Row],[TZA_Energy_produced_(kWh)]]*(1+0.15)</f>
        <v>32552.693906639997</v>
      </c>
      <c r="BS16" s="15">
        <f>Table1[[#This Row],[Mid_ZAR/kWh]]*Table1[[#This Row],[Mid_P50_(kWh)]]*(1+0.15)</f>
        <v>31094.208387836999</v>
      </c>
      <c r="BT16" s="15">
        <f>Table1[[#This Row],[HIG_ZAR/kWh]]*Table1[[#This Row],[Hig_P50_(kWh)]]*(1+0.15)</f>
        <v>32029.609997</v>
      </c>
      <c r="BU16" s="15">
        <f>Table1[[#This Row],[VER_ZAR/kWh]]*Table1[[#This Row],[Verg_P50_(kWh)]]*(1+0.15)</f>
        <v>101660.9493388</v>
      </c>
      <c r="BV16" s="15">
        <f>Table1[[#This Row],[DUR_ZAR/kWh]]*Table1[[#This Row],[Dur_P50_(kWh)]]*(1+0.15)</f>
        <v>96660.894244320007</v>
      </c>
      <c r="BW16" s="15">
        <f>Table1[[#This Row],[HER_ZAR/kWh2]]*Table1[[#This Row],[Her_P50_(kWh)]]*(1+0.15)</f>
        <v>39850.218047999995</v>
      </c>
      <c r="BX16" s="15">
        <f>Table1[[#This Row],[TZA ZAR/kWh]]*Table1[[#This Row],[TZA_P50_(kWh)]]*(1+0.15)</f>
        <v>50084.648406999993</v>
      </c>
      <c r="BY16" s="16"/>
      <c r="BZ16" s="31">
        <v>95</v>
      </c>
      <c r="CA16" s="31">
        <f>IFERROR(Table1[[#This Row],[Verg_P50_(kWh)]]*(Table1[[#This Row],[Verg_Irradiated_(kWh/m²)]]/Table1[[#This Row],[Verg_estimatedPOA]]),0)</f>
        <v>127694.47933107337</v>
      </c>
      <c r="CB16" s="31"/>
      <c r="CC16" s="31">
        <f>IFERROR(Table1[[#This Row],[Verg_P50_(kWh)]]*(Table1[[#This Row],[Verg_Irradiated_(kWh/m²)]]/Table1[[#This Row],[Verg_estimatedPOA]]),0)</f>
        <v>127694.47933107337</v>
      </c>
      <c r="CD16" s="33">
        <v>95</v>
      </c>
      <c r="CE16" s="33">
        <v>95</v>
      </c>
      <c r="CF16" s="110">
        <f>IFERROR(Table1[[#This Row],[Mid_P50_(kWh)]]*(Table1[[#This Row],[Mid_Irradiated_(kWh/m²)]]/Table1[[#This Row],[Mid_estimatedPOA]]),0)</f>
        <v>34498.186196652699</v>
      </c>
      <c r="CG16" s="35">
        <v>95</v>
      </c>
      <c r="CH16" s="111">
        <f>IFERROR(Table1[[#This Row],[Dur_P50_(kWh)]]*(Table1[[#This Row],[Dur_Energy_Irradiated_(kWh/m²)]]/Table1[[#This Row],[Dur_estimatedPOA]]),0)</f>
        <v>124834.36979988578</v>
      </c>
      <c r="CI16" s="37">
        <v>95</v>
      </c>
      <c r="CJ16" s="14">
        <f>IFERROR(Table1[[#This Row],[Hig_P50_(kWh)]]*(Table1[[#This Row],[Hig_Energy_Irradiated_(kWh/m²)]]/Table1[[#This Row],[Hig_estimatedPOA]]),0)</f>
        <v>35798.222414783428</v>
      </c>
      <c r="CK16" s="14">
        <f>IFERROR(Table1[[#This Row],[Her_P50_(kWh)]]*(Table1[[#This Row],[Her_Energy_Irradiated_(kWh/m²)]]/Table1[[#This Row],[Her_estimatedPOA]]),0)</f>
        <v>37610.412909120787</v>
      </c>
      <c r="CL16" s="37">
        <f>IFERROR(Table1[[#This Row],[TZA_P50_(kWh)]]*(Table1[[#This Row],[TZA_Energy_Irradiated_(kWh/m²)]]/Table1[[#This Row],[TZA_estimatedPOA]]),0)</f>
        <v>54982.330766865678</v>
      </c>
      <c r="CM16" s="36">
        <v>95</v>
      </c>
      <c r="CN16" s="37">
        <f>Table1[[#This Row],[TZA_P50_(kWh)]]*(Table1[[#This Row],[TZA_Energy_Irradiated_(kWh/m²)]]/Table1[[#This Row],[TZA_estimatedPOA]])</f>
        <v>54982.330766865678</v>
      </c>
    </row>
    <row r="17" spans="1:91" x14ac:dyDescent="0.25">
      <c r="A17" s="13">
        <v>44927</v>
      </c>
      <c r="B17" s="163">
        <f>DataInput!B6</f>
        <v>203236.2</v>
      </c>
      <c r="C17" s="190">
        <f>DataInput!C6</f>
        <v>94.3</v>
      </c>
      <c r="D17" s="163">
        <f>DataInput!D6</f>
        <v>247.45099999999999</v>
      </c>
      <c r="E17" s="163">
        <f>DataInput!E6</f>
        <v>84.83</v>
      </c>
      <c r="F17" s="163">
        <f>DataInput!F6</f>
        <v>130972.7686</v>
      </c>
      <c r="G17" s="162"/>
      <c r="H17" s="162"/>
      <c r="I17" s="163">
        <v>251.91</v>
      </c>
      <c r="J17" s="162"/>
      <c r="K17" s="163">
        <f>DataInput!H6</f>
        <v>0.74970000000000003</v>
      </c>
      <c r="L17" s="164">
        <f>DataInput!I6</f>
        <v>30813.41</v>
      </c>
      <c r="M17" s="164">
        <f>DataInput!J6</f>
        <v>77.7</v>
      </c>
      <c r="N17" s="164">
        <f>DataInput!K6</f>
        <v>230.6925</v>
      </c>
      <c r="O17" s="164">
        <f>DataInput!L6</f>
        <v>83.01</v>
      </c>
      <c r="P17" s="164">
        <f>DataInput!M6</f>
        <v>35448.263160000002</v>
      </c>
      <c r="Q17" s="32"/>
      <c r="R17" s="32"/>
      <c r="S17" s="164">
        <f>DataInput!N6</f>
        <v>208.5</v>
      </c>
      <c r="T17" s="32"/>
      <c r="U17" s="164">
        <f>DataInput!O6</f>
        <v>0.746</v>
      </c>
      <c r="V17" s="165">
        <f>DataInput!P6</f>
        <v>79512.399999999994</v>
      </c>
      <c r="W17" s="165">
        <f>DataInput!Q6</f>
        <v>60.2</v>
      </c>
      <c r="X17" s="165">
        <f>DataInput!R6</f>
        <v>260.2715</v>
      </c>
      <c r="Y17" s="165">
        <f>DataInput!S6</f>
        <v>76.89</v>
      </c>
      <c r="Z17" s="165">
        <f>DataInput!T6</f>
        <v>127670.5</v>
      </c>
      <c r="AA17" s="34"/>
      <c r="AB17" s="34"/>
      <c r="AC17" s="165">
        <v>255.22</v>
      </c>
      <c r="AD17" s="165">
        <f>DataInput!V6</f>
        <v>0.73750000000000004</v>
      </c>
      <c r="AE17" s="165">
        <f>DataInput!V6</f>
        <v>0.73750000000000004</v>
      </c>
      <c r="AF17" s="170">
        <f>DataInput!W6</f>
        <v>30524.59</v>
      </c>
      <c r="AG17" s="170">
        <f>DataInput!X6</f>
        <v>64.329310227698997</v>
      </c>
      <c r="AH17" s="170">
        <f>DataInput!Y6</f>
        <v>222.85540075892999</v>
      </c>
      <c r="AI17" s="170">
        <f>DataInput!Z6</f>
        <v>72.989999999999995</v>
      </c>
      <c r="AJ17" s="167">
        <v>42603.5</v>
      </c>
      <c r="AK17" s="166"/>
      <c r="AL17" s="166">
        <v>237.9</v>
      </c>
      <c r="AM17" s="166"/>
      <c r="AN17" s="166">
        <f>DataInput!AC6</f>
        <v>0.82579999999999998</v>
      </c>
      <c r="AO17" s="176">
        <f>DataInput!AK6</f>
        <v>44182</v>
      </c>
      <c r="AP17" s="176">
        <f>DataInput!AM6</f>
        <v>69.5</v>
      </c>
      <c r="AQ17" s="189">
        <f>DataInput!AL6</f>
        <v>197.2773</v>
      </c>
      <c r="AR17" s="176">
        <v>0</v>
      </c>
      <c r="AS17" s="189">
        <v>56838</v>
      </c>
      <c r="AT17" s="193">
        <v>173.7</v>
      </c>
      <c r="AU17" s="193">
        <v>82.6</v>
      </c>
      <c r="AV17" s="171">
        <f>DataInput!AD6</f>
        <v>32108.94</v>
      </c>
      <c r="AW17" s="171">
        <f>_xlfn.IFNA(DataInput!AE6,0)</f>
        <v>71.7</v>
      </c>
      <c r="AX17" s="171">
        <f>DataInput!AF6</f>
        <v>230.57239999999996</v>
      </c>
      <c r="AY17" s="171">
        <f>DataInput!AG6</f>
        <v>74.150000000000006</v>
      </c>
      <c r="AZ17" s="173">
        <v>40996.9</v>
      </c>
      <c r="BA17" s="171"/>
      <c r="BB17" s="171"/>
      <c r="BC17" s="171">
        <v>204.7</v>
      </c>
      <c r="BD17" s="171"/>
      <c r="BE17" s="171">
        <f>DataInput!AJ6</f>
        <v>0.75619999999999998</v>
      </c>
      <c r="BF17" s="35">
        <v>0.71454600000000013</v>
      </c>
      <c r="BG17" s="35">
        <v>0.65890000000000004</v>
      </c>
      <c r="BH17" s="35">
        <v>0.65168800000000005</v>
      </c>
      <c r="BI17" s="35">
        <v>0.64299600000000001</v>
      </c>
      <c r="BJ17" s="35">
        <v>0.7944</v>
      </c>
      <c r="BK17" s="35">
        <v>0.79339999999999999</v>
      </c>
      <c r="BL17" s="26">
        <f t="shared" si="1"/>
        <v>0.15</v>
      </c>
      <c r="BM17" s="26">
        <f>Table1[[#This Row],[Mid_ZAR/kWh]]*Table1[[#This Row],[Mid_(kWh)2]]*(1+0.15)</f>
        <v>25320.238691139002</v>
      </c>
      <c r="BN17" s="26">
        <f>Table1[[#This Row],[HIG_ZAR/kWh]]*Table1[[#This Row],[Hig_Energy_produced_(kWh)2]]*(1+0.15)</f>
        <v>24330.0676509</v>
      </c>
      <c r="BO17" s="26">
        <f>Table1[[#This Row],[VER_ZAR/kWh]]*Table1[[#This Row],[Verg_Energy_(kWh)]]*(1+0.15)</f>
        <v>152313.58161144002</v>
      </c>
      <c r="BP17" s="26">
        <f>Table1[[#This Row],[DUR_ZAR/kWh]]*Table1[[#This Row],[Dur_Energy_produced_(kWh)]]*(1+0.15)</f>
        <v>58795.078422959989</v>
      </c>
      <c r="BQ17" s="26">
        <f>Table1[[#This Row],[HER_ZAR/kWh2]]*Table1[[#This Row],[Her_Energy_produced_(kWh)]]*(1+0.15)</f>
        <v>27886.044440399997</v>
      </c>
      <c r="BR17" s="26">
        <f>Table1[[#This Row],[TZA ZAR/kWh]]*Table1[[#This Row],[TZA_Energy_produced_(kWh)]]*(1+0.15)</f>
        <v>40312.098619999997</v>
      </c>
      <c r="BS17" s="186">
        <f>Table1[[#This Row],[Mid_ZAR/kWh]]*Table1[[#This Row],[Mid_P50_(kWh)]]*(1+0.15)</f>
        <v>29128.826845114167</v>
      </c>
      <c r="BT17" s="186">
        <f>Table1[[#This Row],[HIG_ZAR/kWh]]*Table1[[#This Row],[Hig_P50_(kWh)]]*(1+0.15)</f>
        <v>31064.786021500004</v>
      </c>
      <c r="BU17" s="186">
        <f>Table1[[#This Row],[VER_ZAR/kWh]]*Table1[[#This Row],[Verg_P50_(kWh)]]*(1+0.15)</f>
        <v>98156.388866906331</v>
      </c>
      <c r="BV17" s="186">
        <f>Table1[[#This Row],[DUR_ZAR/kWh]]*Table1[[#This Row],[Dur_P50_(kWh)]]*(1+0.15)</f>
        <v>94405.363940699986</v>
      </c>
      <c r="BW17" s="186">
        <f>Table1[[#This Row],[HER_ZAR/kWh2]]*Table1[[#This Row],[Her_P50_(kWh)]]*(1+0.15)</f>
        <v>38920.853459999998</v>
      </c>
      <c r="BX17" s="15">
        <f>Table1[[#This Row],[TZA ZAR/kWh]]*Table1[[#This Row],[TZA_P50_(kWh)]]*(1+0.15)</f>
        <v>51859.559580000001</v>
      </c>
      <c r="BY17" s="16"/>
      <c r="BZ17" s="31">
        <v>95</v>
      </c>
      <c r="CA17" s="31">
        <f>IFERROR(Table1[[#This Row],[Verg_P50_(kWh)]]*(Table1[[#This Row],[Verg_Irradiated_(kWh/m²)]]/Table1[[#This Row],[Verg_estimatedPOA]]),0)</f>
        <v>128654.45025143343</v>
      </c>
      <c r="CB17" s="31"/>
      <c r="CC17" s="31">
        <f>IFERROR(Table1[[#This Row],[Verg_P50_(kWh)]]*(Table1[[#This Row],[Verg_Irradiated_(kWh/m²)]]/Table1[[#This Row],[Verg_estimatedPOA]]),0)</f>
        <v>128654.45025143343</v>
      </c>
      <c r="CD17" s="33">
        <v>95</v>
      </c>
      <c r="CE17" s="33">
        <v>95</v>
      </c>
      <c r="CF17" s="110">
        <f>IFERROR(Table1[[#This Row],[Mid_P50_(kWh)]]*(Table1[[#This Row],[Mid_Irradiated_(kWh/m²)]]/Table1[[#This Row],[Mid_estimatedPOA]]),0)</f>
        <v>39221.335486994241</v>
      </c>
      <c r="CG17" s="35">
        <v>95</v>
      </c>
      <c r="CH17" s="111">
        <f>IFERROR(Table1[[#This Row],[Dur_P50_(kWh)]]*(Table1[[#This Row],[Dur_Energy_Irradiated_(kWh/m²)]]/Table1[[#This Row],[Dur_estimatedPOA]]),0)</f>
        <v>130197.44746003447</v>
      </c>
      <c r="CI17" s="37">
        <v>95</v>
      </c>
      <c r="CJ17" s="14">
        <f>IFERROR(Table1[[#This Row],[Hig_P50_(kWh)]]*(Table1[[#This Row],[Hig_Energy_Irradiated_(kWh/m²)]]/Table1[[#This Row],[Hig_estimatedPOA]]),0)</f>
        <v>46178.571693014164</v>
      </c>
      <c r="CK17" s="14">
        <f>IFERROR(Table1[[#This Row],[Her_P50_(kWh)]]*(Table1[[#This Row],[Her_Energy_Irradiated_(kWh/m²)]]/Table1[[#This Row],[Her_estimatedPOA]]),0)</f>
        <v>39909.28989589354</v>
      </c>
      <c r="CL17" s="37">
        <f>IFERROR(Table1[[#This Row],[TZA_P50_(kWh)]]*(Table1[[#This Row],[TZA_Energy_Irradiated_(kWh/m²)]]/Table1[[#This Row],[TZA_estimatedPOA]]),0)</f>
        <v>64552.948632124353</v>
      </c>
      <c r="CM17" s="36">
        <v>95</v>
      </c>
    </row>
    <row r="18" spans="1:91" x14ac:dyDescent="0.25">
      <c r="A18" s="13">
        <v>44958</v>
      </c>
      <c r="B18" s="163">
        <f>DataInput!B7</f>
        <v>82384.5</v>
      </c>
      <c r="C18" s="190">
        <f>DataInput!C7</f>
        <v>77.3</v>
      </c>
      <c r="D18" s="163">
        <f>DataInput!D7</f>
        <v>204.43520000000001</v>
      </c>
      <c r="E18" s="163">
        <f>DataInput!E7</f>
        <v>54.03</v>
      </c>
      <c r="F18" s="163">
        <f>DataInput!F7</f>
        <v>105856.90119999999</v>
      </c>
      <c r="G18" s="162"/>
      <c r="H18" s="162"/>
      <c r="I18" s="163">
        <f>DataInput!G7</f>
        <v>201.5</v>
      </c>
      <c r="J18" s="162"/>
      <c r="K18" s="163">
        <f>DataInput!H7</f>
        <v>0.75360000000000005</v>
      </c>
      <c r="L18" s="164">
        <f>DataInput!I7</f>
        <v>20108.5</v>
      </c>
      <c r="M18" s="164">
        <f>DataInput!J7</f>
        <v>72.599999999999994</v>
      </c>
      <c r="N18" s="164">
        <f>DataInput!K7</f>
        <v>155.47399999999999</v>
      </c>
      <c r="O18" s="164">
        <f>DataInput!L7</f>
        <v>75.709999999999994</v>
      </c>
      <c r="P18" s="164">
        <f>DataInput!M7</f>
        <v>30703.403149999998</v>
      </c>
      <c r="Q18" s="32"/>
      <c r="R18" s="32"/>
      <c r="S18" s="164">
        <f>DataInput!N7</f>
        <v>177.3</v>
      </c>
      <c r="T18" s="32"/>
      <c r="U18" s="164">
        <f>DataInput!O7</f>
        <v>0.75990000000000002</v>
      </c>
      <c r="V18" s="165">
        <f>DataInput!P7</f>
        <v>62421.09999999986</v>
      </c>
      <c r="W18" s="165">
        <f>DataInput!Q7</f>
        <v>66.5</v>
      </c>
      <c r="X18" s="165">
        <f>DataInput!R7</f>
        <v>212.874</v>
      </c>
      <c r="Y18" s="165">
        <f>DataInput!S7</f>
        <v>63.09</v>
      </c>
      <c r="Z18" s="165">
        <f>DataInput!T7</f>
        <v>109018.3</v>
      </c>
      <c r="AA18" s="34"/>
      <c r="AB18" s="34"/>
      <c r="AC18" s="165">
        <f>DataInput!U7</f>
        <v>208.7</v>
      </c>
      <c r="AD18" s="165">
        <f>DataInput!V7</f>
        <v>0.74139999999999995</v>
      </c>
      <c r="AE18" s="165">
        <f>DataInput!V7</f>
        <v>0.74139999999999995</v>
      </c>
      <c r="AF18" s="170">
        <f>DataInput!W7</f>
        <v>20371.905999999959</v>
      </c>
      <c r="AG18" s="170">
        <f>DataInput!X7</f>
        <v>56.250326399823997</v>
      </c>
      <c r="AH18" s="170">
        <f>DataInput!Y7</f>
        <v>169.08445758929</v>
      </c>
      <c r="AI18" s="170">
        <f>DataInput!Z7</f>
        <v>70.09</v>
      </c>
      <c r="AJ18" s="167">
        <v>35030.800000000003</v>
      </c>
      <c r="AK18" s="166"/>
      <c r="AL18" s="164">
        <f>DataInput!AI7</f>
        <v>176</v>
      </c>
      <c r="AM18" s="166"/>
      <c r="AN18" s="166">
        <f>DataInput!AC7</f>
        <v>0.82779999999999998</v>
      </c>
      <c r="AO18" s="176">
        <f>DataInput!AK7</f>
        <v>14828.897999999999</v>
      </c>
      <c r="AP18" s="176">
        <f>DataInput!AM7</f>
        <v>34.5</v>
      </c>
      <c r="AQ18" s="189">
        <f>DataInput!AL7</f>
        <v>133.6995</v>
      </c>
      <c r="AR18" s="176">
        <v>0</v>
      </c>
      <c r="AS18" s="189">
        <v>49359.4</v>
      </c>
      <c r="AT18" s="189">
        <v>148.30000000000001</v>
      </c>
      <c r="AU18" s="193">
        <v>82.6</v>
      </c>
      <c r="AV18" s="171">
        <f>DataInput!AD7</f>
        <v>19390.148000000001</v>
      </c>
      <c r="AW18" s="171">
        <f>_xlfn.IFNA(DataInput!AE7,0)</f>
        <v>59.2</v>
      </c>
      <c r="AX18" s="171">
        <f>DataInput!AF7</f>
        <v>160.15679999999998</v>
      </c>
      <c r="AY18" s="171">
        <f>DataInput!AG7</f>
        <v>70.239999999999995</v>
      </c>
      <c r="AZ18" s="173">
        <v>36012</v>
      </c>
      <c r="BA18" s="171"/>
      <c r="BB18" s="171"/>
      <c r="BC18" s="171">
        <v>174.3</v>
      </c>
      <c r="BD18" s="171"/>
      <c r="BE18" s="171">
        <f>DataInput!AJ7</f>
        <v>0.75770000000000004</v>
      </c>
      <c r="BF18" s="38">
        <v>0.71454600000000013</v>
      </c>
      <c r="BG18" s="38">
        <v>0.65890000000000004</v>
      </c>
      <c r="BH18" s="38">
        <v>0.65168800000000005</v>
      </c>
      <c r="BI18" s="38">
        <v>0.64299600000000001</v>
      </c>
      <c r="BJ18" s="38">
        <v>0.7944</v>
      </c>
      <c r="BK18" s="38">
        <v>0.79339999999999999</v>
      </c>
      <c r="BL18" s="29">
        <f t="shared" si="1"/>
        <v>0.15</v>
      </c>
      <c r="BM18" s="29">
        <f>Table1[[#This Row],[Mid_ZAR/kWh]]*Table1[[#This Row],[Mid_(kWh)2]]*(1+0.15)</f>
        <v>16523.715477149999</v>
      </c>
      <c r="BN18" s="29">
        <f>Table1[[#This Row],[HIG_ZAR/kWh]]*Table1[[#This Row],[Hig_Energy_produced_(kWh)2]]*(1+0.15)</f>
        <v>14692.593794780001</v>
      </c>
      <c r="BO18" s="29">
        <f>Table1[[#This Row],[VER_ZAR/kWh]]*Table1[[#This Row],[Verg_Energy_(kWh)]]*(1+0.15)</f>
        <v>61742.3385414</v>
      </c>
      <c r="BP18" s="29">
        <f>Table1[[#This Row],[DUR_ZAR/kWh]]*Table1[[#This Row],[Dur_Energy_produced_(kWh)]]*(1+0.15)</f>
        <v>46156.995257939896</v>
      </c>
      <c r="BQ18" s="29">
        <f>Table1[[#This Row],[HER_ZAR/kWh2]]*Table1[[#This Row],[Her_Energy_produced_(kWh)]]*(1+0.15)</f>
        <v>18610.95844535996</v>
      </c>
      <c r="BR18" s="29">
        <f>Table1[[#This Row],[TZA ZAR/kWh]]*Table1[[#This Row],[TZA_Energy_produced_(kWh)]]*(1+0.15)</f>
        <v>13530.034824179998</v>
      </c>
      <c r="BS18" s="16">
        <f>Table1[[#This Row],[Mid_ZAR/kWh]]*Table1[[#This Row],[Mid_P50_(kWh)]]*(1+0.15)</f>
        <v>25229.842993302886</v>
      </c>
      <c r="BT18" s="16">
        <f>Table1[[#This Row],[HIG_ZAR/kWh]]*Table1[[#This Row],[Hig_P50_(kWh)]]*(1+0.15)</f>
        <v>27287.552820000001</v>
      </c>
      <c r="BU18" s="16">
        <f>Table1[[#This Row],[VER_ZAR/kWh]]*Table1[[#This Row],[Verg_P50_(kWh)]]*(1+0.15)</f>
        <v>79333.523063609435</v>
      </c>
      <c r="BV18" s="16">
        <f>Table1[[#This Row],[DUR_ZAR/kWh]]*Table1[[#This Row],[Dur_P50_(kWh)]]*(1+0.15)</f>
        <v>80613.080450819994</v>
      </c>
      <c r="BW18" s="16">
        <f>Table1[[#This Row],[HER_ZAR/kWh2]]*Table1[[#This Row],[Her_P50_(kWh)]]*(1+0.15)</f>
        <v>32002.737647999998</v>
      </c>
      <c r="BX18" s="15">
        <f>Table1[[#This Row],[TZA ZAR/kWh]]*Table1[[#This Row],[TZA_P50_(kWh)]]*(1+0.15)</f>
        <v>45036.010153999996</v>
      </c>
      <c r="BY18" s="16"/>
      <c r="BZ18" s="31">
        <v>95</v>
      </c>
      <c r="CA18" s="31">
        <f>IFERROR(Table1[[#This Row],[Verg_P50_(kWh)]]*(Table1[[#This Row],[Verg_Irradiated_(kWh/m²)]]/Table1[[#This Row],[Verg_estimatedPOA]]),0)</f>
        <v>107398.89214988705</v>
      </c>
      <c r="CB18" s="31"/>
      <c r="CC18" s="31">
        <f>IFERROR(Table1[[#This Row],[Verg_P50_(kWh)]]*(Table1[[#This Row],[Verg_Irradiated_(kWh/m²)]]/Table1[[#This Row],[Verg_estimatedPOA]]),0)</f>
        <v>107398.89214988705</v>
      </c>
      <c r="CD18" s="33">
        <v>95</v>
      </c>
      <c r="CE18" s="33">
        <v>95</v>
      </c>
      <c r="CF18" s="110">
        <f>IFERROR(Table1[[#This Row],[Mid_P50_(kWh)]]*(Table1[[#This Row],[Mid_Irradiated_(kWh/m²)]]/Table1[[#This Row],[Mid_estimatedPOA]]),0)</f>
        <v>26923.750148579238</v>
      </c>
      <c r="CG18" s="35">
        <v>95</v>
      </c>
      <c r="CH18" s="111">
        <f>IFERROR(Table1[[#This Row],[Dur_P50_(kWh)]]*(Table1[[#This Row],[Dur_Energy_Irradiated_(kWh/m²)]]/Table1[[#This Row],[Dur_estimatedPOA]]),0)</f>
        <v>111198.66600000001</v>
      </c>
      <c r="CI18" s="37">
        <v>95</v>
      </c>
      <c r="CJ18" s="14">
        <f>IFERROR(Table1[[#This Row],[Hig_P50_(kWh)]]*(Table1[[#This Row],[Hig_Energy_Irradiated_(kWh/m²)]]/Table1[[#This Row],[Hig_estimatedPOA]]),0)</f>
        <v>33089.883428571426</v>
      </c>
      <c r="CK18" s="14">
        <f>IFERROR(Table1[[#This Row],[Her_P50_(kWh)]]*(Table1[[#This Row],[Her_Energy_Irradiated_(kWh/m²)]]/Table1[[#This Row],[Her_estimatedPOA]]),0)</f>
        <v>33654.339868857387</v>
      </c>
      <c r="CL18" s="37">
        <f>IFERROR(Table1[[#This Row],[TZA_P50_(kWh)]]*(Table1[[#This Row],[TZA_Energy_Irradiated_(kWh/m²)]]/Table1[[#This Row],[TZA_estimatedPOA]]),0)</f>
        <v>44499.845585300063</v>
      </c>
      <c r="CM18" s="36">
        <v>95</v>
      </c>
    </row>
    <row r="19" spans="1:91" x14ac:dyDescent="0.25">
      <c r="A19" s="13">
        <v>44986</v>
      </c>
      <c r="B19" s="163">
        <f>DataInput!B8</f>
        <v>72503.900000000023</v>
      </c>
      <c r="C19" s="190">
        <f>DataInput!C8</f>
        <v>98.07</v>
      </c>
      <c r="D19" s="163">
        <f>DataInput!D8</f>
        <v>150.63650000000001</v>
      </c>
      <c r="E19" s="163">
        <f>DataInput!E8</f>
        <v>82.03</v>
      </c>
      <c r="F19" s="163">
        <f>DataInput!F8</f>
        <v>98210.878200000006</v>
      </c>
      <c r="G19" s="162"/>
      <c r="H19" s="162"/>
      <c r="I19" s="163">
        <f>DataInput!G8</f>
        <v>185.2</v>
      </c>
      <c r="J19" s="162"/>
      <c r="K19" s="163">
        <f>DataInput!H8</f>
        <v>0.76070000000000004</v>
      </c>
      <c r="L19" s="164">
        <f>DataInput!I8</f>
        <v>26168.719000000041</v>
      </c>
      <c r="M19" s="164">
        <f>DataInput!J8</f>
        <v>93.97</v>
      </c>
      <c r="N19" s="164">
        <f>DataInput!K8</f>
        <v>180.10749999999999</v>
      </c>
      <c r="O19" s="164">
        <f>DataInput!L8</f>
        <v>85.16</v>
      </c>
      <c r="P19" s="164">
        <f>DataInput!M8</f>
        <v>31625.485690000001</v>
      </c>
      <c r="Q19" s="32"/>
      <c r="R19" s="32"/>
      <c r="S19" s="164">
        <f>DataInput!N8</f>
        <v>180.8</v>
      </c>
      <c r="T19" s="32"/>
      <c r="U19" s="164">
        <f>DataInput!O8</f>
        <v>0.76749999999999996</v>
      </c>
      <c r="V19" s="165">
        <f>DataInput!P8</f>
        <v>61828.800000000047</v>
      </c>
      <c r="W19" s="165">
        <f>DataInput!Q8</f>
        <v>74.48</v>
      </c>
      <c r="X19" s="165">
        <f>DataInput!R8</f>
        <v>163.03649999999999</v>
      </c>
      <c r="Y19" s="165">
        <f>DataInput!S8</f>
        <v>84.53</v>
      </c>
      <c r="Z19" s="165">
        <f>DataInput!T8</f>
        <v>109170</v>
      </c>
      <c r="AA19" s="34"/>
      <c r="AB19" s="34"/>
      <c r="AC19" s="165">
        <f>DataInput!U8</f>
        <v>208.7</v>
      </c>
      <c r="AD19" s="165">
        <f>DataInput!V8</f>
        <v>0.74239999999999995</v>
      </c>
      <c r="AE19" s="165">
        <f>DataInput!V8</f>
        <v>0.74239999999999995</v>
      </c>
      <c r="AF19" s="170">
        <f>DataInput!W8</f>
        <v>20431.094000000041</v>
      </c>
      <c r="AG19" s="170">
        <f>DataInput!X8</f>
        <v>61.490647550261997</v>
      </c>
      <c r="AH19" s="170">
        <f>DataInput!Y8</f>
        <v>156.71224220238</v>
      </c>
      <c r="AI19" s="170">
        <f>DataInput!Z8</f>
        <v>75.2</v>
      </c>
      <c r="AJ19" s="166">
        <v>33133.5</v>
      </c>
      <c r="AK19" s="166"/>
      <c r="AL19" s="164">
        <f>DataInput!AI8</f>
        <v>186</v>
      </c>
      <c r="AM19" s="166"/>
      <c r="AN19" s="166">
        <f>DataInput!AC8</f>
        <v>0.82930000000000004</v>
      </c>
      <c r="AO19" s="176">
        <f>DataInput!AK8</f>
        <v>21537.905999999988</v>
      </c>
      <c r="AP19" s="176">
        <f>DataInput!AM8</f>
        <v>42.32</v>
      </c>
      <c r="AQ19" s="189">
        <f>DataInput!AL8</f>
        <v>166.108</v>
      </c>
      <c r="AR19" s="176">
        <v>0</v>
      </c>
      <c r="AS19" s="32">
        <v>54301.7</v>
      </c>
      <c r="AT19" s="196">
        <v>161.30000000000001</v>
      </c>
      <c r="AU19" s="193">
        <v>82.6</v>
      </c>
      <c r="AV19" s="171">
        <f>DataInput!AD8</f>
        <v>27779.70299999998</v>
      </c>
      <c r="AW19" s="171">
        <f>_xlfn.IFNA(DataInput!AE8,0)</f>
        <v>0</v>
      </c>
      <c r="AX19" s="171">
        <f>DataInput!AF8</f>
        <v>172.48750000000001</v>
      </c>
      <c r="AY19" s="171">
        <f>DataInput!AG8</f>
        <v>83.31</v>
      </c>
      <c r="AZ19" s="171">
        <v>38134</v>
      </c>
      <c r="BA19" s="171"/>
      <c r="BB19" s="171"/>
      <c r="BC19" s="173">
        <v>175.9</v>
      </c>
      <c r="BD19" s="171"/>
      <c r="BE19" s="171">
        <f>DataInput!AJ8</f>
        <v>0.75919999999999999</v>
      </c>
      <c r="BF19" s="38">
        <v>0.71454600000000013</v>
      </c>
      <c r="BG19" s="38">
        <v>0.65890000000000004</v>
      </c>
      <c r="BH19" s="38">
        <v>0.65168800000000005</v>
      </c>
      <c r="BI19" s="38">
        <v>0.64299600000000001</v>
      </c>
      <c r="BJ19" s="38">
        <v>0.7944</v>
      </c>
      <c r="BK19" s="38">
        <v>0.79339999999999999</v>
      </c>
      <c r="BL19" s="29">
        <f t="shared" si="1"/>
        <v>0.15</v>
      </c>
      <c r="BM19" s="29">
        <f>Table1[[#This Row],[Mid_ZAR/kWh]]*Table1[[#This Row],[Mid_(kWh)2]]*(1+0.15)</f>
        <v>21503.566509560133</v>
      </c>
      <c r="BN19" s="29">
        <f>Table1[[#This Row],[HIG_ZAR/kWh]]*Table1[[#This Row],[Hig_Energy_produced_(kWh)2]]*(1+0.15)</f>
        <v>21049.653252704982</v>
      </c>
      <c r="BO19" s="29">
        <f>Table1[[#This Row],[VER_ZAR/kWh]]*Table1[[#This Row],[Verg_Energy_(kWh)]]*(1+0.15)</f>
        <v>54337.409820680019</v>
      </c>
      <c r="BP19" s="29">
        <f>Table1[[#This Row],[DUR_ZAR/kWh]]*Table1[[#This Row],[Dur_Energy_produced_(kWh)]]*(1+0.15)</f>
        <v>45719.021747520033</v>
      </c>
      <c r="BQ19" s="29">
        <f>Table1[[#This Row],[HER_ZAR/kWh2]]*Table1[[#This Row],[Her_Energy_produced_(kWh)]]*(1+0.15)</f>
        <v>18665.030234640035</v>
      </c>
      <c r="BR19" s="29">
        <f>Table1[[#This Row],[TZA ZAR/kWh]]*Table1[[#This Row],[TZA_Energy_produced_(kWh)]]*(1+0.15)</f>
        <v>19651.400813459986</v>
      </c>
      <c r="BS19" s="16">
        <f>Table1[[#This Row],[Mid_ZAR/kWh]]*Table1[[#This Row],[Mid_P50_(kWh)]]*(1+0.15)</f>
        <v>25987.543942523753</v>
      </c>
      <c r="BT19" s="16">
        <f>Table1[[#This Row],[HIG_ZAR/kWh]]*Table1[[#This Row],[Hig_P50_(kWh)]]*(1+0.15)</f>
        <v>28895.466489999999</v>
      </c>
      <c r="BU19" s="16">
        <f>Table1[[#This Row],[VER_ZAR/kWh]]*Table1[[#This Row],[Verg_P50_(kWh)]]*(1+0.15)</f>
        <v>73603.278411261839</v>
      </c>
      <c r="BV19" s="16">
        <f>Table1[[#This Row],[DUR_ZAR/kWh]]*Table1[[#This Row],[Dur_P50_(kWh)]]*(1+0.15)</f>
        <v>80725.254317999992</v>
      </c>
      <c r="BW19" s="16">
        <f>Table1[[#This Row],[HER_ZAR/kWh2]]*Table1[[#This Row],[Her_P50_(kWh)]]*(1+0.15)</f>
        <v>30269.440259999999</v>
      </c>
      <c r="BX19" s="15">
        <f>Table1[[#This Row],[TZA ZAR/kWh]]*Table1[[#This Row],[TZA_P50_(kWh)]]*(1+0.15)</f>
        <v>49545.414096999993</v>
      </c>
      <c r="BY19" s="16">
        <f>DataInput!BV8</f>
        <v>0</v>
      </c>
      <c r="BZ19" s="31">
        <v>95</v>
      </c>
      <c r="CA19" s="31">
        <f>IFERROR(Table1[[#This Row],[Verg_P50_(kWh)]]*(Table1[[#This Row],[Verg_Irradiated_(kWh/m²)]]/Table1[[#This Row],[Verg_estimatedPOA]]),0)</f>
        <v>79881.981392949805</v>
      </c>
      <c r="CB19" s="31"/>
      <c r="CC19" s="31">
        <f>IFERROR(Table1[[#This Row],[Verg_P50_(kWh)]]*(Table1[[#This Row],[Verg_Irradiated_(kWh/m²)]]/Table1[[#This Row],[Verg_estimatedPOA]]),0)</f>
        <v>79881.981392949805</v>
      </c>
      <c r="CD19" s="33">
        <v>95</v>
      </c>
      <c r="CE19" s="33">
        <v>95</v>
      </c>
      <c r="CF19" s="110">
        <f>IFERROR(Table1[[#This Row],[Mid_P50_(kWh)]]*(Table1[[#This Row],[Mid_Irradiated_(kWh/m²)]]/Table1[[#This Row],[Mid_estimatedPOA]]),0)</f>
        <v>31504.353782697315</v>
      </c>
      <c r="CG19" s="35">
        <v>95</v>
      </c>
      <c r="CH19" s="111">
        <f>IFERROR(Table1[[#This Row],[Dur_P50_(kWh)]]*(Table1[[#This Row],[Dur_Energy_Irradiated_(kWh/m²)]]/Table1[[#This Row],[Dur_estimatedPOA]]),0)</f>
        <v>85283.635385721122</v>
      </c>
      <c r="CI19" s="37">
        <v>95</v>
      </c>
      <c r="CJ19" s="14">
        <f>IFERROR(Table1[[#This Row],[Hig_P50_(kWh)]]*(Table1[[#This Row],[Hig_Energy_Irradiated_(kWh/m²)]]/Table1[[#This Row],[Hig_estimatedPOA]]),0)</f>
        <v>37394.191728254693</v>
      </c>
      <c r="CK19" s="14">
        <f>IFERROR(Table1[[#This Row],[Her_P50_(kWh)]]*(Table1[[#This Row],[Her_Energy_Irradiated_(kWh/m²)]]/Table1[[#This Row],[Her_estimatedPOA]]),0)</f>
        <v>27916.263854906225</v>
      </c>
      <c r="CL19" s="37">
        <f>IFERROR(Table1[[#This Row],[TZA_P50_(kWh)]]*(Table1[[#This Row],[TZA_Energy_Irradiated_(kWh/m²)]]/Table1[[#This Row],[TZA_estimatedPOA]]),0)</f>
        <v>55920.31483942963</v>
      </c>
      <c r="CM19" s="36">
        <v>95</v>
      </c>
    </row>
    <row r="20" spans="1:91" x14ac:dyDescent="0.25">
      <c r="A20" s="13">
        <v>45017</v>
      </c>
      <c r="B20" s="163">
        <v>0</v>
      </c>
      <c r="C20" s="163">
        <f>AVERAGE(C17:C19)</f>
        <v>89.889999999999986</v>
      </c>
      <c r="D20" s="163">
        <f>SUM(D17:D19)</f>
        <v>602.52269999999999</v>
      </c>
      <c r="E20" s="163">
        <f>AVERAGE(E17:E19)</f>
        <v>73.63000000000001</v>
      </c>
      <c r="F20" s="163">
        <v>0</v>
      </c>
      <c r="G20" s="162"/>
      <c r="H20" s="162"/>
      <c r="I20" s="163">
        <f>SUM(I17:I19)</f>
        <v>638.6099999999999</v>
      </c>
      <c r="J20" s="162"/>
      <c r="K20" s="163">
        <f>AVERAGE(K17:K19)</f>
        <v>0.75466666666666671</v>
      </c>
      <c r="L20" s="164">
        <v>0</v>
      </c>
      <c r="M20" s="163">
        <f>AVERAGE(M17:M19)</f>
        <v>81.423333333333332</v>
      </c>
      <c r="N20" s="163">
        <f>SUM(N17:N19)</f>
        <v>566.274</v>
      </c>
      <c r="O20" s="163">
        <f>AVERAGE(O17:O19)</f>
        <v>81.293333333333337</v>
      </c>
      <c r="P20" s="164">
        <v>0</v>
      </c>
      <c r="Q20" s="32"/>
      <c r="R20" s="32"/>
      <c r="S20" s="163">
        <f>SUM(S17:S19)</f>
        <v>566.6</v>
      </c>
      <c r="T20" s="32"/>
      <c r="U20" s="163">
        <f>AVERAGE(U17:U19)</f>
        <v>0.75780000000000003</v>
      </c>
      <c r="V20" s="165">
        <v>0</v>
      </c>
      <c r="W20" s="163">
        <f>AVERAGE(W17:W19)</f>
        <v>67.06</v>
      </c>
      <c r="X20" s="163">
        <f>SUM(X17:X19)</f>
        <v>636.18200000000002</v>
      </c>
      <c r="Y20" s="163">
        <f>AVERAGE(Y17:Y19)</f>
        <v>74.836666666666673</v>
      </c>
      <c r="Z20" s="165">
        <v>0</v>
      </c>
      <c r="AA20" s="34"/>
      <c r="AB20" s="34"/>
      <c r="AC20" s="163">
        <f>SUM(AC17:AC19)</f>
        <v>672.61999999999989</v>
      </c>
      <c r="AD20" s="163">
        <f>AVERAGE(AD17:AD19)</f>
        <v>0.74043333333333328</v>
      </c>
      <c r="AE20" s="163">
        <f>AVERAGE(AE17:AE19)</f>
        <v>0.74043333333333328</v>
      </c>
      <c r="AF20" s="170">
        <v>0</v>
      </c>
      <c r="AG20" s="163">
        <f>AVERAGE(AG17:AG19)</f>
        <v>60.690094725928333</v>
      </c>
      <c r="AH20" s="163">
        <f>SUM(AH17:AH19)</f>
        <v>548.65210055060004</v>
      </c>
      <c r="AI20" s="163">
        <f>AVERAGE(AI17:AI19)</f>
        <v>72.759999999999991</v>
      </c>
      <c r="AJ20" s="166">
        <v>0</v>
      </c>
      <c r="AK20" s="166"/>
      <c r="AL20" s="162">
        <f>SUM(AL17:AL19)</f>
        <v>599.9</v>
      </c>
      <c r="AM20" s="166"/>
      <c r="AN20" s="163">
        <f>AVERAGE(AN17:AN19)</f>
        <v>0.82763333333333333</v>
      </c>
      <c r="AO20" s="176">
        <v>0</v>
      </c>
      <c r="AP20" s="162">
        <f>AVERAGE(AP17:AP19)</f>
        <v>48.773333333333333</v>
      </c>
      <c r="AQ20" s="162">
        <f>SUM(AQ17:AQ19)</f>
        <v>497.08480000000003</v>
      </c>
      <c r="AR20" s="176">
        <v>0</v>
      </c>
      <c r="AS20" s="32">
        <v>0</v>
      </c>
      <c r="AT20" s="162">
        <f>SUM(AT17:AT19)</f>
        <v>483.3</v>
      </c>
      <c r="AU20" s="193">
        <v>82.6</v>
      </c>
      <c r="AV20" s="171">
        <v>0</v>
      </c>
      <c r="AW20" s="162">
        <f>AVERAGE(AW17:AW19)</f>
        <v>43.633333333333333</v>
      </c>
      <c r="AX20" s="162">
        <f>SUM(AX17:AX19)</f>
        <v>563.21669999999995</v>
      </c>
      <c r="AY20" s="162">
        <f>AVERAGE(AY17:AY19)</f>
        <v>75.899999999999991</v>
      </c>
      <c r="AZ20" s="171">
        <v>0</v>
      </c>
      <c r="BA20" s="171"/>
      <c r="BB20" s="171"/>
      <c r="BC20" s="162">
        <f>SUM(BC17:BC19)</f>
        <v>554.9</v>
      </c>
      <c r="BD20" s="171"/>
      <c r="BE20" s="162">
        <f>AVERAGE(BE17:BE19)</f>
        <v>0.75769999999999993</v>
      </c>
      <c r="BF20" s="38">
        <v>0.71454600000000013</v>
      </c>
      <c r="BG20" s="38">
        <v>0.69843400000000011</v>
      </c>
      <c r="BH20" s="38">
        <v>0.65168800000000005</v>
      </c>
      <c r="BI20" s="38">
        <v>0.64299600000000001</v>
      </c>
      <c r="BJ20" s="38">
        <v>0.84206400000000003</v>
      </c>
      <c r="BK20" s="38">
        <v>0.79339999999999999</v>
      </c>
      <c r="BL20" s="29">
        <f t="shared" si="1"/>
        <v>0.15</v>
      </c>
      <c r="BM20" s="29">
        <f>Table1[[#This Row],[Mid_ZAR/kWh]]*Table1[[#This Row],[Mid_(kWh)2]]*(1+0.15)</f>
        <v>0</v>
      </c>
      <c r="BN20" s="29">
        <f>Table1[[#This Row],[HIG_ZAR/kWh]]*Table1[[#This Row],[Hig_Energy_produced_(kWh)2]]*(1+0.15)</f>
        <v>0</v>
      </c>
      <c r="BO20" s="29">
        <f>Table1[[#This Row],[VER_ZAR/kWh]]*Table1[[#This Row],[Verg_Energy_(kWh)]]*(1+0.15)</f>
        <v>0</v>
      </c>
      <c r="BP20" s="29">
        <f>Table1[[#This Row],[DUR_ZAR/kWh]]*Table1[[#This Row],[Dur_Energy_produced_(kWh)]]*(1+0.15)</f>
        <v>0</v>
      </c>
      <c r="BQ20" s="29">
        <f>Table1[[#This Row],[HER_ZAR/kWh2]]*Table1[[#This Row],[Her_Energy_produced_(kWh)]]*(1+0.15)</f>
        <v>0</v>
      </c>
      <c r="BR20" s="29">
        <f>Table1[[#This Row],[TZA ZAR/kWh]]*Table1[[#This Row],[TZA_Energy_produced_(kWh)]]*(1+0.15)</f>
        <v>0</v>
      </c>
      <c r="BS20" s="16">
        <f>Table1[[#This Row],[Mid_ZAR/kWh]]*Table1[[#This Row],[Mid_P50_(kWh)]]*(1+0.15)</f>
        <v>0</v>
      </c>
      <c r="BT20" s="16">
        <f>Table1[[#This Row],[HIG_ZAR/kWh]]*Table1[[#This Row],[Hig_P50_(kWh)]]*(1+0.15)</f>
        <v>0</v>
      </c>
      <c r="BU20" s="16">
        <f>Table1[[#This Row],[VER_ZAR/kWh]]*Table1[[#This Row],[Verg_P50_(kWh)]]*(1+0.15)</f>
        <v>0</v>
      </c>
      <c r="BV20" s="16">
        <v>0</v>
      </c>
      <c r="BW20" s="16">
        <f>Table1[[#This Row],[HER_ZAR/kWh2]]*Table1[[#This Row],[Her_P50_(kWh)]]*(1+0.15)</f>
        <v>0</v>
      </c>
      <c r="BX20" s="15">
        <f>Table1[[#This Row],[TZA ZAR/kWh]]*Table1[[#This Row],[TZA_P50_(kWh)]]*(1+0.15)</f>
        <v>0</v>
      </c>
      <c r="BY20" s="16">
        <f>DataInput!BV9</f>
        <v>0</v>
      </c>
      <c r="BZ20" s="31">
        <v>95</v>
      </c>
      <c r="CA20" s="31">
        <f>IFERROR(Table1[[#This Row],[Verg_P50_(kWh)]]*(Table1[[#This Row],[Verg_Irradiated_(kWh/m²)]]/Table1[[#This Row],[Verg_estimatedPOA]]),0)</f>
        <v>0</v>
      </c>
      <c r="CB20" s="31"/>
      <c r="CC20" s="31">
        <f>IFERROR(Table1[[#This Row],[Verg_P50_(kWh)]]*(Table1[[#This Row],[Verg_Irradiated_(kWh/m²)]]/Table1[[#This Row],[Verg_estimatedPOA]]),0)</f>
        <v>0</v>
      </c>
      <c r="CD20" s="33">
        <v>95</v>
      </c>
      <c r="CE20" s="33">
        <v>95</v>
      </c>
      <c r="CF20" s="110">
        <f>IFERROR(Table1[[#This Row],[Mid_P50_(kWh)]]*(Table1[[#This Row],[Mid_Irradiated_(kWh/m²)]]/Table1[[#This Row],[Mid_estimatedPOA]]),0)</f>
        <v>0</v>
      </c>
      <c r="CG20" s="35">
        <v>95</v>
      </c>
      <c r="CH20" s="111">
        <v>0</v>
      </c>
      <c r="CI20" s="37">
        <v>95</v>
      </c>
      <c r="CJ20" s="14">
        <f>IFERROR(Table1[[#This Row],[Hig_P50_(kWh)]]*(Table1[[#This Row],[Hig_Energy_Irradiated_(kWh/m²)]]/Table1[[#This Row],[Hig_estimatedPOA]]),0)</f>
        <v>0</v>
      </c>
      <c r="CK20" s="14">
        <f>IFERROR(Table1[[#This Row],[Her_P50_(kWh)]]*(Table1[[#This Row],[Her_Energy_Irradiated_(kWh/m²)]]/Table1[[#This Row],[Her_estimatedPOA]]),0)</f>
        <v>0</v>
      </c>
      <c r="CL20" s="37">
        <f>IFERROR(Table1[[#This Row],[TZA_P50_(kWh)]]*(Table1[[#This Row],[TZA_Energy_Irradiated_(kWh/m²)]]/Table1[[#This Row],[TZA_estimatedPOA]]),0)</f>
        <v>0</v>
      </c>
      <c r="CM20" s="36">
        <v>95</v>
      </c>
    </row>
    <row r="21" spans="1:91" x14ac:dyDescent="0.25">
      <c r="A21" s="13">
        <v>45047</v>
      </c>
      <c r="B21" s="163">
        <f>DataInput!B10</f>
        <v>0</v>
      </c>
      <c r="C21" s="190">
        <f>DataInput!C10</f>
        <v>0</v>
      </c>
      <c r="D21" s="163">
        <f>DataInput!D10</f>
        <v>0</v>
      </c>
      <c r="E21" s="163">
        <f>DataInput!E10</f>
        <v>0</v>
      </c>
      <c r="F21" s="163">
        <f>DataInput!F10</f>
        <v>0</v>
      </c>
      <c r="G21" s="162"/>
      <c r="H21" s="162"/>
      <c r="I21" s="163">
        <f>DataInput!G10</f>
        <v>0</v>
      </c>
      <c r="J21" s="162"/>
      <c r="K21" s="163">
        <f>DataInput!H10</f>
        <v>0</v>
      </c>
      <c r="L21" s="164">
        <f>DataInput!I10</f>
        <v>0</v>
      </c>
      <c r="M21" s="164">
        <f>DataInput!J10</f>
        <v>0</v>
      </c>
      <c r="N21" s="164">
        <f>DataInput!K10</f>
        <v>0</v>
      </c>
      <c r="O21" s="164">
        <f>DataInput!L10</f>
        <v>0</v>
      </c>
      <c r="P21" s="164">
        <f>DataInput!M10</f>
        <v>0</v>
      </c>
      <c r="Q21" s="32"/>
      <c r="R21" s="32"/>
      <c r="S21" s="164">
        <f>DataInput!N10</f>
        <v>0</v>
      </c>
      <c r="T21" s="32"/>
      <c r="U21" s="164">
        <f>DataInput!O10</f>
        <v>0</v>
      </c>
      <c r="V21" s="165">
        <f>DataInput!P10</f>
        <v>0</v>
      </c>
      <c r="W21" s="165">
        <f>DataInput!Q10</f>
        <v>0</v>
      </c>
      <c r="X21" s="165">
        <f>DataInput!R10</f>
        <v>0</v>
      </c>
      <c r="Y21" s="165">
        <f>DataInput!S10</f>
        <v>0</v>
      </c>
      <c r="Z21" s="165">
        <f>DataInput!T10</f>
        <v>0</v>
      </c>
      <c r="AA21" s="34"/>
      <c r="AB21" s="34"/>
      <c r="AC21" s="165">
        <f>DataInput!U10</f>
        <v>0</v>
      </c>
      <c r="AD21" s="165">
        <f>DataInput!V10</f>
        <v>0</v>
      </c>
      <c r="AE21" s="165">
        <f>DataInput!V10</f>
        <v>0</v>
      </c>
      <c r="AF21" s="170">
        <f>DataInput!W10</f>
        <v>0</v>
      </c>
      <c r="AG21" s="170">
        <f>DataInput!X10</f>
        <v>0</v>
      </c>
      <c r="AH21" s="170">
        <f>DataInput!Y10</f>
        <v>0</v>
      </c>
      <c r="AI21" s="170">
        <f>DataInput!Z10</f>
        <v>0</v>
      </c>
      <c r="AJ21" s="166"/>
      <c r="AK21" s="166"/>
      <c r="AL21" s="164">
        <f>DataInput!AI10</f>
        <v>0</v>
      </c>
      <c r="AM21" s="166"/>
      <c r="AN21" s="166">
        <f>DataInput!AC10</f>
        <v>0</v>
      </c>
      <c r="AO21" s="176">
        <f>DataInput!AK10</f>
        <v>0</v>
      </c>
      <c r="AP21" s="176">
        <f>DataInput!AM10</f>
        <v>0</v>
      </c>
      <c r="AQ21" s="189">
        <f>DataInput!AL10</f>
        <v>0</v>
      </c>
      <c r="AR21" s="176">
        <v>0</v>
      </c>
      <c r="AS21" s="189">
        <v>51208.800000000003</v>
      </c>
      <c r="AT21" s="189">
        <v>143.5</v>
      </c>
      <c r="AU21" s="193">
        <v>82.6</v>
      </c>
      <c r="AV21" s="171">
        <f>DataInput!AD10</f>
        <v>0</v>
      </c>
      <c r="AW21" s="171">
        <f>_xlfn.IFNA(DataInput!AE10,0)</f>
        <v>0</v>
      </c>
      <c r="AX21" s="171">
        <f>DataInput!AF10</f>
        <v>0</v>
      </c>
      <c r="AY21" s="171">
        <f>DataInput!AG10</f>
        <v>0</v>
      </c>
      <c r="AZ21" s="171">
        <v>32046.3</v>
      </c>
      <c r="BA21" s="171"/>
      <c r="BB21" s="171"/>
      <c r="BC21" s="171">
        <v>131.30000000000001</v>
      </c>
      <c r="BD21" s="171"/>
      <c r="BE21" s="171">
        <f>DataInput!AJ10</f>
        <v>0</v>
      </c>
      <c r="BF21" s="38">
        <v>0.71454600000000013</v>
      </c>
      <c r="BG21" s="38">
        <v>0.69843400000000011</v>
      </c>
      <c r="BH21" s="38">
        <v>0.65168800000000005</v>
      </c>
      <c r="BI21" s="38">
        <v>0.64299600000000001</v>
      </c>
      <c r="BJ21" s="38">
        <v>0.84206400000000003</v>
      </c>
      <c r="BK21" s="38">
        <v>0.79339999999999999</v>
      </c>
      <c r="BL21" s="29">
        <f t="shared" si="1"/>
        <v>0.15</v>
      </c>
      <c r="BM21" s="29">
        <f>Table1[[#This Row],[Mid_ZAR/kWh]]*Table1[[#This Row],[Mid_(kWh)2]]*(1+0.15)</f>
        <v>0</v>
      </c>
      <c r="BN21" s="29">
        <f>Table1[[#This Row],[HIG_ZAR/kWh]]*Table1[[#This Row],[Hig_Energy_produced_(kWh)2]]*(1+0.15)</f>
        <v>0</v>
      </c>
      <c r="BO21" s="29">
        <f>Table1[[#This Row],[VER_ZAR/kWh]]*Table1[[#This Row],[Verg_Energy_(kWh)]]*(1+0.15)</f>
        <v>0</v>
      </c>
      <c r="BP21" s="29">
        <f>Table1[[#This Row],[DUR_ZAR/kWh]]*Table1[[#This Row],[Dur_Energy_produced_(kWh)]]*(1+0.15)</f>
        <v>0</v>
      </c>
      <c r="BQ21" s="29">
        <f>Table1[[#This Row],[HER_ZAR/kWh2]]*Table1[[#This Row],[Her_Energy_produced_(kWh)]]*(1+0.15)</f>
        <v>0</v>
      </c>
      <c r="BR21" s="29">
        <f>Table1[[#This Row],[TZA ZAR/kWh]]*Table1[[#This Row],[TZA_Energy_produced_(kWh)]]*(1+0.15)</f>
        <v>0</v>
      </c>
      <c r="BS21" s="16">
        <f>Table1[[#This Row],[Mid_ZAR/kWh]]*Table1[[#This Row],[Mid_P50_(kWh)]]*(1+0.15)</f>
        <v>0</v>
      </c>
      <c r="BT21" s="16">
        <f>Table1[[#This Row],[HIG_ZAR/kWh]]*Table1[[#This Row],[Hig_P50_(kWh)]]*(1+0.15)</f>
        <v>25739.559318330001</v>
      </c>
      <c r="BU21" s="16">
        <f>Table1[[#This Row],[VER_ZAR/kWh]]*Table1[[#This Row],[Verg_P50_(kWh)]]*(1+0.15)</f>
        <v>0</v>
      </c>
      <c r="BV21" s="16">
        <f>Table1[[#This Row],[DUR_ZAR/kWh]]*Table1[[#This Row],[Dur_P50_(kWh)]]*(1+0.15)</f>
        <v>0</v>
      </c>
      <c r="BW21" s="16">
        <f>Table1[[#This Row],[HER_ZAR/kWh2]]*Table1[[#This Row],[Her_P50_(kWh)]]*(1+0.15)</f>
        <v>0</v>
      </c>
      <c r="BX21" s="15">
        <f>Table1[[#This Row],[TZA ZAR/kWh]]*Table1[[#This Row],[TZA_P50_(kWh)]]*(1+0.15)</f>
        <v>46723.421208</v>
      </c>
      <c r="BY21" s="16"/>
      <c r="BZ21" s="31">
        <v>95</v>
      </c>
      <c r="CA21" s="31">
        <f>IFERROR(Table1[[#This Row],[Verg_P50_(kWh)]]*(Table1[[#This Row],[Verg_Irradiated_(kWh/m²)]]/Table1[[#This Row],[Verg_estimatedPOA]]),0)</f>
        <v>0</v>
      </c>
      <c r="CB21" s="31"/>
      <c r="CC21" s="31">
        <f>IFERROR(Table1[[#This Row],[Verg_P50_(kWh)]]*(Table1[[#This Row],[Verg_Irradiated_(kWh/m²)]]/Table1[[#This Row],[Verg_estimatedPOA]]),0)</f>
        <v>0</v>
      </c>
      <c r="CD21" s="33">
        <v>95</v>
      </c>
      <c r="CE21" s="33">
        <v>95</v>
      </c>
      <c r="CF21" s="110">
        <f>IFERROR(Table1[[#This Row],[Mid_P50_(kWh)]]*(Table1[[#This Row],[Mid_Irradiated_(kWh/m²)]]/Table1[[#This Row],[Mid_estimatedPOA]]),0)</f>
        <v>0</v>
      </c>
      <c r="CG21" s="35">
        <v>95</v>
      </c>
      <c r="CH21" s="111">
        <f>IFERROR(Table1[[#This Row],[Dur_P50_(kWh)]]*(Table1[[#This Row],[Dur_Energy_Irradiated_(kWh/m²)]]/Table1[[#This Row],[Dur_estimatedPOA]]),0)</f>
        <v>0</v>
      </c>
      <c r="CI21" s="37">
        <v>95</v>
      </c>
      <c r="CJ21" s="14">
        <f>IFERROR(Table1[[#This Row],[Hig_P50_(kWh)]]*(Table1[[#This Row],[Hig_Energy_Irradiated_(kWh/m²)]]/Table1[[#This Row],[Hig_estimatedPOA]]),0)</f>
        <v>0</v>
      </c>
      <c r="CK21" s="14">
        <f>IFERROR(Table1[[#This Row],[Her_P50_(kWh)]]*(Table1[[#This Row],[Her_Energy_Irradiated_(kWh/m²)]]/Table1[[#This Row],[Her_estimatedPOA]]),0)</f>
        <v>0</v>
      </c>
      <c r="CL21" s="37">
        <f>IFERROR(Table1[[#This Row],[TZA_P50_(kWh)]]*(Table1[[#This Row],[TZA_Energy_Irradiated_(kWh/m²)]]/Table1[[#This Row],[TZA_estimatedPOA]]),0)</f>
        <v>0</v>
      </c>
      <c r="CM21" s="36">
        <v>95</v>
      </c>
    </row>
    <row r="22" spans="1:91" x14ac:dyDescent="0.25">
      <c r="A22" s="13">
        <v>45078</v>
      </c>
      <c r="B22" s="163">
        <f>DataInput!B11</f>
        <v>0</v>
      </c>
      <c r="C22" s="190">
        <f>DataInput!C11</f>
        <v>0</v>
      </c>
      <c r="D22" s="163">
        <f>DataInput!D11</f>
        <v>0</v>
      </c>
      <c r="E22" s="163">
        <f>DataInput!E11</f>
        <v>0</v>
      </c>
      <c r="F22" s="163">
        <f>DataInput!F11</f>
        <v>0</v>
      </c>
      <c r="G22" s="162"/>
      <c r="H22" s="162"/>
      <c r="I22" s="163">
        <f>DataInput!G11</f>
        <v>0</v>
      </c>
      <c r="J22" s="162"/>
      <c r="K22" s="163">
        <f>DataInput!H11</f>
        <v>0</v>
      </c>
      <c r="L22" s="164">
        <f>DataInput!I11</f>
        <v>0</v>
      </c>
      <c r="M22" s="164">
        <f>DataInput!J11</f>
        <v>0</v>
      </c>
      <c r="N22" s="164">
        <f>DataInput!K11</f>
        <v>0</v>
      </c>
      <c r="O22" s="164">
        <f>DataInput!L11</f>
        <v>0</v>
      </c>
      <c r="P22" s="164">
        <f>DataInput!M11</f>
        <v>0</v>
      </c>
      <c r="Q22" s="32"/>
      <c r="R22" s="32"/>
      <c r="S22" s="164">
        <f>DataInput!N10</f>
        <v>0</v>
      </c>
      <c r="T22" s="32"/>
      <c r="U22" s="164">
        <f>DataInput!O10</f>
        <v>0</v>
      </c>
      <c r="V22" s="165">
        <f>DataInput!P11</f>
        <v>0</v>
      </c>
      <c r="W22" s="165">
        <f>DataInput!Q11</f>
        <v>0</v>
      </c>
      <c r="X22" s="165">
        <f>DataInput!R11</f>
        <v>0</v>
      </c>
      <c r="Y22" s="165">
        <f>DataInput!S11</f>
        <v>0</v>
      </c>
      <c r="Z22" s="165">
        <f>DataInput!T11</f>
        <v>0</v>
      </c>
      <c r="AA22" s="34"/>
      <c r="AB22" s="34"/>
      <c r="AC22" s="165">
        <f>DataInput!U11</f>
        <v>0</v>
      </c>
      <c r="AD22" s="34"/>
      <c r="AE22" s="165">
        <f>DataInput!V11</f>
        <v>0</v>
      </c>
      <c r="AF22" s="170">
        <f>DataInput!W11</f>
        <v>0</v>
      </c>
      <c r="AG22" s="170">
        <f>DataInput!X11</f>
        <v>0</v>
      </c>
      <c r="AH22" s="170">
        <f>DataInput!Y11</f>
        <v>0</v>
      </c>
      <c r="AI22" s="170">
        <f>DataInput!Z11</f>
        <v>0</v>
      </c>
      <c r="AJ22" s="166"/>
      <c r="AK22" s="166"/>
      <c r="AL22" s="164">
        <f>DataInput!AI11</f>
        <v>0</v>
      </c>
      <c r="AM22" s="166"/>
      <c r="AN22" s="166">
        <f>DataInput!AC11</f>
        <v>0</v>
      </c>
      <c r="AO22" s="176">
        <f>DataInput!AK11</f>
        <v>0</v>
      </c>
      <c r="AP22" s="176">
        <f>DataInput!AM11</f>
        <v>0</v>
      </c>
      <c r="AQ22" s="189">
        <f>DataInput!AL11</f>
        <v>0</v>
      </c>
      <c r="AR22" s="176">
        <v>0</v>
      </c>
      <c r="AS22" s="189">
        <v>46272.1</v>
      </c>
      <c r="AT22" s="189">
        <v>127.5</v>
      </c>
      <c r="AU22" s="193">
        <v>82.6</v>
      </c>
      <c r="AV22" s="171">
        <f>DataInput!AD11</f>
        <v>0</v>
      </c>
      <c r="AW22" s="171">
        <f>_xlfn.IFNA(DataInput!AE11,0)</f>
        <v>0</v>
      </c>
      <c r="AX22" s="171">
        <f>DataInput!AF11</f>
        <v>0</v>
      </c>
      <c r="AY22" s="171">
        <f>DataInput!AG11</f>
        <v>0</v>
      </c>
      <c r="AZ22" s="171">
        <v>29236.3</v>
      </c>
      <c r="BA22" s="171"/>
      <c r="BB22" s="171"/>
      <c r="BC22" s="171">
        <v>115.6</v>
      </c>
      <c r="BD22" s="171"/>
      <c r="BE22" s="171">
        <f>DataInput!AJ11</f>
        <v>0</v>
      </c>
      <c r="BF22" s="38">
        <v>0.71454600000000013</v>
      </c>
      <c r="BG22" s="38">
        <v>0.69843400000000011</v>
      </c>
      <c r="BH22" s="38">
        <v>0.65168800000000005</v>
      </c>
      <c r="BI22" s="38">
        <v>0.64299600000000001</v>
      </c>
      <c r="BJ22" s="38">
        <v>0.84206400000000003</v>
      </c>
      <c r="BK22" s="38">
        <v>0.79339999999999999</v>
      </c>
      <c r="BL22" s="29">
        <f t="shared" si="1"/>
        <v>0.15</v>
      </c>
      <c r="BM22" s="29">
        <f>Table1[[#This Row],[Mid_ZAR/kWh]]*Table1[[#This Row],[Mid_(kWh)2]]*(1+0.15)</f>
        <v>0</v>
      </c>
      <c r="BN22" s="29">
        <f>Table1[[#This Row],[HIG_ZAR/kWh]]*Table1[[#This Row],[Hig_Energy_produced_(kWh)2]]*(1+0.15)</f>
        <v>0</v>
      </c>
      <c r="BO22" s="29">
        <f>Table1[[#This Row],[VER_ZAR/kWh]]*Table1[[#This Row],[Verg_Energy_(kWh)]]*(1+0.15)</f>
        <v>0</v>
      </c>
      <c r="BP22" s="29">
        <f>Table1[[#This Row],[DUR_ZAR/kWh]]*Table1[[#This Row],[Dur_Energy_produced_(kWh)]]*(1+0.15)</f>
        <v>0</v>
      </c>
      <c r="BQ22" s="29">
        <f>Table1[[#This Row],[HER_ZAR/kWh2]]*Table1[[#This Row],[Her_Energy_produced_(kWh)]]*(1+0.15)</f>
        <v>0</v>
      </c>
      <c r="BR22" s="29">
        <f>Table1[[#This Row],[TZA ZAR/kWh]]*Table1[[#This Row],[TZA_Energy_produced_(kWh)]]*(1+0.15)</f>
        <v>0</v>
      </c>
      <c r="BS22" s="16">
        <f>Table1[[#This Row],[Mid_ZAR/kWh]]*Table1[[#This Row],[Mid_P50_(kWh)]]*(1+0.15)</f>
        <v>0</v>
      </c>
      <c r="BT22" s="16">
        <f>Table1[[#This Row],[HIG_ZAR/kWh]]*Table1[[#This Row],[Hig_P50_(kWh)]]*(1+0.15)</f>
        <v>23482.569847330004</v>
      </c>
      <c r="BU22" s="16">
        <f>Table1[[#This Row],[VER_ZAR/kWh]]*Table1[[#This Row],[Verg_P50_(kWh)]]*(1+0.15)</f>
        <v>0</v>
      </c>
      <c r="BV22" s="16">
        <f>Table1[[#This Row],[DUR_ZAR/kWh]]*Table1[[#This Row],[Dur_P50_(kWh)]]*(1+0.15)</f>
        <v>0</v>
      </c>
      <c r="BW22" s="16">
        <f>Table1[[#This Row],[HER_ZAR/kWh2]]*Table1[[#This Row],[Her_P50_(kWh)]]*(1+0.15)</f>
        <v>0</v>
      </c>
      <c r="BX22" s="15">
        <f>Table1[[#This Row],[TZA ZAR/kWh]]*Table1[[#This Row],[TZA_P50_(kWh)]]*(1+0.15)</f>
        <v>42219.126760999992</v>
      </c>
      <c r="BY22" s="16"/>
      <c r="BZ22" s="31">
        <v>95</v>
      </c>
      <c r="CA22" s="31">
        <f>IFERROR(Table1[[#This Row],[Verg_P50_(kWh)]]*(Table1[[#This Row],[Verg_Irradiated_(kWh/m²)]]/Table1[[#This Row],[Verg_estimatedPOA]]),0)</f>
        <v>0</v>
      </c>
      <c r="CB22" s="31"/>
      <c r="CC22" s="31">
        <f>IFERROR(Table1[[#This Row],[Verg_P50_(kWh)]]*(Table1[[#This Row],[Verg_Irradiated_(kWh/m²)]]/Table1[[#This Row],[Verg_estimatedPOA]]),0)</f>
        <v>0</v>
      </c>
      <c r="CD22" s="33">
        <v>95</v>
      </c>
      <c r="CE22" s="33">
        <v>95</v>
      </c>
      <c r="CF22" s="110">
        <f>IFERROR(Table1[[#This Row],[Mid_P50_(kWh)]]*(Table1[[#This Row],[Mid_Irradiated_(kWh/m²)]]/Table1[[#This Row],[Mid_estimatedPOA]]),0)</f>
        <v>0</v>
      </c>
      <c r="CG22" s="35">
        <v>95</v>
      </c>
      <c r="CH22" s="111">
        <f>IFERROR(Table1[[#This Row],[Dur_P50_(kWh)]]*(Table1[[#This Row],[Dur_Energy_Irradiated_(kWh/m²)]]/Table1[[#This Row],[Dur_estimatedPOA]]),0)</f>
        <v>0</v>
      </c>
      <c r="CI22" s="37">
        <v>95</v>
      </c>
      <c r="CJ22" s="14">
        <f>IFERROR(Table1[[#This Row],[Hig_P50_(kWh)]]*(Table1[[#This Row],[Hig_Energy_Irradiated_(kWh/m²)]]/Table1[[#This Row],[Hig_estimatedPOA]]),0)</f>
        <v>0</v>
      </c>
      <c r="CK22" s="14">
        <f>IFERROR(Table1[[#This Row],[Her_P50_(kWh)]]*(Table1[[#This Row],[Her_Energy_Irradiated_(kWh/m²)]]/Table1[[#This Row],[Her_estimatedPOA]]),0)</f>
        <v>0</v>
      </c>
      <c r="CL22" s="37">
        <f>IFERROR(Table1[[#This Row],[TZA_P50_(kWh)]]*(Table1[[#This Row],[TZA_Energy_Irradiated_(kWh/m²)]]/Table1[[#This Row],[TZA_estimatedPOA]]),0)</f>
        <v>0</v>
      </c>
      <c r="CM22" s="36">
        <v>95</v>
      </c>
    </row>
    <row r="23" spans="1:91" x14ac:dyDescent="0.25">
      <c r="A23" s="13">
        <v>45108</v>
      </c>
      <c r="B23" s="163">
        <f>DataInput!B12</f>
        <v>0</v>
      </c>
      <c r="C23" s="190">
        <f>DataInput!C12</f>
        <v>0</v>
      </c>
      <c r="D23" s="163">
        <f>DataInput!D12</f>
        <v>0</v>
      </c>
      <c r="E23" s="163">
        <f>DataInput!E12</f>
        <v>0</v>
      </c>
      <c r="F23" s="163">
        <f>DataInput!F12</f>
        <v>0</v>
      </c>
      <c r="G23" s="162"/>
      <c r="H23" s="162"/>
      <c r="I23" s="163">
        <f>DataInput!G12</f>
        <v>0</v>
      </c>
      <c r="J23" s="162"/>
      <c r="K23" s="163">
        <f>DataInput!H12</f>
        <v>0</v>
      </c>
      <c r="L23" s="164">
        <f>DataInput!I12</f>
        <v>0</v>
      </c>
      <c r="M23" s="164">
        <f>DataInput!J12</f>
        <v>0</v>
      </c>
      <c r="N23" s="164">
        <f>DataInput!K12</f>
        <v>0</v>
      </c>
      <c r="O23" s="164">
        <f>DataInput!L12</f>
        <v>0</v>
      </c>
      <c r="P23" s="164">
        <f>DataInput!M12</f>
        <v>0</v>
      </c>
      <c r="Q23" s="32"/>
      <c r="R23" s="32"/>
      <c r="S23" s="164">
        <f>DataInput!N11</f>
        <v>0</v>
      </c>
      <c r="T23" s="32"/>
      <c r="U23" s="164">
        <f>DataInput!O11</f>
        <v>0</v>
      </c>
      <c r="V23" s="165">
        <f>DataInput!P12</f>
        <v>0</v>
      </c>
      <c r="W23" s="165">
        <f>DataInput!Q12</f>
        <v>0</v>
      </c>
      <c r="X23" s="165">
        <f>DataInput!R12</f>
        <v>0</v>
      </c>
      <c r="Y23" s="165">
        <f>DataInput!S12</f>
        <v>0</v>
      </c>
      <c r="Z23" s="165">
        <f>DataInput!T12</f>
        <v>0</v>
      </c>
      <c r="AA23" s="34"/>
      <c r="AB23" s="34"/>
      <c r="AC23" s="165">
        <f>DataInput!U12</f>
        <v>0</v>
      </c>
      <c r="AD23" s="34"/>
      <c r="AE23" s="165">
        <f>DataInput!V12</f>
        <v>0</v>
      </c>
      <c r="AF23" s="170">
        <f>DataInput!W12</f>
        <v>0</v>
      </c>
      <c r="AG23" s="170">
        <f>DataInput!X12</f>
        <v>0</v>
      </c>
      <c r="AH23" s="170">
        <f>DataInput!Y12</f>
        <v>0</v>
      </c>
      <c r="AI23" s="170">
        <f>DataInput!Z12</f>
        <v>0</v>
      </c>
      <c r="AJ23" s="166"/>
      <c r="AK23" s="166"/>
      <c r="AL23" s="164">
        <f>DataInput!AI12</f>
        <v>0</v>
      </c>
      <c r="AM23" s="166"/>
      <c r="AN23" s="166">
        <f>DataInput!AC12</f>
        <v>0</v>
      </c>
      <c r="AO23" s="176">
        <f>DataInput!AK12</f>
        <v>0</v>
      </c>
      <c r="AP23" s="176">
        <f>DataInput!AM12</f>
        <v>0</v>
      </c>
      <c r="AQ23" s="189">
        <f>DataInput!AL12</f>
        <v>0</v>
      </c>
      <c r="AR23" s="176">
        <v>0</v>
      </c>
      <c r="AS23" s="189">
        <v>48980.4</v>
      </c>
      <c r="AT23" s="189">
        <v>135.5</v>
      </c>
      <c r="AU23" s="193">
        <v>82.6</v>
      </c>
      <c r="AV23" s="171">
        <f>DataInput!AD12</f>
        <v>0</v>
      </c>
      <c r="AW23" s="171">
        <f>_xlfn.IFNA(DataInput!AE12,0)</f>
        <v>0</v>
      </c>
      <c r="AX23" s="171">
        <f>DataInput!AF12</f>
        <v>0</v>
      </c>
      <c r="AY23" s="171">
        <f>DataInput!AG12</f>
        <v>0</v>
      </c>
      <c r="AZ23" s="171">
        <v>32105.9</v>
      </c>
      <c r="BA23" s="171"/>
      <c r="BB23" s="171"/>
      <c r="BC23" s="171">
        <v>128.30000000000001</v>
      </c>
      <c r="BD23" s="171"/>
      <c r="BE23" s="171">
        <f>DataInput!AJ12</f>
        <v>0</v>
      </c>
      <c r="BF23" s="38">
        <v>0.71454600000000013</v>
      </c>
      <c r="BG23" s="38">
        <v>0.69843400000000011</v>
      </c>
      <c r="BH23" s="38">
        <v>0.65168800000000005</v>
      </c>
      <c r="BI23" s="38">
        <v>0.64299600000000001</v>
      </c>
      <c r="BJ23" s="38">
        <v>0.84206400000000003</v>
      </c>
      <c r="BK23" s="38">
        <v>0.79339999999999999</v>
      </c>
      <c r="BL23" s="29">
        <f t="shared" si="1"/>
        <v>0.15</v>
      </c>
      <c r="BM23" s="29">
        <f>Table1[[#This Row],[Mid_ZAR/kWh]]*Table1[[#This Row],[Mid_(kWh)2]]*(1+0.15)</f>
        <v>0</v>
      </c>
      <c r="BN23" s="29">
        <f>Table1[[#This Row],[HIG_ZAR/kWh]]*Table1[[#This Row],[Hig_Energy_produced_(kWh)2]]*(1+0.15)</f>
        <v>0</v>
      </c>
      <c r="BO23" s="29">
        <f>Table1[[#This Row],[VER_ZAR/kWh]]*Table1[[#This Row],[Verg_Energy_(kWh)]]*(1+0.15)</f>
        <v>0</v>
      </c>
      <c r="BP23" s="29">
        <f>Table1[[#This Row],[DUR_ZAR/kWh]]*Table1[[#This Row],[Dur_Energy_produced_(kWh)]]*(1+0.15)</f>
        <v>0</v>
      </c>
      <c r="BQ23" s="29">
        <f>Table1[[#This Row],[HER_ZAR/kWh2]]*Table1[[#This Row],[Her_Energy_produced_(kWh)]]*(1+0.15)</f>
        <v>0</v>
      </c>
      <c r="BR23" s="29">
        <f>Table1[[#This Row],[TZA ZAR/kWh]]*Table1[[#This Row],[TZA_Energy_produced_(kWh)]]*(1+0.15)</f>
        <v>0</v>
      </c>
      <c r="BS23" s="16">
        <f>Table1[[#This Row],[Mid_ZAR/kWh]]*Table1[[#This Row],[Mid_P50_(kWh)]]*(1+0.15)</f>
        <v>0</v>
      </c>
      <c r="BT23" s="16">
        <f>Table1[[#This Row],[HIG_ZAR/kWh]]*Table1[[#This Row],[Hig_P50_(kWh)]]*(1+0.15)</f>
        <v>25787.429984690003</v>
      </c>
      <c r="BU23" s="16">
        <f>Table1[[#This Row],[VER_ZAR/kWh]]*Table1[[#This Row],[Verg_P50_(kWh)]]*(1+0.15)</f>
        <v>0</v>
      </c>
      <c r="BV23" s="16">
        <f>Table1[[#This Row],[DUR_ZAR/kWh]]*Table1[[#This Row],[Dur_P50_(kWh)]]*(1+0.15)</f>
        <v>0</v>
      </c>
      <c r="BW23" s="16">
        <f>Table1[[#This Row],[HER_ZAR/kWh2]]*Table1[[#This Row],[Her_P50_(kWh)]]*(1+0.15)</f>
        <v>0</v>
      </c>
      <c r="BX23" s="15">
        <f>Table1[[#This Row],[TZA ZAR/kWh]]*Table1[[#This Row],[TZA_P50_(kWh)]]*(1+0.15)</f>
        <v>44690.206763999995</v>
      </c>
      <c r="BY23" s="16"/>
      <c r="BZ23" s="31">
        <v>95</v>
      </c>
      <c r="CA23" s="31">
        <f>IFERROR(Table1[[#This Row],[Verg_P50_(kWh)]]*(Table1[[#This Row],[Verg_Irradiated_(kWh/m²)]]/Table1[[#This Row],[Verg_estimatedPOA]]),0)</f>
        <v>0</v>
      </c>
      <c r="CB23" s="31"/>
      <c r="CC23" s="31">
        <f>IFERROR(Table1[[#This Row],[Verg_P50_(kWh)]]*(Table1[[#This Row],[Verg_Irradiated_(kWh/m²)]]/Table1[[#This Row],[Verg_estimatedPOA]]),0)</f>
        <v>0</v>
      </c>
      <c r="CD23" s="33">
        <v>95</v>
      </c>
      <c r="CE23" s="33">
        <v>95</v>
      </c>
      <c r="CF23" s="110">
        <f>IFERROR(Table1[[#This Row],[Mid_P50_(kWh)]]*(Table1[[#This Row],[Mid_Irradiated_(kWh/m²)]]/Table1[[#This Row],[Mid_estimatedPOA]]),0)</f>
        <v>0</v>
      </c>
      <c r="CG23" s="35">
        <v>95</v>
      </c>
      <c r="CH23" s="111">
        <f>IFERROR(Table1[[#This Row],[Dur_P50_(kWh)]]*(Table1[[#This Row],[Dur_Energy_Irradiated_(kWh/m²)]]/Table1[[#This Row],[Dur_estimatedPOA]]),0)</f>
        <v>0</v>
      </c>
      <c r="CI23" s="37">
        <v>95</v>
      </c>
      <c r="CJ23" s="14">
        <f>IFERROR(Table1[[#This Row],[Hig_P50_(kWh)]]*(Table1[[#This Row],[Hig_Energy_Irradiated_(kWh/m²)]]/Table1[[#This Row],[Hig_estimatedPOA]]),0)</f>
        <v>0</v>
      </c>
      <c r="CK23" s="14">
        <f>IFERROR(Table1[[#This Row],[Her_P50_(kWh)]]*(Table1[[#This Row],[Her_Energy_Irradiated_(kWh/m²)]]/Table1[[#This Row],[Her_estimatedPOA]]),0)</f>
        <v>0</v>
      </c>
      <c r="CL23" s="37">
        <f>IFERROR(Table1[[#This Row],[TZA_P50_(kWh)]]*(Table1[[#This Row],[TZA_Energy_Irradiated_(kWh/m²)]]/Table1[[#This Row],[TZA_estimatedPOA]]),0)</f>
        <v>0</v>
      </c>
      <c r="CM23" s="36">
        <v>95</v>
      </c>
    </row>
    <row r="24" spans="1:91" x14ac:dyDescent="0.25">
      <c r="A24" s="13">
        <v>45139</v>
      </c>
      <c r="B24" s="163">
        <f>DataInput!B13</f>
        <v>0</v>
      </c>
      <c r="C24" s="190">
        <f>DataInput!C13</f>
        <v>0</v>
      </c>
      <c r="D24" s="163">
        <f>DataInput!D13</f>
        <v>0</v>
      </c>
      <c r="E24" s="163">
        <f>DataInput!E13</f>
        <v>0</v>
      </c>
      <c r="F24" s="163">
        <f>DataInput!F13</f>
        <v>0</v>
      </c>
      <c r="G24" s="162"/>
      <c r="H24" s="162"/>
      <c r="I24" s="163">
        <f>DataInput!G13</f>
        <v>0</v>
      </c>
      <c r="J24" s="162"/>
      <c r="K24" s="163">
        <f>DataInput!H13</f>
        <v>0</v>
      </c>
      <c r="L24" s="164">
        <f>DataInput!I13</f>
        <v>0</v>
      </c>
      <c r="M24" s="164">
        <f>DataInput!J13</f>
        <v>0</v>
      </c>
      <c r="N24" s="164">
        <f>DataInput!K13</f>
        <v>0</v>
      </c>
      <c r="O24" s="164">
        <f>DataInput!L13</f>
        <v>0</v>
      </c>
      <c r="P24" s="164">
        <f>DataInput!M13</f>
        <v>0</v>
      </c>
      <c r="Q24" s="32"/>
      <c r="R24" s="32"/>
      <c r="S24" s="164">
        <f>DataInput!N12</f>
        <v>0</v>
      </c>
      <c r="T24" s="32"/>
      <c r="U24" s="164">
        <f>DataInput!O12</f>
        <v>0</v>
      </c>
      <c r="V24" s="165">
        <f>DataInput!P13</f>
        <v>0</v>
      </c>
      <c r="W24" s="165">
        <f>DataInput!Q13</f>
        <v>0</v>
      </c>
      <c r="X24" s="165">
        <f>DataInput!R13</f>
        <v>0</v>
      </c>
      <c r="Y24" s="165">
        <f>DataInput!S13</f>
        <v>0</v>
      </c>
      <c r="Z24" s="165">
        <f>DataInput!T13</f>
        <v>0</v>
      </c>
      <c r="AA24" s="34"/>
      <c r="AB24" s="34"/>
      <c r="AC24" s="165">
        <f>DataInput!U13</f>
        <v>0</v>
      </c>
      <c r="AD24" s="34"/>
      <c r="AE24" s="165">
        <f>DataInput!V13</f>
        <v>0</v>
      </c>
      <c r="AF24" s="170">
        <f>DataInput!W13</f>
        <v>0</v>
      </c>
      <c r="AG24" s="170">
        <f>DataInput!X13</f>
        <v>0</v>
      </c>
      <c r="AH24" s="170">
        <f>DataInput!Y13</f>
        <v>0</v>
      </c>
      <c r="AI24" s="170">
        <f>DataInput!Z13</f>
        <v>0</v>
      </c>
      <c r="AJ24" s="166"/>
      <c r="AK24" s="166"/>
      <c r="AL24" s="164">
        <f>DataInput!AI13</f>
        <v>0</v>
      </c>
      <c r="AM24" s="166"/>
      <c r="AN24" s="166">
        <f>DataInput!AC13</f>
        <v>0</v>
      </c>
      <c r="AO24" s="176">
        <f>DataInput!AK13</f>
        <v>0</v>
      </c>
      <c r="AP24" s="176">
        <f>DataInput!AM13</f>
        <v>0</v>
      </c>
      <c r="AQ24" s="189">
        <f>DataInput!AL13</f>
        <v>0</v>
      </c>
      <c r="AR24" s="176">
        <v>0</v>
      </c>
      <c r="AS24" s="189">
        <v>53872.7</v>
      </c>
      <c r="AT24" s="189">
        <v>152.69999999999999</v>
      </c>
      <c r="AU24" s="193">
        <v>82.6</v>
      </c>
      <c r="AV24" s="171">
        <f>DataInput!AD13</f>
        <v>0</v>
      </c>
      <c r="AW24" s="171">
        <f>_xlfn.IFNA(DataInput!AE13,0)</f>
        <v>0</v>
      </c>
      <c r="AX24" s="171">
        <f>DataInput!AF13</f>
        <v>0</v>
      </c>
      <c r="AY24" s="171">
        <f>DataInput!AG13</f>
        <v>0</v>
      </c>
      <c r="AZ24" s="171">
        <v>36750.9</v>
      </c>
      <c r="BA24" s="171"/>
      <c r="BB24" s="171"/>
      <c r="BC24" s="171">
        <v>154.4</v>
      </c>
      <c r="BD24" s="171"/>
      <c r="BE24" s="171">
        <f>DataInput!AJ13</f>
        <v>0</v>
      </c>
      <c r="BF24" s="38">
        <v>0.71454600000000013</v>
      </c>
      <c r="BG24" s="38">
        <v>0.69843400000000011</v>
      </c>
      <c r="BH24" s="38">
        <v>0.65168800000000005</v>
      </c>
      <c r="BI24" s="38">
        <v>0.64299600000000001</v>
      </c>
      <c r="BJ24" s="38">
        <v>0.84206400000000003</v>
      </c>
      <c r="BK24" s="38">
        <v>0.79339999999999999</v>
      </c>
      <c r="BL24" s="29">
        <f t="shared" si="1"/>
        <v>0.15</v>
      </c>
      <c r="BM24" s="29">
        <f>Table1[[#This Row],[Mid_ZAR/kWh]]*Table1[[#This Row],[Mid_(kWh)2]]*(1+0.15)</f>
        <v>0</v>
      </c>
      <c r="BN24" s="29">
        <f>Table1[[#This Row],[HIG_ZAR/kWh]]*Table1[[#This Row],[Hig_Energy_produced_(kWh)2]]*(1+0.15)</f>
        <v>0</v>
      </c>
      <c r="BO24" s="29">
        <f>Table1[[#This Row],[VER_ZAR/kWh]]*Table1[[#This Row],[Verg_Energy_(kWh)]]*(1+0.15)</f>
        <v>0</v>
      </c>
      <c r="BP24" s="29">
        <f>Table1[[#This Row],[DUR_ZAR/kWh]]*Table1[[#This Row],[Dur_Energy_produced_(kWh)]]*(1+0.15)</f>
        <v>0</v>
      </c>
      <c r="BQ24" s="29">
        <f>Table1[[#This Row],[HER_ZAR/kWh2]]*Table1[[#This Row],[Her_Energy_produced_(kWh)]]*(1+0.15)</f>
        <v>0</v>
      </c>
      <c r="BR24" s="29">
        <f>Table1[[#This Row],[TZA ZAR/kWh]]*Table1[[#This Row],[TZA_Energy_produced_(kWh)]]*(1+0.15)</f>
        <v>0</v>
      </c>
      <c r="BS24" s="16">
        <f>Table1[[#This Row],[Mid_ZAR/kWh]]*Table1[[#This Row],[Mid_P50_(kWh)]]*(1+0.15)</f>
        <v>0</v>
      </c>
      <c r="BT24" s="16">
        <f>Table1[[#This Row],[HIG_ZAR/kWh]]*Table1[[#This Row],[Hig_P50_(kWh)]]*(1+0.15)</f>
        <v>29518.289804190001</v>
      </c>
      <c r="BU24" s="16">
        <f>Table1[[#This Row],[VER_ZAR/kWh]]*Table1[[#This Row],[Verg_P50_(kWh)]]*(1+0.15)</f>
        <v>0</v>
      </c>
      <c r="BV24" s="16">
        <f>Table1[[#This Row],[DUR_ZAR/kWh]]*Table1[[#This Row],[Dur_P50_(kWh)]]*(1+0.15)</f>
        <v>0</v>
      </c>
      <c r="BW24" s="16">
        <f>Table1[[#This Row],[HER_ZAR/kWh2]]*Table1[[#This Row],[Her_P50_(kWh)]]*(1+0.15)</f>
        <v>0</v>
      </c>
      <c r="BX24" s="15">
        <f>Table1[[#This Row],[TZA ZAR/kWh]]*Table1[[#This Row],[TZA_P50_(kWh)]]*(1+0.15)</f>
        <v>49153.990206999988</v>
      </c>
      <c r="BY24" s="16"/>
      <c r="BZ24" s="31">
        <v>95</v>
      </c>
      <c r="CA24" s="31">
        <f>IFERROR(Table1[[#This Row],[Verg_P50_(kWh)]]*(Table1[[#This Row],[Verg_Irradiated_(kWh/m²)]]/Table1[[#This Row],[Verg_estimatedPOA]]),0)</f>
        <v>0</v>
      </c>
      <c r="CB24" s="31"/>
      <c r="CC24" s="31">
        <f>IFERROR(Table1[[#This Row],[Verg_P50_(kWh)]]*(Table1[[#This Row],[Verg_Irradiated_(kWh/m²)]]/Table1[[#This Row],[Verg_estimatedPOA]]),0)</f>
        <v>0</v>
      </c>
      <c r="CD24" s="33">
        <v>95</v>
      </c>
      <c r="CE24" s="33">
        <v>95</v>
      </c>
      <c r="CF24" s="110">
        <f>IFERROR(Table1[[#This Row],[Mid_P50_(kWh)]]*(Table1[[#This Row],[Mid_Irradiated_(kWh/m²)]]/Table1[[#This Row],[Mid_estimatedPOA]]),0)</f>
        <v>0</v>
      </c>
      <c r="CG24" s="35">
        <v>95</v>
      </c>
      <c r="CH24" s="111">
        <f>IFERROR(Table1[[#This Row],[Dur_P50_(kWh)]]*(Table1[[#This Row],[Dur_Energy_Irradiated_(kWh/m²)]]/Table1[[#This Row],[Dur_estimatedPOA]]),0)</f>
        <v>0</v>
      </c>
      <c r="CI24" s="37">
        <v>95</v>
      </c>
      <c r="CJ24" s="14">
        <f>IFERROR(Table1[[#This Row],[Hig_P50_(kWh)]]*(Table1[[#This Row],[Hig_Energy_Irradiated_(kWh/m²)]]/Table1[[#This Row],[Hig_estimatedPOA]]),0)</f>
        <v>0</v>
      </c>
      <c r="CK24" s="14">
        <f>IFERROR(Table1[[#This Row],[Her_P50_(kWh)]]*(Table1[[#This Row],[Her_Energy_Irradiated_(kWh/m²)]]/Table1[[#This Row],[Her_estimatedPOA]]),0)</f>
        <v>0</v>
      </c>
      <c r="CL24" s="37">
        <f>IFERROR(Table1[[#This Row],[TZA_P50_(kWh)]]*(Table1[[#This Row],[TZA_Energy_Irradiated_(kWh/m²)]]/Table1[[#This Row],[TZA_estimatedPOA]]),0)</f>
        <v>0</v>
      </c>
      <c r="CM24" s="36">
        <v>95</v>
      </c>
    </row>
    <row r="25" spans="1:91" x14ac:dyDescent="0.25">
      <c r="A25" s="13">
        <v>45170</v>
      </c>
      <c r="B25" s="163">
        <f>DataInput!B14</f>
        <v>0</v>
      </c>
      <c r="C25" s="190">
        <f>DataInput!C14</f>
        <v>0</v>
      </c>
      <c r="D25" s="163">
        <f>DataInput!D14</f>
        <v>0</v>
      </c>
      <c r="E25" s="163">
        <f>DataInput!E14</f>
        <v>0</v>
      </c>
      <c r="F25" s="163">
        <f>DataInput!F14</f>
        <v>0</v>
      </c>
      <c r="G25" s="162"/>
      <c r="H25" s="162"/>
      <c r="I25" s="163">
        <f>DataInput!G14</f>
        <v>0</v>
      </c>
      <c r="J25" s="162"/>
      <c r="K25" s="163">
        <f>DataInput!H14</f>
        <v>0</v>
      </c>
      <c r="L25" s="164">
        <f>DataInput!I14</f>
        <v>0</v>
      </c>
      <c r="M25" s="164">
        <f>DataInput!J14</f>
        <v>0</v>
      </c>
      <c r="N25" s="164">
        <f>DataInput!K14</f>
        <v>0</v>
      </c>
      <c r="O25" s="164">
        <f>DataInput!L14</f>
        <v>0</v>
      </c>
      <c r="P25" s="164">
        <f>DataInput!M14</f>
        <v>0</v>
      </c>
      <c r="Q25" s="32"/>
      <c r="R25" s="32"/>
      <c r="S25" s="164">
        <f>DataInput!N13</f>
        <v>0</v>
      </c>
      <c r="T25" s="32"/>
      <c r="U25" s="164">
        <f>DataInput!O13</f>
        <v>0</v>
      </c>
      <c r="V25" s="165">
        <f>DataInput!P14</f>
        <v>0</v>
      </c>
      <c r="W25" s="165">
        <f>DataInput!Q14</f>
        <v>0</v>
      </c>
      <c r="X25" s="165">
        <f>DataInput!R14</f>
        <v>0</v>
      </c>
      <c r="Y25" s="165">
        <f>DataInput!S14</f>
        <v>0</v>
      </c>
      <c r="Z25" s="165">
        <f>DataInput!T14</f>
        <v>0</v>
      </c>
      <c r="AA25" s="34"/>
      <c r="AB25" s="34"/>
      <c r="AC25" s="165">
        <f>DataInput!U14</f>
        <v>0</v>
      </c>
      <c r="AD25" s="34"/>
      <c r="AE25" s="165">
        <f>DataInput!V14</f>
        <v>0</v>
      </c>
      <c r="AF25" s="170">
        <f>DataInput!W14</f>
        <v>0</v>
      </c>
      <c r="AG25" s="170">
        <f>DataInput!X14</f>
        <v>0</v>
      </c>
      <c r="AH25" s="170">
        <f>DataInput!Y14</f>
        <v>0</v>
      </c>
      <c r="AI25" s="170">
        <f>DataInput!Z14</f>
        <v>0</v>
      </c>
      <c r="AJ25" s="170"/>
      <c r="AK25" s="166"/>
      <c r="AL25" s="164">
        <f>DataInput!AI14</f>
        <v>0</v>
      </c>
      <c r="AM25" s="166"/>
      <c r="AN25" s="166">
        <f>DataInput!AC14</f>
        <v>0</v>
      </c>
      <c r="AO25" s="176">
        <f>DataInput!AK14</f>
        <v>0</v>
      </c>
      <c r="AP25" s="176">
        <f>DataInput!AM14</f>
        <v>0</v>
      </c>
      <c r="AQ25" s="189">
        <f>DataInput!AL14</f>
        <v>0</v>
      </c>
      <c r="AR25" s="176">
        <v>0</v>
      </c>
      <c r="AS25" s="189">
        <v>55457.7</v>
      </c>
      <c r="AT25" s="189">
        <v>161.80000000000001</v>
      </c>
      <c r="AU25" s="193">
        <v>82.6</v>
      </c>
      <c r="AV25" s="171">
        <f>DataInput!AD14</f>
        <v>0</v>
      </c>
      <c r="AW25" s="171">
        <f>_xlfn.IFNA(DataInput!AE14,0)</f>
        <v>0</v>
      </c>
      <c r="AX25" s="171">
        <f>DataInput!AF14</f>
        <v>0</v>
      </c>
      <c r="AY25" s="171">
        <f>DataInput!AG14</f>
        <v>0</v>
      </c>
      <c r="AZ25" s="171">
        <v>39471.1</v>
      </c>
      <c r="BA25" s="171"/>
      <c r="BB25" s="171"/>
      <c r="BC25" s="171">
        <v>175.7</v>
      </c>
      <c r="BD25" s="171"/>
      <c r="BE25" s="171">
        <f>DataInput!AJ14</f>
        <v>0</v>
      </c>
      <c r="BF25" s="38">
        <v>0.71454600000000013</v>
      </c>
      <c r="BG25" s="38">
        <v>0.69843400000000011</v>
      </c>
      <c r="BH25" s="38">
        <v>0.65168800000000005</v>
      </c>
      <c r="BI25" s="38">
        <v>0.64299600000000001</v>
      </c>
      <c r="BJ25" s="38">
        <v>0.84206400000000003</v>
      </c>
      <c r="BK25" s="38">
        <v>0.79339999999999999</v>
      </c>
      <c r="BL25" s="29">
        <f t="shared" si="1"/>
        <v>0.15</v>
      </c>
      <c r="BM25" s="29">
        <f>Table1[[#This Row],[Mid_ZAR/kWh]]*Table1[[#This Row],[Mid_(kWh)2]]*(1+0.15)</f>
        <v>0</v>
      </c>
      <c r="BN25" s="29">
        <f>Table1[[#This Row],[HIG_ZAR/kWh]]*Table1[[#This Row],[Hig_Energy_produced_(kWh)2]]*(1+0.15)</f>
        <v>0</v>
      </c>
      <c r="BO25" s="29">
        <f>Table1[[#This Row],[VER_ZAR/kWh]]*Table1[[#This Row],[Verg_Energy_(kWh)]]*(1+0.15)</f>
        <v>0</v>
      </c>
      <c r="BP25" s="29">
        <f>Table1[[#This Row],[DUR_ZAR/kWh]]*Table1[[#This Row],[Dur_Energy_produced_(kWh)]]*(1+0.15)</f>
        <v>0</v>
      </c>
      <c r="BQ25" s="29">
        <f>Table1[[#This Row],[HER_ZAR/kWh2]]*Table1[[#This Row],[Her_Energy_produced_(kWh)]]*(1+0.15)</f>
        <v>0</v>
      </c>
      <c r="BR25" s="29">
        <f>Table1[[#This Row],[TZA ZAR/kWh]]*Table1[[#This Row],[TZA_Energy_produced_(kWh)]]*(1+0.15)</f>
        <v>0</v>
      </c>
      <c r="BS25" s="16">
        <f>Table1[[#This Row],[Mid_ZAR/kWh]]*Table1[[#This Row],[Mid_P50_(kWh)]]*(1+0.15)</f>
        <v>0</v>
      </c>
      <c r="BT25" s="16">
        <f>Table1[[#This Row],[HIG_ZAR/kWh]]*Table1[[#This Row],[Hig_P50_(kWh)]]*(1+0.15)</f>
        <v>31703.151996010005</v>
      </c>
      <c r="BU25" s="16">
        <f>Table1[[#This Row],[VER_ZAR/kWh]]*Table1[[#This Row],[Verg_P50_(kWh)]]*(1+0.15)</f>
        <v>0</v>
      </c>
      <c r="BV25" s="16">
        <f>Table1[[#This Row],[DUR_ZAR/kWh]]*Table1[[#This Row],[Dur_P50_(kWh)]]*(1+0.15)</f>
        <v>0</v>
      </c>
      <c r="BW25" s="16">
        <f>Table1[[#This Row],[HER_ZAR/kWh2]]*Table1[[#This Row],[Her_P50_(kWh)]]*(1+0.15)</f>
        <v>0</v>
      </c>
      <c r="BX25" s="15">
        <f>Table1[[#This Row],[TZA ZAR/kWh]]*Table1[[#This Row],[TZA_P50_(kWh)]]*(1+0.15)</f>
        <v>50600.160056999994</v>
      </c>
      <c r="BY25" s="16"/>
      <c r="BZ25" s="31">
        <v>95</v>
      </c>
      <c r="CA25" s="31">
        <f>IFERROR(Table1[[#This Row],[Verg_P50_(kWh)]]*(Table1[[#This Row],[Verg_Irradiated_(kWh/m²)]]/Table1[[#This Row],[Verg_estimatedPOA]]),0)</f>
        <v>0</v>
      </c>
      <c r="CB25" s="31"/>
      <c r="CC25" s="31">
        <f>IFERROR(Table1[[#This Row],[Verg_P50_(kWh)]]*(Table1[[#This Row],[Verg_Irradiated_(kWh/m²)]]/Table1[[#This Row],[Verg_estimatedPOA]]),0)</f>
        <v>0</v>
      </c>
      <c r="CD25" s="33">
        <v>95</v>
      </c>
      <c r="CE25" s="33">
        <v>95</v>
      </c>
      <c r="CF25" s="110">
        <f>IFERROR(Table1[[#This Row],[Mid_P50_(kWh)]]*(Table1[[#This Row],[Mid_Irradiated_(kWh/m²)]]/Table1[[#This Row],[Mid_estimatedPOA]]),0)</f>
        <v>0</v>
      </c>
      <c r="CG25" s="35">
        <v>95</v>
      </c>
      <c r="CH25" s="111">
        <f>IFERROR(Table1[[#This Row],[Dur_P50_(kWh)]]*(Table1[[#This Row],[Dur_Energy_Irradiated_(kWh/m²)]]/Table1[[#This Row],[Dur_estimatedPOA]]),0)</f>
        <v>0</v>
      </c>
      <c r="CI25" s="37">
        <v>95</v>
      </c>
      <c r="CJ25" s="14">
        <f>IFERROR(Table1[[#This Row],[Hig_P50_(kWh)]]*(Table1[[#This Row],[Hig_Energy_Irradiated_(kWh/m²)]]/Table1[[#This Row],[Hig_estimatedPOA]]),0)</f>
        <v>0</v>
      </c>
      <c r="CK25" s="14">
        <f>IFERROR(Table1[[#This Row],[Her_P50_(kWh)]]*(Table1[[#This Row],[Her_Energy_Irradiated_(kWh/m²)]]/Table1[[#This Row],[Her_estimatedPOA]]),0)</f>
        <v>0</v>
      </c>
      <c r="CL25" s="37">
        <f>IFERROR(Table1[[#This Row],[TZA_P50_(kWh)]]*(Table1[[#This Row],[TZA_Energy_Irradiated_(kWh/m²)]]/Table1[[#This Row],[TZA_estimatedPOA]]),0)</f>
        <v>0</v>
      </c>
      <c r="CM25" s="36">
        <v>95</v>
      </c>
    </row>
    <row r="26" spans="1:91" x14ac:dyDescent="0.25">
      <c r="A26" s="13">
        <v>45200</v>
      </c>
      <c r="B26" s="163">
        <f>DataInput!B15</f>
        <v>0</v>
      </c>
      <c r="C26" s="190">
        <f>DataInput!C15</f>
        <v>0</v>
      </c>
      <c r="D26" s="163">
        <f>DataInput!D15</f>
        <v>0</v>
      </c>
      <c r="E26" s="163">
        <f>DataInput!E15</f>
        <v>0</v>
      </c>
      <c r="F26" s="163">
        <f>DataInput!F15</f>
        <v>0</v>
      </c>
      <c r="G26" s="162"/>
      <c r="H26" s="162"/>
      <c r="I26" s="163">
        <f>DataInput!G15</f>
        <v>0</v>
      </c>
      <c r="J26" s="162"/>
      <c r="K26" s="163">
        <f>DataInput!H15</f>
        <v>0</v>
      </c>
      <c r="L26" s="164">
        <f>DataInput!I15</f>
        <v>0</v>
      </c>
      <c r="M26" s="164">
        <f>DataInput!J15</f>
        <v>0</v>
      </c>
      <c r="N26" s="164">
        <f>DataInput!K15</f>
        <v>0</v>
      </c>
      <c r="O26" s="164">
        <f>DataInput!L15</f>
        <v>0</v>
      </c>
      <c r="P26" s="164">
        <f>DataInput!M15</f>
        <v>0</v>
      </c>
      <c r="Q26" s="32"/>
      <c r="R26" s="32"/>
      <c r="S26" s="164">
        <f>DataInput!N14</f>
        <v>0</v>
      </c>
      <c r="T26" s="32"/>
      <c r="U26" s="164">
        <f>DataInput!O14</f>
        <v>0</v>
      </c>
      <c r="V26" s="165">
        <f>DataInput!P15</f>
        <v>0</v>
      </c>
      <c r="W26" s="165">
        <f>DataInput!Q15</f>
        <v>0</v>
      </c>
      <c r="X26" s="165">
        <f>DataInput!R15</f>
        <v>0</v>
      </c>
      <c r="Y26" s="165">
        <f>DataInput!S15</f>
        <v>0</v>
      </c>
      <c r="Z26" s="165">
        <f>DataInput!T15</f>
        <v>0</v>
      </c>
      <c r="AA26" s="34"/>
      <c r="AB26" s="34"/>
      <c r="AC26" s="165">
        <f>DataInput!U15</f>
        <v>0</v>
      </c>
      <c r="AD26" s="34"/>
      <c r="AE26" s="165">
        <f>DataInput!V15</f>
        <v>0</v>
      </c>
      <c r="AF26" s="170">
        <f>DataInput!W15</f>
        <v>0</v>
      </c>
      <c r="AG26" s="170">
        <f>DataInput!X15</f>
        <v>0</v>
      </c>
      <c r="AH26" s="170">
        <f>DataInput!Y15</f>
        <v>0</v>
      </c>
      <c r="AI26" s="170">
        <f>DataInput!Z15</f>
        <v>0</v>
      </c>
      <c r="AJ26" s="170"/>
      <c r="AK26" s="166"/>
      <c r="AL26" s="164">
        <f>DataInput!AI15</f>
        <v>0</v>
      </c>
      <c r="AM26" s="166"/>
      <c r="AN26" s="166">
        <f>DataInput!AC15</f>
        <v>0</v>
      </c>
      <c r="AO26" s="176">
        <f>DataInput!AK15</f>
        <v>0</v>
      </c>
      <c r="AP26" s="176">
        <f>DataInput!AM15</f>
        <v>0</v>
      </c>
      <c r="AQ26" s="189">
        <f>DataInput!AL15</f>
        <v>0</v>
      </c>
      <c r="AR26" s="176">
        <v>0</v>
      </c>
      <c r="AS26" s="189">
        <v>51809.5</v>
      </c>
      <c r="AT26" s="189">
        <v>154.5</v>
      </c>
      <c r="AU26" s="193">
        <v>82.6</v>
      </c>
      <c r="AV26" s="171">
        <f>DataInput!AD15</f>
        <v>0</v>
      </c>
      <c r="AW26" s="171">
        <f>_xlfn.IFNA(DataInput!AE15,0)</f>
        <v>0</v>
      </c>
      <c r="AX26" s="171">
        <f>DataInput!AF15</f>
        <v>0</v>
      </c>
      <c r="AY26" s="171">
        <f>DataInput!AG15</f>
        <v>0</v>
      </c>
      <c r="AZ26" s="171">
        <v>40429.5</v>
      </c>
      <c r="BA26" s="171"/>
      <c r="BB26" s="171"/>
      <c r="BC26" s="171">
        <v>190.6</v>
      </c>
      <c r="BD26" s="171"/>
      <c r="BE26" s="171">
        <f>DataInput!AJ15</f>
        <v>0</v>
      </c>
      <c r="BF26" s="38">
        <v>0.71454600000000013</v>
      </c>
      <c r="BG26" s="38">
        <v>0.69843400000000011</v>
      </c>
      <c r="BH26" s="38">
        <v>0.65168800000000005</v>
      </c>
      <c r="BI26" s="38">
        <v>0.64299600000000001</v>
      </c>
      <c r="BJ26" s="38">
        <v>0.84206400000000003</v>
      </c>
      <c r="BK26" s="38">
        <v>0.79339999999999999</v>
      </c>
      <c r="BL26" s="29">
        <f t="shared" si="1"/>
        <v>0.15</v>
      </c>
      <c r="BM26" s="29">
        <f>Table1[[#This Row],[Mid_ZAR/kWh]]*Table1[[#This Row],[Mid_(kWh)2]]*(1+0.15)</f>
        <v>0</v>
      </c>
      <c r="BN26" s="29">
        <f>Table1[[#This Row],[HIG_ZAR/kWh]]*Table1[[#This Row],[Hig_Energy_produced_(kWh)2]]*(1+0.15)</f>
        <v>0</v>
      </c>
      <c r="BO26" s="29">
        <f>Table1[[#This Row],[VER_ZAR/kWh]]*Table1[[#This Row],[Verg_Energy_(kWh)]]*(1+0.15)</f>
        <v>0</v>
      </c>
      <c r="BP26" s="29">
        <f>Table1[[#This Row],[DUR_ZAR/kWh]]*Table1[[#This Row],[Dur_Energy_produced_(kWh)]]*(1+0.15)</f>
        <v>0</v>
      </c>
      <c r="BQ26" s="29">
        <f>Table1[[#This Row],[HER_ZAR/kWh2]]*Table1[[#This Row],[Her_Energy_produced_(kWh)]]*(1+0.15)</f>
        <v>0</v>
      </c>
      <c r="BR26" s="29">
        <f>Table1[[#This Row],[TZA ZAR/kWh]]*Table1[[#This Row],[TZA_Energy_produced_(kWh)]]*(1+0.15)</f>
        <v>0</v>
      </c>
      <c r="BS26" s="16">
        <f>Table1[[#This Row],[Mid_ZAR/kWh]]*Table1[[#This Row],[Mid_P50_(kWh)]]*(1+0.15)</f>
        <v>0</v>
      </c>
      <c r="BT26" s="16">
        <f>Table1[[#This Row],[HIG_ZAR/kWh]]*Table1[[#This Row],[Hig_P50_(kWh)]]*(1+0.15)</f>
        <v>32472.938013450002</v>
      </c>
      <c r="BU26" s="16">
        <f>Table1[[#This Row],[VER_ZAR/kWh]]*Table1[[#This Row],[Verg_P50_(kWh)]]*(1+0.15)</f>
        <v>0</v>
      </c>
      <c r="BV26" s="16">
        <f>Table1[[#This Row],[DUR_ZAR/kWh]]*Table1[[#This Row],[Dur_P50_(kWh)]]*(1+0.15)</f>
        <v>0</v>
      </c>
      <c r="BW26" s="16">
        <f>Table1[[#This Row],[HER_ZAR/kWh2]]*Table1[[#This Row],[Her_P50_(kWh)]]*(1+0.15)</f>
        <v>0</v>
      </c>
      <c r="BX26" s="15">
        <f>Table1[[#This Row],[TZA ZAR/kWh]]*Table1[[#This Row],[TZA_P50_(kWh)]]*(1+0.15)</f>
        <v>47271.505894999995</v>
      </c>
      <c r="BY26" s="16"/>
      <c r="BZ26" s="31">
        <v>95</v>
      </c>
      <c r="CA26" s="31">
        <f>IFERROR(Table1[[#This Row],[Verg_P50_(kWh)]]*(Table1[[#This Row],[Verg_Irradiated_(kWh/m²)]]/Table1[[#This Row],[Verg_estimatedPOA]]),0)</f>
        <v>0</v>
      </c>
      <c r="CB26" s="31"/>
      <c r="CC26" s="31">
        <f>IFERROR(Table1[[#This Row],[Verg_P50_(kWh)]]*(Table1[[#This Row],[Verg_Irradiated_(kWh/m²)]]/Table1[[#This Row],[Verg_estimatedPOA]]),0)</f>
        <v>0</v>
      </c>
      <c r="CD26" s="33">
        <v>95</v>
      </c>
      <c r="CE26" s="33">
        <v>95</v>
      </c>
      <c r="CF26" s="110">
        <f>IFERROR(Table1[[#This Row],[Mid_P50_(kWh)]]*(Table1[[#This Row],[Mid_Irradiated_(kWh/m²)]]/Table1[[#This Row],[Mid_estimatedPOA]]),0)</f>
        <v>0</v>
      </c>
      <c r="CG26" s="35">
        <v>95</v>
      </c>
      <c r="CH26" s="111">
        <f>IFERROR(Table1[[#This Row],[Dur_P50_(kWh)]]*(Table1[[#This Row],[Dur_Energy_Irradiated_(kWh/m²)]]/Table1[[#This Row],[Dur_estimatedPOA]]),0)</f>
        <v>0</v>
      </c>
      <c r="CI26" s="37">
        <v>95</v>
      </c>
      <c r="CJ26" s="14">
        <f>IFERROR(Table1[[#This Row],[Hig_P50_(kWh)]]*(Table1[[#This Row],[Hig_Energy_Irradiated_(kWh/m²)]]/Table1[[#This Row],[Hig_estimatedPOA]]),0)</f>
        <v>0</v>
      </c>
      <c r="CK26" s="14">
        <f>IFERROR(Table1[[#This Row],[Her_P50_(kWh)]]*(Table1[[#This Row],[Her_Energy_Irradiated_(kWh/m²)]]/Table1[[#This Row],[Her_estimatedPOA]]),0)</f>
        <v>0</v>
      </c>
      <c r="CL26" s="37">
        <f>IFERROR(Table1[[#This Row],[TZA_P50_(kWh)]]*(Table1[[#This Row],[TZA_Energy_Irradiated_(kWh/m²)]]/Table1[[#This Row],[TZA_estimatedPOA]]),0)</f>
        <v>0</v>
      </c>
      <c r="CM26" s="36">
        <v>95</v>
      </c>
    </row>
    <row r="27" spans="1:91" x14ac:dyDescent="0.25">
      <c r="A27" s="13">
        <v>45231</v>
      </c>
      <c r="B27" s="163"/>
      <c r="C27" s="190"/>
      <c r="D27" s="163"/>
      <c r="E27" s="163"/>
      <c r="F27" s="163"/>
      <c r="G27" s="162"/>
      <c r="H27" s="162"/>
      <c r="I27" s="163"/>
      <c r="J27" s="162"/>
      <c r="K27" s="163"/>
      <c r="L27" s="164"/>
      <c r="M27" s="164"/>
      <c r="N27" s="164">
        <f>DataInput!K16</f>
        <v>0</v>
      </c>
      <c r="O27" s="164">
        <f>DataInput!L16</f>
        <v>0</v>
      </c>
      <c r="P27" s="164">
        <f>DataInput!M16</f>
        <v>0</v>
      </c>
      <c r="Q27" s="32"/>
      <c r="R27" s="32"/>
      <c r="S27" s="164"/>
      <c r="T27" s="32"/>
      <c r="U27" s="164"/>
      <c r="V27" s="165"/>
      <c r="W27" s="165"/>
      <c r="X27" s="165"/>
      <c r="Y27" s="165">
        <f>DataInput!S16</f>
        <v>0</v>
      </c>
      <c r="Z27" s="165"/>
      <c r="AA27" s="34"/>
      <c r="AB27" s="34"/>
      <c r="AC27" s="165"/>
      <c r="AD27" s="34"/>
      <c r="AE27" s="165"/>
      <c r="AF27" s="170">
        <f>DataInput!W16</f>
        <v>0</v>
      </c>
      <c r="AG27" s="170">
        <f>DataInput!X16</f>
        <v>0</v>
      </c>
      <c r="AH27" s="170"/>
      <c r="AI27" s="170"/>
      <c r="AJ27" s="170"/>
      <c r="AK27" s="166"/>
      <c r="AL27" s="164">
        <f>DataInput!AI16</f>
        <v>0</v>
      </c>
      <c r="AM27" s="166"/>
      <c r="AN27" s="166"/>
      <c r="AO27" s="176">
        <f>DataInput!AK16</f>
        <v>0</v>
      </c>
      <c r="AP27" s="176">
        <f>DataInput!AM16</f>
        <v>0</v>
      </c>
      <c r="AQ27" s="189">
        <f>DataInput!AL16</f>
        <v>0</v>
      </c>
      <c r="AR27" s="176"/>
      <c r="AS27" s="189">
        <v>51175.7</v>
      </c>
      <c r="AT27" s="189">
        <v>154.5</v>
      </c>
      <c r="AU27" s="193"/>
      <c r="AV27" s="171"/>
      <c r="AW27" s="171"/>
      <c r="AX27" s="171"/>
      <c r="AY27" s="171"/>
      <c r="AZ27" s="171">
        <v>40364.699999999997</v>
      </c>
      <c r="BA27" s="171"/>
      <c r="BB27" s="171"/>
      <c r="BC27" s="171">
        <v>197</v>
      </c>
      <c r="BD27" s="171"/>
      <c r="BE27" s="171"/>
      <c r="BF27" s="38"/>
      <c r="BG27" s="38"/>
      <c r="BH27" s="38"/>
      <c r="BI27" s="38"/>
      <c r="BJ27" s="38"/>
      <c r="BK27" s="38"/>
      <c r="BL27" s="29">
        <f>0.15</f>
        <v>0.15</v>
      </c>
      <c r="BM27" s="29">
        <f>Table1[[#This Row],[Mid_ZAR/kWh]]*Table1[[#This Row],[Mid_(kWh)2]]*(1+0.15)</f>
        <v>0</v>
      </c>
      <c r="BN27" s="29">
        <f>Table1[[#This Row],[HIG_ZAR/kWh]]*Table1[[#This Row],[Hig_Energy_produced_(kWh)2]]*(1+0.15)</f>
        <v>0</v>
      </c>
      <c r="BO27" s="29">
        <f>Table1[[#This Row],[VER_ZAR/kWh]]*Table1[[#This Row],[Verg_Energy_(kWh)]]*(1+0.15)</f>
        <v>0</v>
      </c>
      <c r="BP27" s="29">
        <f>Table1[[#This Row],[DUR_ZAR/kWh]]*Table1[[#This Row],[Dur_Energy_produced_(kWh)]]*(1+0.15)</f>
        <v>0</v>
      </c>
      <c r="BQ27" s="29">
        <f>Table1[[#This Row],[HER_ZAR/kWh2]]*Table1[[#This Row],[Her_Energy_produced_(kWh)]]*(1+0.15)</f>
        <v>0</v>
      </c>
      <c r="BR27" s="29">
        <f>Table1[[#This Row],[TZA ZAR/kWh]]*Table1[[#This Row],[TZA_Energy_produced_(kWh)]]*(1+0.15)</f>
        <v>0</v>
      </c>
      <c r="BS27" s="16">
        <f>Table1[[#This Row],[Mid_ZAR/kWh]]*Table1[[#This Row],[Mid_P50_(kWh)]]*(1+0.15)</f>
        <v>0</v>
      </c>
      <c r="BT27" s="16">
        <f>Table1[[#This Row],[HIG_ZAR/kWh]]*Table1[[#This Row],[Hig_P50_(kWh)]]*(1+0.15)</f>
        <v>0</v>
      </c>
      <c r="BU27" s="16">
        <f>Table1[[#This Row],[VER_ZAR/kWh]]*Table1[[#This Row],[Verg_P50_(kWh)]]*(1+0.15)</f>
        <v>0</v>
      </c>
      <c r="BV27" s="16">
        <f>Table1[[#This Row],[DUR_ZAR/kWh]]*Table1[[#This Row],[Dur_P50_(kWh)]]*(1+0.15)</f>
        <v>0</v>
      </c>
      <c r="BW27" s="16">
        <f>Table1[[#This Row],[HER_ZAR/kWh2]]*Table1[[#This Row],[Her_P50_(kWh)]]*(1+0.15)</f>
        <v>0</v>
      </c>
      <c r="BX27" s="15">
        <f>Table1[[#This Row],[TZA ZAR/kWh]]*Table1[[#This Row],[TZA_P50_(kWh)]]*(1+0.15)</f>
        <v>0</v>
      </c>
      <c r="BY27" s="16"/>
      <c r="BZ27" s="31"/>
      <c r="CA27" s="109"/>
      <c r="CB27" s="31"/>
      <c r="CC27" s="31"/>
      <c r="CD27" s="33"/>
      <c r="CE27" s="33"/>
      <c r="CF27" s="110"/>
      <c r="CG27" s="35"/>
      <c r="CH27" s="111"/>
      <c r="CI27" s="37"/>
      <c r="CJ27" s="14"/>
      <c r="CK27" s="14"/>
      <c r="CL27" s="37"/>
      <c r="CM27" s="36"/>
    </row>
    <row r="28" spans="1:91" hidden="1" x14ac:dyDescent="0.25">
      <c r="A28" s="13">
        <v>45292</v>
      </c>
      <c r="B28" s="30"/>
      <c r="C28" s="30"/>
      <c r="D28" s="30"/>
      <c r="E28" s="30"/>
      <c r="F28" s="30"/>
      <c r="G28" s="30"/>
      <c r="H28" s="30"/>
      <c r="I28" s="30"/>
      <c r="J28" s="30"/>
      <c r="K28" s="31"/>
      <c r="L28" s="32"/>
      <c r="M28" s="32"/>
      <c r="N28" s="164">
        <f>DataInput!K18</f>
        <v>0</v>
      </c>
      <c r="O28" s="164">
        <f>DataInput!L18</f>
        <v>0</v>
      </c>
      <c r="P28" s="164">
        <f>DataInput!M18</f>
        <v>0</v>
      </c>
      <c r="Q28" s="32"/>
      <c r="R28" s="32"/>
      <c r="S28" s="32"/>
      <c r="T28" s="32"/>
      <c r="U28" s="33"/>
      <c r="V28" s="34"/>
      <c r="W28" s="34"/>
      <c r="X28" s="34"/>
      <c r="Y28" s="34"/>
      <c r="Z28" s="34"/>
      <c r="AA28" s="34"/>
      <c r="AB28" s="34"/>
      <c r="AC28" s="34"/>
      <c r="AD28" s="34"/>
      <c r="AE28" s="35"/>
      <c r="AF28" s="166"/>
      <c r="AG28" s="166"/>
      <c r="AH28" s="166"/>
      <c r="AI28" s="166"/>
      <c r="AJ28" s="195">
        <v>43620.800000000003</v>
      </c>
      <c r="AK28" s="166"/>
      <c r="AL28" s="166"/>
      <c r="AM28" s="166"/>
      <c r="AN28" s="169"/>
      <c r="AO28" s="169"/>
      <c r="AP28" s="17"/>
      <c r="AQ28" s="166"/>
      <c r="AR28" s="189"/>
      <c r="AS28" s="189"/>
      <c r="AT28" s="189"/>
      <c r="AU28" s="189"/>
      <c r="AV28" s="171"/>
      <c r="AW28" s="171"/>
      <c r="AX28" s="171"/>
      <c r="AY28" s="171"/>
      <c r="AZ28" s="171">
        <v>42270.2</v>
      </c>
      <c r="BA28" s="171"/>
      <c r="BB28" s="171"/>
      <c r="BC28" s="171">
        <v>212.4</v>
      </c>
      <c r="BD28" s="171"/>
      <c r="BE28" s="172"/>
      <c r="BF28" s="38"/>
      <c r="BG28" s="38"/>
      <c r="BH28" s="38"/>
      <c r="BI28" s="38"/>
      <c r="BJ28" s="38"/>
      <c r="BK28" s="38"/>
      <c r="BL28" s="38">
        <f>0.15</f>
        <v>0.15</v>
      </c>
      <c r="BM28" s="38">
        <f>Table1[[#This Row],[Mid_ZAR/kWh]]*Table1[[#This Row],[Mid_(kWh)2]]*(1+0.15)</f>
        <v>0</v>
      </c>
      <c r="BN28" s="38">
        <f>Table1[[#This Row],[HIG_ZAR/kWh]]*Table1[[#This Row],[Hig_Energy_produced_(kWh)2]]*(1+0.15)</f>
        <v>0</v>
      </c>
      <c r="BO28" s="38">
        <f>Table1[[#This Row],[VER_ZAR/kWh]]*Table1[[#This Row],[Verg_Energy_(kWh)]]*(1+0.15)</f>
        <v>0</v>
      </c>
      <c r="BP28" s="38">
        <f>Table1[[#This Row],[DUR_ZAR/kWh]]*Table1[[#This Row],[Dur_Energy_produced_(kWh)]]*(1+0.15)</f>
        <v>0</v>
      </c>
      <c r="BQ28" s="38">
        <f>Table1[[#This Row],[HER_ZAR/kWh2]]*Table1[[#This Row],[Her_Energy_produced_(kWh)]]*(1+0.15)</f>
        <v>0</v>
      </c>
      <c r="BR28" s="29">
        <f>Table1[[#This Row],[TZA ZAR/kWh]]*Table1[[#This Row],[TZA_Energy_produced_(kWh)]]*(1+0.15)</f>
        <v>0</v>
      </c>
      <c r="BS28" s="15">
        <f>Table1[[#This Row],[Mid_ZAR/kWh]]*Table1[[#This Row],[Mid_P50_(kWh)]]*(1+0.15)</f>
        <v>0</v>
      </c>
      <c r="BT28" s="15">
        <f>Table1[[#This Row],[HIG_ZAR/kWh]]*Table1[[#This Row],[Hig_P50_(kWh)]]*(1+0.15)</f>
        <v>0</v>
      </c>
      <c r="BU28" s="15">
        <f>Table1[[#This Row],[VER_ZAR/kWh]]*Table1[[#This Row],[Verg_P50_(kWh)]]*(1+0.15)</f>
        <v>0</v>
      </c>
      <c r="BV28" s="15">
        <f>Table1[[#This Row],[DUR_ZAR/kWh]]*Table1[[#This Row],[Dur_P50_(kWh)]]*(1+0.15)</f>
        <v>0</v>
      </c>
      <c r="BW28" s="15">
        <f>Table1[[#This Row],[HER_ZAR/kWh2]]*Table1[[#This Row],[Her_P50_(kWh)]]*(1+0.15)</f>
        <v>0</v>
      </c>
      <c r="BX28" s="15">
        <f>Table1[[#This Row],[TZA ZAR/kWh]]*Table1[[#This Row],[TZA_P50_(kWh)]]*(1+0.15)</f>
        <v>0</v>
      </c>
      <c r="BY28" s="16"/>
    </row>
    <row r="34" spans="86:86" x14ac:dyDescent="0.25">
      <c r="CH34"/>
    </row>
  </sheetData>
  <sheetProtection formatCells="0" formatColumns="0" formatRows="0" insertColumns="0" insertRows="0" insertHyperlinks="0" deleteColumns="0" deleteRows="0" sort="0" autoFilter="0" pivotTables="0"/>
  <dataConsolidate link="1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T25"/>
  <sheetViews>
    <sheetView workbookViewId="0">
      <selection activeCell="H5" sqref="H5"/>
    </sheetView>
  </sheetViews>
  <sheetFormatPr defaultRowHeight="15" x14ac:dyDescent="0.25"/>
  <cols>
    <col min="2" max="2" width="16.7109375" customWidth="1"/>
    <col min="6" max="6" width="13.85546875" customWidth="1"/>
  </cols>
  <sheetData>
    <row r="1" spans="1:46" x14ac:dyDescent="0.25">
      <c r="A1" s="130">
        <v>44470</v>
      </c>
      <c r="B1" s="131">
        <v>15875.7</v>
      </c>
      <c r="C1" s="131">
        <v>0</v>
      </c>
      <c r="D1" s="131">
        <v>0</v>
      </c>
      <c r="E1" s="131">
        <v>15.83</v>
      </c>
      <c r="F1" s="131">
        <v>10346.032258064501</v>
      </c>
      <c r="G1" s="131">
        <v>0</v>
      </c>
      <c r="H1" s="135">
        <v>0</v>
      </c>
      <c r="I1" s="136">
        <v>4349.6000000000004</v>
      </c>
      <c r="J1" s="136">
        <v>0</v>
      </c>
      <c r="K1" s="136">
        <v>0</v>
      </c>
      <c r="L1" s="136">
        <v>100</v>
      </c>
      <c r="M1" s="136">
        <v>4607.7419354838712</v>
      </c>
      <c r="N1" s="136">
        <v>0</v>
      </c>
      <c r="O1" s="139">
        <v>0</v>
      </c>
      <c r="P1" s="140">
        <v>0</v>
      </c>
      <c r="Q1" s="140">
        <v>0</v>
      </c>
      <c r="R1" s="140">
        <v>0</v>
      </c>
      <c r="S1" s="140">
        <v>-0.01</v>
      </c>
      <c r="T1" s="140">
        <v>0</v>
      </c>
      <c r="U1" s="140">
        <v>0</v>
      </c>
      <c r="V1" s="140">
        <v>0</v>
      </c>
      <c r="W1" s="143">
        <v>0</v>
      </c>
      <c r="X1" s="143">
        <v>0</v>
      </c>
      <c r="Y1" s="143">
        <v>0</v>
      </c>
      <c r="Z1" s="143">
        <v>0</v>
      </c>
      <c r="AA1" s="143">
        <v>0</v>
      </c>
      <c r="AB1" s="143">
        <v>0</v>
      </c>
      <c r="AC1" s="147">
        <v>0</v>
      </c>
      <c r="AD1" s="148">
        <v>0</v>
      </c>
      <c r="AE1" s="148">
        <v>0</v>
      </c>
      <c r="AF1" s="148">
        <v>0</v>
      </c>
      <c r="AG1" s="148">
        <v>0</v>
      </c>
      <c r="AH1" s="148">
        <v>0</v>
      </c>
      <c r="AI1" s="148">
        <v>0</v>
      </c>
      <c r="AJ1" s="152">
        <v>0</v>
      </c>
      <c r="AK1" s="155">
        <v>3371.8751640000005</v>
      </c>
      <c r="AL1" s="155">
        <v>0</v>
      </c>
      <c r="AM1" s="155">
        <v>11224.437414</v>
      </c>
      <c r="AN1" s="155">
        <v>0</v>
      </c>
      <c r="AO1" s="155">
        <v>0</v>
      </c>
      <c r="AP1" s="156">
        <v>3571.9906645161291</v>
      </c>
      <c r="AQ1" s="156">
        <v>0</v>
      </c>
      <c r="AR1" s="156">
        <v>7314.851727096775</v>
      </c>
      <c r="AS1" s="156">
        <v>0</v>
      </c>
      <c r="AT1" s="157">
        <v>0</v>
      </c>
    </row>
    <row r="2" spans="1:46" x14ac:dyDescent="0.25">
      <c r="A2" s="132">
        <v>44501</v>
      </c>
      <c r="B2" s="131">
        <v>114666.79999999999</v>
      </c>
      <c r="C2" s="131">
        <v>0</v>
      </c>
      <c r="D2" s="131">
        <v>0</v>
      </c>
      <c r="E2" s="131">
        <v>92.2</v>
      </c>
      <c r="F2" s="131">
        <v>124191.3</v>
      </c>
      <c r="G2" s="131">
        <v>0</v>
      </c>
      <c r="H2" s="135">
        <v>0</v>
      </c>
      <c r="I2" s="136">
        <v>18453.8</v>
      </c>
      <c r="J2" s="136">
        <v>0</v>
      </c>
      <c r="K2" s="136">
        <v>0</v>
      </c>
      <c r="L2" s="136">
        <v>100</v>
      </c>
      <c r="M2" s="136">
        <v>35427.199999999997</v>
      </c>
      <c r="N2" s="136">
        <v>0</v>
      </c>
      <c r="O2" s="139">
        <v>0</v>
      </c>
      <c r="P2" s="140">
        <v>67694.7</v>
      </c>
      <c r="Q2" s="140">
        <v>0</v>
      </c>
      <c r="R2" s="140">
        <v>0</v>
      </c>
      <c r="S2" s="140">
        <v>68.81</v>
      </c>
      <c r="T2" s="140">
        <v>81633.333333333328</v>
      </c>
      <c r="U2" s="140">
        <v>0</v>
      </c>
      <c r="V2" s="140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7">
        <v>0</v>
      </c>
      <c r="AD2" s="149">
        <v>0</v>
      </c>
      <c r="AE2" s="149">
        <v>0</v>
      </c>
      <c r="AF2" s="149">
        <v>0</v>
      </c>
      <c r="AG2" s="149">
        <v>0</v>
      </c>
      <c r="AH2" s="149">
        <v>0</v>
      </c>
      <c r="AI2" s="149">
        <v>0</v>
      </c>
      <c r="AJ2" s="153">
        <v>0</v>
      </c>
      <c r="AK2" s="155">
        <v>14305.662566999999</v>
      </c>
      <c r="AL2" s="155">
        <v>0</v>
      </c>
      <c r="AM2" s="155">
        <v>81071.720935999998</v>
      </c>
      <c r="AN2" s="155">
        <v>47223.145772999997</v>
      </c>
      <c r="AO2" s="155">
        <v>0</v>
      </c>
      <c r="AP2" s="156">
        <v>27463.696848</v>
      </c>
      <c r="AQ2" s="156">
        <v>0</v>
      </c>
      <c r="AR2" s="156">
        <v>87805.732926000012</v>
      </c>
      <c r="AS2" s="156">
        <v>56946.596999999994</v>
      </c>
      <c r="AT2" s="157">
        <v>0</v>
      </c>
    </row>
    <row r="3" spans="1:46" x14ac:dyDescent="0.25">
      <c r="A3" s="130">
        <v>44531</v>
      </c>
      <c r="B3" s="131">
        <v>126249.60000000002</v>
      </c>
      <c r="C3" s="131">
        <v>0</v>
      </c>
      <c r="D3" s="131">
        <v>0</v>
      </c>
      <c r="E3" s="131">
        <v>100</v>
      </c>
      <c r="F3" s="131">
        <v>135649</v>
      </c>
      <c r="G3" s="131">
        <v>0</v>
      </c>
      <c r="H3" s="135">
        <v>0</v>
      </c>
      <c r="I3" s="136">
        <v>48330.802999999993</v>
      </c>
      <c r="J3" s="136">
        <v>0</v>
      </c>
      <c r="K3" s="136">
        <v>0</v>
      </c>
      <c r="L3" s="136">
        <v>100</v>
      </c>
      <c r="M3" s="136">
        <v>37840</v>
      </c>
      <c r="N3" s="136">
        <v>0</v>
      </c>
      <c r="O3" s="139">
        <v>0</v>
      </c>
      <c r="P3" s="140">
        <v>94632.700000000026</v>
      </c>
      <c r="Q3" s="140">
        <v>0</v>
      </c>
      <c r="R3" s="140">
        <v>0</v>
      </c>
      <c r="S3" s="140">
        <v>100</v>
      </c>
      <c r="T3" s="140">
        <v>130720.8</v>
      </c>
      <c r="U3" s="140">
        <v>0</v>
      </c>
      <c r="V3" s="140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7">
        <v>0</v>
      </c>
      <c r="AD3" s="148">
        <v>0</v>
      </c>
      <c r="AE3" s="148">
        <v>0</v>
      </c>
      <c r="AF3" s="148">
        <v>0</v>
      </c>
      <c r="AG3" s="148">
        <v>0</v>
      </c>
      <c r="AH3" s="148">
        <v>0</v>
      </c>
      <c r="AI3" s="148">
        <v>0</v>
      </c>
      <c r="AJ3" s="152">
        <v>0</v>
      </c>
      <c r="AK3" s="155">
        <v>37466.763447644997</v>
      </c>
      <c r="AL3" s="155">
        <v>0</v>
      </c>
      <c r="AM3" s="155">
        <v>89260.992192000005</v>
      </c>
      <c r="AN3" s="155">
        <v>66014.825193000011</v>
      </c>
      <c r="AO3" s="155">
        <v>0</v>
      </c>
      <c r="AP3" s="156">
        <v>29334.135599999998</v>
      </c>
      <c r="AQ3" s="156">
        <v>0</v>
      </c>
      <c r="AR3" s="156">
        <v>95906.55597999999</v>
      </c>
      <c r="AS3" s="156">
        <v>91189.522872000001</v>
      </c>
      <c r="AT3" s="157">
        <v>0</v>
      </c>
    </row>
    <row r="4" spans="1:46" x14ac:dyDescent="0.25">
      <c r="A4" s="132">
        <v>44562</v>
      </c>
      <c r="B4" s="131">
        <v>127624.6</v>
      </c>
      <c r="C4" s="131">
        <v>0</v>
      </c>
      <c r="D4" s="131">
        <v>0</v>
      </c>
      <c r="E4" s="131">
        <v>98.83</v>
      </c>
      <c r="F4" s="131">
        <v>134331.04</v>
      </c>
      <c r="G4" s="131">
        <v>0</v>
      </c>
      <c r="H4" s="135">
        <v>0</v>
      </c>
      <c r="I4" s="136">
        <v>34169.195000000007</v>
      </c>
      <c r="J4" s="136">
        <v>0</v>
      </c>
      <c r="K4" s="136">
        <v>0</v>
      </c>
      <c r="L4" s="136">
        <v>0</v>
      </c>
      <c r="M4" s="136">
        <v>36357.19</v>
      </c>
      <c r="N4" s="136">
        <v>0</v>
      </c>
      <c r="O4" s="139">
        <v>0</v>
      </c>
      <c r="P4" s="140">
        <v>100806.39999999998</v>
      </c>
      <c r="Q4" s="140">
        <v>0</v>
      </c>
      <c r="R4" s="140">
        <v>0</v>
      </c>
      <c r="S4" s="140">
        <v>88.6</v>
      </c>
      <c r="T4" s="140">
        <v>130944.06</v>
      </c>
      <c r="U4" s="140">
        <v>0</v>
      </c>
      <c r="V4" s="140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7">
        <v>0</v>
      </c>
      <c r="AD4" s="149">
        <v>0</v>
      </c>
      <c r="AE4" s="149">
        <v>0</v>
      </c>
      <c r="AF4" s="149">
        <v>0</v>
      </c>
      <c r="AG4" s="149">
        <v>0</v>
      </c>
      <c r="AH4" s="149">
        <v>0</v>
      </c>
      <c r="AI4" s="149">
        <v>0</v>
      </c>
      <c r="AJ4" s="153">
        <v>0</v>
      </c>
      <c r="AK4" s="155">
        <v>26488.472501925007</v>
      </c>
      <c r="AL4" s="155">
        <v>0</v>
      </c>
      <c r="AM4" s="155">
        <v>90233.144692000002</v>
      </c>
      <c r="AN4" s="155">
        <v>70321.536575999984</v>
      </c>
      <c r="AO4" s="155">
        <v>0</v>
      </c>
      <c r="AP4" s="156">
        <v>28184.639045850003</v>
      </c>
      <c r="AQ4" s="156">
        <v>0</v>
      </c>
      <c r="AR4" s="156">
        <v>94974.73190079999</v>
      </c>
      <c r="AS4" s="156">
        <v>91345.266815399998</v>
      </c>
      <c r="AT4" s="157">
        <v>0</v>
      </c>
    </row>
    <row r="5" spans="1:46" x14ac:dyDescent="0.25">
      <c r="A5" s="130">
        <v>44593</v>
      </c>
      <c r="B5" s="131">
        <v>96946.4</v>
      </c>
      <c r="C5" s="131">
        <v>0</v>
      </c>
      <c r="D5" s="131">
        <v>0</v>
      </c>
      <c r="E5" s="131">
        <v>99.29</v>
      </c>
      <c r="F5" s="131">
        <v>108571.18</v>
      </c>
      <c r="G5" s="131">
        <v>0</v>
      </c>
      <c r="H5" s="135">
        <v>0</v>
      </c>
      <c r="I5" s="136">
        <v>32936.601999999999</v>
      </c>
      <c r="J5" s="136">
        <v>0</v>
      </c>
      <c r="K5" s="136">
        <v>0</v>
      </c>
      <c r="L5" s="136">
        <v>64.27</v>
      </c>
      <c r="M5" s="136">
        <v>31490.67</v>
      </c>
      <c r="N5" s="136">
        <v>0</v>
      </c>
      <c r="O5" s="139">
        <v>0</v>
      </c>
      <c r="P5" s="140">
        <v>91369.8</v>
      </c>
      <c r="Q5" s="140">
        <v>0</v>
      </c>
      <c r="R5" s="140">
        <v>0</v>
      </c>
      <c r="S5" s="140">
        <v>99.05</v>
      </c>
      <c r="T5" s="140">
        <v>111813.67</v>
      </c>
      <c r="U5" s="140">
        <v>0</v>
      </c>
      <c r="V5" s="140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7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52">
        <v>0</v>
      </c>
      <c r="AK5" s="155">
        <v>25532.947919429997</v>
      </c>
      <c r="AL5" s="155">
        <v>0</v>
      </c>
      <c r="AM5" s="155">
        <v>68543.04372799999</v>
      </c>
      <c r="AN5" s="155">
        <v>63738.658781999999</v>
      </c>
      <c r="AO5" s="155">
        <v>0</v>
      </c>
      <c r="AP5" s="156">
        <v>24412.039744049998</v>
      </c>
      <c r="AQ5" s="156">
        <v>0</v>
      </c>
      <c r="AR5" s="156">
        <v>76761.995683599991</v>
      </c>
      <c r="AS5" s="156">
        <v>78000.098055299997</v>
      </c>
      <c r="AT5" s="157">
        <v>0</v>
      </c>
    </row>
    <row r="6" spans="1:46" x14ac:dyDescent="0.25">
      <c r="A6" s="132">
        <v>44621</v>
      </c>
      <c r="B6" s="131">
        <v>94648.1</v>
      </c>
      <c r="C6" s="131">
        <v>0</v>
      </c>
      <c r="D6" s="131">
        <v>0</v>
      </c>
      <c r="E6" s="131">
        <v>100</v>
      </c>
      <c r="F6" s="131">
        <v>100729.11</v>
      </c>
      <c r="G6" s="131">
        <v>0</v>
      </c>
      <c r="H6" s="135">
        <v>0</v>
      </c>
      <c r="I6" s="136">
        <v>29032.3</v>
      </c>
      <c r="J6" s="136">
        <v>0</v>
      </c>
      <c r="K6" s="136">
        <v>0</v>
      </c>
      <c r="L6" s="136">
        <v>100</v>
      </c>
      <c r="M6" s="136">
        <v>32436.400000000001</v>
      </c>
      <c r="N6" s="136">
        <v>0</v>
      </c>
      <c r="O6" s="139">
        <v>0</v>
      </c>
      <c r="P6" s="140">
        <v>89806.300000000017</v>
      </c>
      <c r="Q6" s="140">
        <v>0</v>
      </c>
      <c r="R6" s="140">
        <v>0</v>
      </c>
      <c r="S6" s="140">
        <v>100</v>
      </c>
      <c r="T6" s="140">
        <v>111969.25</v>
      </c>
      <c r="U6" s="140">
        <v>0</v>
      </c>
      <c r="V6" s="140">
        <v>0</v>
      </c>
      <c r="W6" s="143">
        <v>17949.203000000001</v>
      </c>
      <c r="X6" s="143">
        <v>0</v>
      </c>
      <c r="Y6" s="143">
        <v>0</v>
      </c>
      <c r="Z6" s="143">
        <v>100</v>
      </c>
      <c r="AA6" s="143">
        <v>21376.47741935484</v>
      </c>
      <c r="AB6" s="143">
        <v>0</v>
      </c>
      <c r="AC6" s="147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53">
        <v>0</v>
      </c>
      <c r="AK6" s="155">
        <v>22506.274444499995</v>
      </c>
      <c r="AL6" s="155">
        <v>0</v>
      </c>
      <c r="AM6" s="155">
        <v>66918.099661999993</v>
      </c>
      <c r="AN6" s="155">
        <v>62647.97681700001</v>
      </c>
      <c r="AO6" s="155">
        <v>16397.673892679999</v>
      </c>
      <c r="AP6" s="156">
        <v>25145.183826</v>
      </c>
      <c r="AQ6" s="156">
        <v>0</v>
      </c>
      <c r="AR6" s="156">
        <v>71217.4953522</v>
      </c>
      <c r="AS6" s="156">
        <v>78108.629107500004</v>
      </c>
      <c r="AT6" s="157">
        <v>19528.694711225806</v>
      </c>
    </row>
    <row r="7" spans="1:46" x14ac:dyDescent="0.25">
      <c r="A7" s="130">
        <v>44653</v>
      </c>
      <c r="B7" s="131">
        <v>70139.100000000006</v>
      </c>
      <c r="C7" s="131">
        <v>73.310868708241003</v>
      </c>
      <c r="D7" s="131">
        <v>121.69236198407999</v>
      </c>
      <c r="E7" s="131">
        <v>96.83</v>
      </c>
      <c r="F7" s="131">
        <v>70910.55</v>
      </c>
      <c r="G7" s="131">
        <v>110.15333333333334</v>
      </c>
      <c r="H7" s="135">
        <v>0.69359333333333339</v>
      </c>
      <c r="I7" s="136">
        <v>23635.79700000002</v>
      </c>
      <c r="J7" s="136">
        <v>81.264061325699004</v>
      </c>
      <c r="K7" s="136">
        <v>116.89211011905</v>
      </c>
      <c r="L7" s="136">
        <v>96.69</v>
      </c>
      <c r="M7" s="136">
        <v>27151.55</v>
      </c>
      <c r="N7" s="136">
        <v>139.16</v>
      </c>
      <c r="O7" s="136">
        <v>0.74573333333333336</v>
      </c>
      <c r="P7" s="140">
        <v>70141.499999999971</v>
      </c>
      <c r="Q7" s="140">
        <v>59.891782911532999</v>
      </c>
      <c r="R7" s="140">
        <v>126.1110146234</v>
      </c>
      <c r="S7" s="140">
        <v>96.77</v>
      </c>
      <c r="T7" s="140">
        <v>85867.72</v>
      </c>
      <c r="U7" s="140">
        <v>125.52000000000001</v>
      </c>
      <c r="V7" s="144">
        <v>0.62136000000000002</v>
      </c>
      <c r="W7" s="143">
        <v>21947</v>
      </c>
      <c r="X7" s="143">
        <v>78.077173129494994</v>
      </c>
      <c r="Y7" s="143">
        <v>125.57036794905</v>
      </c>
      <c r="Z7" s="143">
        <v>93.46</v>
      </c>
      <c r="AA7" s="143">
        <v>24642.89</v>
      </c>
      <c r="AB7" s="143">
        <v>126.28000000000002</v>
      </c>
      <c r="AC7" s="147">
        <v>0.80294666666666659</v>
      </c>
      <c r="AD7" s="148">
        <v>21643.97</v>
      </c>
      <c r="AE7" s="148">
        <v>69.850753753484994</v>
      </c>
      <c r="AF7" s="148">
        <v>51.630656604854003</v>
      </c>
      <c r="AG7" s="148">
        <v>95</v>
      </c>
      <c r="AH7" s="148">
        <v>32408.21</v>
      </c>
      <c r="AI7" s="148">
        <v>57.273333333333333</v>
      </c>
      <c r="AJ7" s="152">
        <v>0.28959333333333331</v>
      </c>
      <c r="AK7" s="155">
        <v>18322.824371355015</v>
      </c>
      <c r="AL7" s="155">
        <v>16400.393607950002</v>
      </c>
      <c r="AM7" s="155">
        <v>49589.746481999995</v>
      </c>
      <c r="AN7" s="155">
        <v>48930.008984999979</v>
      </c>
      <c r="AO7" s="155">
        <v>20049.901320000001</v>
      </c>
      <c r="AP7" s="156">
        <v>21048.288833249997</v>
      </c>
      <c r="AQ7" s="156">
        <v>24556.83500435</v>
      </c>
      <c r="AR7" s="156">
        <v>50135.177060999995</v>
      </c>
      <c r="AS7" s="156">
        <v>59900.462794799998</v>
      </c>
      <c r="AT7" s="157">
        <v>22512.758588399996</v>
      </c>
    </row>
    <row r="8" spans="1:46" x14ac:dyDescent="0.25">
      <c r="A8" s="132">
        <v>44684</v>
      </c>
      <c r="B8" s="131">
        <v>52487.9</v>
      </c>
      <c r="C8" s="131">
        <v>77.960921698397001</v>
      </c>
      <c r="D8" s="131">
        <v>92.269062020503</v>
      </c>
      <c r="E8" s="131">
        <v>99.26</v>
      </c>
      <c r="F8" s="131">
        <v>51576.41</v>
      </c>
      <c r="G8" s="131">
        <v>90.9</v>
      </c>
      <c r="H8" s="135">
        <v>0.81389999999999996</v>
      </c>
      <c r="I8" s="136">
        <v>23406.5</v>
      </c>
      <c r="J8" s="136">
        <v>74.747980931914995</v>
      </c>
      <c r="K8" s="136">
        <v>137.17509107142999</v>
      </c>
      <c r="L8" s="136">
        <v>95.94</v>
      </c>
      <c r="M8" s="136">
        <v>26286.34</v>
      </c>
      <c r="N8" s="136">
        <v>127.98709677419353</v>
      </c>
      <c r="O8" s="136">
        <v>0.73522580645161284</v>
      </c>
      <c r="P8" s="140">
        <v>60420.899999999994</v>
      </c>
      <c r="Q8" s="140">
        <v>71.884365014154994</v>
      </c>
      <c r="R8" s="140">
        <v>118.86590531812</v>
      </c>
      <c r="S8" s="140">
        <v>90.56</v>
      </c>
      <c r="T8" s="140">
        <v>68401.09</v>
      </c>
      <c r="U8" s="140">
        <v>118.16129032258064</v>
      </c>
      <c r="V8" s="144">
        <v>0.76945161290322583</v>
      </c>
      <c r="W8" s="143">
        <v>19453</v>
      </c>
      <c r="X8" s="143">
        <v>81.527601748501993</v>
      </c>
      <c r="Y8" s="143">
        <v>111.22573763131</v>
      </c>
      <c r="Z8" s="143">
        <v>95.92</v>
      </c>
      <c r="AA8" s="143">
        <v>18855.060000000001</v>
      </c>
      <c r="AB8" s="143">
        <v>102.9</v>
      </c>
      <c r="AC8" s="147">
        <v>0.86550000000000005</v>
      </c>
      <c r="AD8" s="149">
        <v>28195.21</v>
      </c>
      <c r="AE8" s="149">
        <v>66.896162571583005</v>
      </c>
      <c r="AF8" s="149">
        <v>138.66206939935</v>
      </c>
      <c r="AG8" s="149">
        <v>97.61</v>
      </c>
      <c r="AH8" s="149">
        <v>32007.52</v>
      </c>
      <c r="AI8" s="149">
        <v>145.18709677419355</v>
      </c>
      <c r="AJ8" s="153">
        <v>0.73444838709677429</v>
      </c>
      <c r="AK8" s="155">
        <v>18145.069897499998</v>
      </c>
      <c r="AL8" s="155">
        <v>21364.497449349998</v>
      </c>
      <c r="AM8" s="155">
        <v>37109.995058</v>
      </c>
      <c r="AN8" s="155">
        <v>42149.015630999995</v>
      </c>
      <c r="AO8" s="155">
        <v>17771.482679999997</v>
      </c>
      <c r="AP8" s="156">
        <v>20377.565063100003</v>
      </c>
      <c r="AQ8" s="156">
        <v>24253.218167200001</v>
      </c>
      <c r="AR8" s="156">
        <v>36465.553398199998</v>
      </c>
      <c r="AS8" s="156">
        <v>47715.916373100001</v>
      </c>
      <c r="AT8" s="157">
        <v>17225.2286136</v>
      </c>
    </row>
    <row r="9" spans="1:46" x14ac:dyDescent="0.25">
      <c r="A9" s="130">
        <v>44713</v>
      </c>
      <c r="B9" s="131">
        <v>39237.9</v>
      </c>
      <c r="C9" s="131">
        <v>68.443101900182995</v>
      </c>
      <c r="D9" s="131">
        <v>82.067254449022997</v>
      </c>
      <c r="E9" s="131">
        <v>92.02</v>
      </c>
      <c r="F9" s="131">
        <v>41981.69</v>
      </c>
      <c r="G9" s="131">
        <v>73.400000000000006</v>
      </c>
      <c r="H9" s="135">
        <v>0.82050000000000001</v>
      </c>
      <c r="I9" s="136">
        <v>21763.203000000001</v>
      </c>
      <c r="J9" s="136">
        <v>77.946520998601997</v>
      </c>
      <c r="K9" s="136">
        <v>92.154747222221999</v>
      </c>
      <c r="L9" s="136">
        <v>100</v>
      </c>
      <c r="M9" s="136">
        <v>23827.62</v>
      </c>
      <c r="N9" s="136">
        <v>84.800000000000011</v>
      </c>
      <c r="O9" s="136">
        <v>0.54800000000000004</v>
      </c>
      <c r="P9" s="140">
        <v>48239.9</v>
      </c>
      <c r="Q9" s="140">
        <v>67.475031842031996</v>
      </c>
      <c r="R9" s="140">
        <v>103.46755885677</v>
      </c>
      <c r="S9" s="140">
        <v>95.26</v>
      </c>
      <c r="T9" s="140">
        <v>58421.74</v>
      </c>
      <c r="U9" s="140">
        <v>103.1</v>
      </c>
      <c r="V9" s="144">
        <v>0.80420000000000003</v>
      </c>
      <c r="W9" s="143">
        <v>15026.093999999999</v>
      </c>
      <c r="X9" s="143">
        <v>78.950729289001998</v>
      </c>
      <c r="Y9" s="143">
        <v>89.875620191997001</v>
      </c>
      <c r="Z9" s="143">
        <v>91.82</v>
      </c>
      <c r="AA9" s="143">
        <v>15568.68</v>
      </c>
      <c r="AB9" s="143">
        <v>84.9</v>
      </c>
      <c r="AC9" s="147">
        <v>0.86619999999999997</v>
      </c>
      <c r="AD9" s="148">
        <v>17909.61</v>
      </c>
      <c r="AE9" s="148">
        <v>61.823425827020998</v>
      </c>
      <c r="AF9" s="148">
        <v>19.347908716804</v>
      </c>
      <c r="AG9" s="148">
        <v>94.65</v>
      </c>
      <c r="AH9" s="148">
        <v>29209.23</v>
      </c>
      <c r="AI9" s="148">
        <v>23.549999999999997</v>
      </c>
      <c r="AJ9" s="152">
        <v>0.13114999999999999</v>
      </c>
      <c r="AK9" s="155">
        <v>16871.161413645001</v>
      </c>
      <c r="AL9" s="155">
        <v>13570.73833335</v>
      </c>
      <c r="AM9" s="155">
        <v>27741.980058000001</v>
      </c>
      <c r="AN9" s="155">
        <v>33651.671841000003</v>
      </c>
      <c r="AO9" s="155">
        <v>13727.238434639998</v>
      </c>
      <c r="AP9" s="156">
        <v>18471.528438299996</v>
      </c>
      <c r="AQ9" s="156">
        <v>22132.855894049997</v>
      </c>
      <c r="AR9" s="156">
        <v>29681.894463799999</v>
      </c>
      <c r="AS9" s="156">
        <v>40754.421606599994</v>
      </c>
      <c r="AT9" s="157">
        <v>14222.923300799999</v>
      </c>
    </row>
    <row r="10" spans="1:46" x14ac:dyDescent="0.25">
      <c r="A10" s="132">
        <v>44743</v>
      </c>
      <c r="B10" s="131">
        <v>42440.4</v>
      </c>
      <c r="C10" s="131">
        <v>71.948242508776005</v>
      </c>
      <c r="D10" s="131">
        <v>82.514290029761995</v>
      </c>
      <c r="E10" s="131">
        <v>91.65</v>
      </c>
      <c r="F10" s="131">
        <v>47500.46</v>
      </c>
      <c r="G10" s="131">
        <v>79.935483870967744</v>
      </c>
      <c r="H10" s="135">
        <v>0.79829032258064514</v>
      </c>
      <c r="I10" s="136">
        <v>20957.109</v>
      </c>
      <c r="J10" s="136">
        <v>73.192121140666003</v>
      </c>
      <c r="K10" s="136">
        <v>95.735196714397006</v>
      </c>
      <c r="L10" s="136">
        <v>93.77</v>
      </c>
      <c r="M10" s="136">
        <v>26254.38</v>
      </c>
      <c r="N10" s="136">
        <v>113.14516129032258</v>
      </c>
      <c r="O10" s="136">
        <v>0.66217741935483876</v>
      </c>
      <c r="P10" s="140">
        <v>44538.000000000029</v>
      </c>
      <c r="Q10" s="140">
        <v>57.901555176400002</v>
      </c>
      <c r="R10" s="140">
        <v>105.69992281174</v>
      </c>
      <c r="S10" s="140">
        <v>89.31</v>
      </c>
      <c r="T10" s="140">
        <v>64810.21</v>
      </c>
      <c r="U10" s="140">
        <v>114.3</v>
      </c>
      <c r="V10" s="144">
        <v>0.80469999999999997</v>
      </c>
      <c r="W10" s="143">
        <v>15238.202999999899</v>
      </c>
      <c r="X10" s="143">
        <v>76.401521277227999</v>
      </c>
      <c r="Y10" s="143">
        <v>94.089611137236005</v>
      </c>
      <c r="Z10" s="143">
        <v>88.05</v>
      </c>
      <c r="AA10" s="143">
        <v>17678.79</v>
      </c>
      <c r="AB10" s="143">
        <v>95.8</v>
      </c>
      <c r="AC10" s="147">
        <v>0.87170000000000003</v>
      </c>
      <c r="AD10" s="149">
        <v>21623.061000000002</v>
      </c>
      <c r="AE10" s="149">
        <v>63.598771298679999</v>
      </c>
      <c r="AF10" s="149">
        <v>60.818278021978003</v>
      </c>
      <c r="AG10" s="149">
        <v>94.95</v>
      </c>
      <c r="AH10" s="149">
        <v>32059.25</v>
      </c>
      <c r="AI10" s="149">
        <v>64.706451612903223</v>
      </c>
      <c r="AJ10" s="153">
        <v>0.33166774193548387</v>
      </c>
      <c r="AK10" s="155">
        <v>16246.265253435</v>
      </c>
      <c r="AL10" s="155">
        <v>16384.550126835002</v>
      </c>
      <c r="AM10" s="155">
        <v>30006.211608000001</v>
      </c>
      <c r="AN10" s="155">
        <v>31069.263420000021</v>
      </c>
      <c r="AO10" s="155">
        <v>13921.012732679908</v>
      </c>
      <c r="AP10" s="156">
        <v>20352.789191699998</v>
      </c>
      <c r="AQ10" s="156">
        <v>24292.41579875</v>
      </c>
      <c r="AR10" s="156">
        <v>33583.7752292</v>
      </c>
      <c r="AS10" s="156">
        <v>45210.954393899992</v>
      </c>
      <c r="AT10" s="157">
        <v>16150.6353924</v>
      </c>
    </row>
    <row r="11" spans="1:46" x14ac:dyDescent="0.25">
      <c r="A11" s="130">
        <v>44774</v>
      </c>
      <c r="B11" s="131">
        <v>60653.20000000007</v>
      </c>
      <c r="C11" s="131">
        <v>80.146371981672999</v>
      </c>
      <c r="D11" s="131">
        <v>108.76226304564</v>
      </c>
      <c r="E11" s="131">
        <v>99.42</v>
      </c>
      <c r="F11" s="131">
        <v>61452.66</v>
      </c>
      <c r="G11" s="131">
        <v>106.7</v>
      </c>
      <c r="H11" s="135">
        <v>0.82620000000000005</v>
      </c>
      <c r="I11" s="136">
        <v>29575.187999999995</v>
      </c>
      <c r="J11" s="136">
        <v>77.377301878088005</v>
      </c>
      <c r="K11" s="136">
        <v>107.07476626984</v>
      </c>
      <c r="L11" s="136">
        <v>98.77</v>
      </c>
      <c r="M11" s="136">
        <v>30459.35</v>
      </c>
      <c r="N11" s="136">
        <v>112.18064516129033</v>
      </c>
      <c r="O11" s="136">
        <v>0.54674516129032269</v>
      </c>
      <c r="P11" s="140">
        <v>57792.900000000023</v>
      </c>
      <c r="Q11" s="140">
        <v>62.522504116675996</v>
      </c>
      <c r="R11" s="140">
        <v>131.02580484776001</v>
      </c>
      <c r="S11" s="140">
        <v>99.75</v>
      </c>
      <c r="T11" s="140">
        <v>77138.89</v>
      </c>
      <c r="U11" s="140">
        <v>136.80000000000001</v>
      </c>
      <c r="V11" s="144">
        <v>0.80030000000000001</v>
      </c>
      <c r="W11" s="143">
        <v>22528.203000000009</v>
      </c>
      <c r="X11" s="143">
        <v>87.592032338652999</v>
      </c>
      <c r="Y11" s="143">
        <v>121.28788040562</v>
      </c>
      <c r="Z11" s="143">
        <v>99.96</v>
      </c>
      <c r="AA11" s="143">
        <v>21795.82</v>
      </c>
      <c r="AB11" s="143">
        <v>117.6</v>
      </c>
      <c r="AC11" s="147">
        <v>0.87549999999999994</v>
      </c>
      <c r="AD11" s="148">
        <v>30455.185000000001</v>
      </c>
      <c r="AE11" s="148">
        <v>65.363153214378002</v>
      </c>
      <c r="AF11" s="148">
        <v>185.616721875</v>
      </c>
      <c r="AG11" s="148">
        <v>93.31</v>
      </c>
      <c r="AH11" s="148">
        <v>36696.25</v>
      </c>
      <c r="AI11" s="148">
        <v>176.7</v>
      </c>
      <c r="AJ11" s="152">
        <v>0.79049999999999998</v>
      </c>
      <c r="AK11" s="155">
        <v>22927.129365419998</v>
      </c>
      <c r="AL11" s="155">
        <v>23076.959605975</v>
      </c>
      <c r="AM11" s="155">
        <v>42883.025464000042</v>
      </c>
      <c r="AN11" s="155">
        <v>40315.749111000012</v>
      </c>
      <c r="AO11" s="155">
        <v>20580.865132680006</v>
      </c>
      <c r="AP11" s="156">
        <v>23612.545010249996</v>
      </c>
      <c r="AQ11" s="156">
        <v>27806.032993749999</v>
      </c>
      <c r="AR11" s="156">
        <v>43448.259673200002</v>
      </c>
      <c r="AS11" s="156">
        <v>53811.318275099999</v>
      </c>
      <c r="AT11" s="157">
        <v>19911.789319199997</v>
      </c>
    </row>
    <row r="12" spans="1:46" x14ac:dyDescent="0.25">
      <c r="A12" s="132">
        <v>44805</v>
      </c>
      <c r="B12" s="129"/>
      <c r="C12" s="129"/>
      <c r="D12" s="129"/>
      <c r="E12" s="129"/>
      <c r="F12" s="129"/>
      <c r="G12" s="129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31"/>
      <c r="AC12" s="131"/>
      <c r="AD12" s="131"/>
      <c r="AE12" s="131"/>
      <c r="AF12" s="131"/>
      <c r="AG12" s="131"/>
      <c r="AH12" s="131"/>
      <c r="AI12" s="131"/>
      <c r="AJ12" s="131"/>
      <c r="AK12" s="155">
        <v>0</v>
      </c>
      <c r="AL12" s="155">
        <v>0</v>
      </c>
      <c r="AM12" s="155">
        <v>0</v>
      </c>
      <c r="AN12" s="155">
        <v>0</v>
      </c>
      <c r="AO12" s="155">
        <v>0</v>
      </c>
      <c r="AP12" s="156">
        <v>0</v>
      </c>
      <c r="AQ12" s="156">
        <v>0</v>
      </c>
      <c r="AR12" s="156">
        <v>0</v>
      </c>
      <c r="AS12" s="156">
        <v>0</v>
      </c>
      <c r="AT12" s="157">
        <v>0</v>
      </c>
    </row>
    <row r="13" spans="1:46" x14ac:dyDescent="0.25">
      <c r="A13" s="130">
        <v>44866</v>
      </c>
      <c r="B13" s="131"/>
      <c r="C13" s="131"/>
      <c r="D13" s="131"/>
      <c r="E13" s="131"/>
      <c r="F13" s="131"/>
      <c r="G13" s="131">
        <v>0</v>
      </c>
      <c r="H13" s="135"/>
      <c r="I13" s="136"/>
      <c r="J13" s="136"/>
      <c r="K13" s="136"/>
      <c r="L13" s="136"/>
      <c r="M13" s="136"/>
      <c r="N13" s="136"/>
      <c r="O13" s="139"/>
      <c r="P13" s="140"/>
      <c r="Q13" s="140"/>
      <c r="R13" s="140"/>
      <c r="S13" s="140"/>
      <c r="T13" s="140"/>
      <c r="U13" s="140"/>
      <c r="V13" s="144"/>
      <c r="W13" s="143"/>
      <c r="X13" s="143"/>
      <c r="Y13" s="143"/>
      <c r="Z13" s="143"/>
      <c r="AA13" s="143"/>
      <c r="AB13" s="143"/>
      <c r="AC13" s="147"/>
      <c r="AD13" s="148"/>
      <c r="AE13" s="148"/>
      <c r="AF13" s="148"/>
      <c r="AG13" s="148"/>
      <c r="AH13" s="148"/>
      <c r="AI13" s="148"/>
      <c r="AJ13" s="152"/>
      <c r="AK13" s="155">
        <v>0</v>
      </c>
      <c r="AL13" s="155">
        <v>0</v>
      </c>
      <c r="AM13" s="155">
        <v>0</v>
      </c>
      <c r="AN13" s="155">
        <v>0</v>
      </c>
      <c r="AO13" s="155">
        <v>0</v>
      </c>
      <c r="AP13" s="156">
        <v>0</v>
      </c>
      <c r="AQ13" s="156">
        <v>0</v>
      </c>
      <c r="AR13" s="156">
        <v>0</v>
      </c>
      <c r="AS13" s="156">
        <v>0</v>
      </c>
      <c r="AT13" s="157">
        <v>0</v>
      </c>
    </row>
    <row r="14" spans="1:46" x14ac:dyDescent="0.25">
      <c r="A14" s="132">
        <v>44896</v>
      </c>
      <c r="B14" s="131"/>
      <c r="C14" s="131"/>
      <c r="D14" s="131"/>
      <c r="E14" s="131"/>
      <c r="F14" s="131"/>
      <c r="G14" s="131">
        <v>0</v>
      </c>
      <c r="H14" s="135"/>
      <c r="I14" s="136"/>
      <c r="J14" s="136"/>
      <c r="K14" s="136"/>
      <c r="L14" s="136"/>
      <c r="M14" s="136"/>
      <c r="N14" s="136"/>
      <c r="O14" s="139"/>
      <c r="P14" s="140"/>
      <c r="Q14" s="140"/>
      <c r="R14" s="140"/>
      <c r="S14" s="140"/>
      <c r="T14" s="140"/>
      <c r="U14" s="140"/>
      <c r="V14" s="144"/>
      <c r="W14" s="143"/>
      <c r="X14" s="143"/>
      <c r="Y14" s="143"/>
      <c r="Z14" s="143"/>
      <c r="AA14" s="143"/>
      <c r="AB14" s="143"/>
      <c r="AC14" s="147"/>
      <c r="AD14" s="149"/>
      <c r="AE14" s="149"/>
      <c r="AF14" s="149"/>
      <c r="AG14" s="149"/>
      <c r="AH14" s="149"/>
      <c r="AI14" s="149"/>
      <c r="AJ14" s="153"/>
      <c r="AK14" s="155">
        <v>0</v>
      </c>
      <c r="AL14" s="155">
        <v>0</v>
      </c>
      <c r="AM14" s="155">
        <v>0</v>
      </c>
      <c r="AN14" s="155">
        <v>0</v>
      </c>
      <c r="AO14" s="155">
        <v>0</v>
      </c>
      <c r="AP14" s="156">
        <v>0</v>
      </c>
      <c r="AQ14" s="156">
        <v>0</v>
      </c>
      <c r="AR14" s="156">
        <v>0</v>
      </c>
      <c r="AS14" s="156">
        <v>0</v>
      </c>
      <c r="AT14" s="157">
        <v>0</v>
      </c>
    </row>
    <row r="15" spans="1:46" x14ac:dyDescent="0.25">
      <c r="A15" s="130">
        <v>44927</v>
      </c>
      <c r="B15" s="131"/>
      <c r="C15" s="131"/>
      <c r="D15" s="131"/>
      <c r="E15" s="131"/>
      <c r="F15" s="131"/>
      <c r="G15" s="131">
        <v>0</v>
      </c>
      <c r="H15" s="135"/>
      <c r="I15" s="136"/>
      <c r="J15" s="136"/>
      <c r="K15" s="136"/>
      <c r="L15" s="136"/>
      <c r="M15" s="136"/>
      <c r="N15" s="136"/>
      <c r="O15" s="139"/>
      <c r="P15" s="140"/>
      <c r="Q15" s="140"/>
      <c r="R15" s="140"/>
      <c r="S15" s="140"/>
      <c r="T15" s="140"/>
      <c r="U15" s="140"/>
      <c r="V15" s="144"/>
      <c r="W15" s="143"/>
      <c r="X15" s="143"/>
      <c r="Y15" s="143"/>
      <c r="Z15" s="143"/>
      <c r="AA15" s="143"/>
      <c r="AB15" s="143"/>
      <c r="AC15" s="147"/>
      <c r="AD15" s="148"/>
      <c r="AE15" s="148"/>
      <c r="AF15" s="148"/>
      <c r="AG15" s="148"/>
      <c r="AH15" s="148"/>
      <c r="AI15" s="148"/>
      <c r="AJ15" s="152"/>
      <c r="AK15" s="155">
        <v>0</v>
      </c>
      <c r="AL15" s="155">
        <v>0</v>
      </c>
      <c r="AM15" s="155">
        <v>0</v>
      </c>
      <c r="AN15" s="155">
        <v>0</v>
      </c>
      <c r="AO15" s="155">
        <v>0</v>
      </c>
      <c r="AP15" s="156">
        <v>0</v>
      </c>
      <c r="AQ15" s="156">
        <v>0</v>
      </c>
      <c r="AR15" s="156">
        <v>0</v>
      </c>
      <c r="AS15" s="156">
        <v>0</v>
      </c>
      <c r="AT15" s="157">
        <v>0</v>
      </c>
    </row>
    <row r="16" spans="1:46" x14ac:dyDescent="0.25">
      <c r="A16" s="132">
        <v>44958</v>
      </c>
      <c r="B16" s="131"/>
      <c r="C16" s="131"/>
      <c r="D16" s="131"/>
      <c r="E16" s="131"/>
      <c r="F16" s="131"/>
      <c r="G16" s="131">
        <v>0</v>
      </c>
      <c r="H16" s="135"/>
      <c r="I16" s="136"/>
      <c r="J16" s="136"/>
      <c r="K16" s="136"/>
      <c r="L16" s="136"/>
      <c r="M16" s="136"/>
      <c r="N16" s="136"/>
      <c r="O16" s="139"/>
      <c r="P16" s="140"/>
      <c r="Q16" s="140"/>
      <c r="R16" s="140"/>
      <c r="S16" s="140"/>
      <c r="T16" s="140"/>
      <c r="U16" s="140"/>
      <c r="V16" s="144"/>
      <c r="W16" s="143"/>
      <c r="X16" s="143"/>
      <c r="Y16" s="143"/>
      <c r="Z16" s="143"/>
      <c r="AA16" s="143"/>
      <c r="AB16" s="143"/>
      <c r="AC16" s="147"/>
      <c r="AD16" s="149"/>
      <c r="AE16" s="149"/>
      <c r="AF16" s="149"/>
      <c r="AG16" s="149"/>
      <c r="AH16" s="149"/>
      <c r="AI16" s="149"/>
      <c r="AJ16" s="153"/>
      <c r="AK16" s="155">
        <v>0</v>
      </c>
      <c r="AL16" s="155">
        <v>0</v>
      </c>
      <c r="AM16" s="155">
        <v>0</v>
      </c>
      <c r="AN16" s="155">
        <v>0</v>
      </c>
      <c r="AO16" s="155">
        <v>0</v>
      </c>
      <c r="AP16" s="156">
        <v>0</v>
      </c>
      <c r="AQ16" s="156">
        <v>0</v>
      </c>
      <c r="AR16" s="156">
        <v>0</v>
      </c>
      <c r="AS16" s="156">
        <v>0</v>
      </c>
      <c r="AT16" s="157">
        <v>0</v>
      </c>
    </row>
    <row r="17" spans="1:46" x14ac:dyDescent="0.25">
      <c r="A17" s="130">
        <v>44986</v>
      </c>
      <c r="B17" s="131"/>
      <c r="C17" s="131"/>
      <c r="D17" s="131"/>
      <c r="E17" s="131"/>
      <c r="F17" s="131"/>
      <c r="G17" s="131">
        <v>0</v>
      </c>
      <c r="H17" s="135"/>
      <c r="I17" s="136"/>
      <c r="J17" s="136"/>
      <c r="K17" s="136"/>
      <c r="L17" s="136"/>
      <c r="M17" s="136"/>
      <c r="N17" s="136"/>
      <c r="O17" s="139"/>
      <c r="P17" s="140"/>
      <c r="Q17" s="140"/>
      <c r="R17" s="140"/>
      <c r="S17" s="140"/>
      <c r="T17" s="140"/>
      <c r="U17" s="140"/>
      <c r="V17" s="144"/>
      <c r="W17" s="143"/>
      <c r="X17" s="143"/>
      <c r="Y17" s="143"/>
      <c r="Z17" s="143"/>
      <c r="AA17" s="143"/>
      <c r="AB17" s="143"/>
      <c r="AC17" s="147"/>
      <c r="AD17" s="148"/>
      <c r="AE17" s="148"/>
      <c r="AF17" s="148"/>
      <c r="AG17" s="148"/>
      <c r="AH17" s="148"/>
      <c r="AI17" s="148"/>
      <c r="AJ17" s="152"/>
      <c r="AK17" s="155">
        <v>0</v>
      </c>
      <c r="AL17" s="155">
        <v>0</v>
      </c>
      <c r="AM17" s="155">
        <v>0</v>
      </c>
      <c r="AN17" s="155">
        <v>0</v>
      </c>
      <c r="AO17" s="155">
        <v>0</v>
      </c>
      <c r="AP17" s="156">
        <v>0</v>
      </c>
      <c r="AQ17" s="156">
        <v>0</v>
      </c>
      <c r="AR17" s="156">
        <v>0</v>
      </c>
      <c r="AS17" s="156">
        <v>0</v>
      </c>
      <c r="AT17" s="157">
        <v>0</v>
      </c>
    </row>
    <row r="18" spans="1:46" x14ac:dyDescent="0.25">
      <c r="A18" s="132">
        <v>45017</v>
      </c>
      <c r="B18" s="131"/>
      <c r="C18" s="131"/>
      <c r="D18" s="131"/>
      <c r="E18" s="131"/>
      <c r="F18" s="131"/>
      <c r="G18" s="131">
        <v>0</v>
      </c>
      <c r="H18" s="135"/>
      <c r="I18" s="136"/>
      <c r="J18" s="136"/>
      <c r="K18" s="136"/>
      <c r="L18" s="136"/>
      <c r="M18" s="136"/>
      <c r="N18" s="136"/>
      <c r="O18" s="139"/>
      <c r="P18" s="140"/>
      <c r="Q18" s="140"/>
      <c r="R18" s="140"/>
      <c r="S18" s="140"/>
      <c r="T18" s="140"/>
      <c r="U18" s="140"/>
      <c r="V18" s="144"/>
      <c r="W18" s="143"/>
      <c r="X18" s="143"/>
      <c r="Y18" s="143"/>
      <c r="Z18" s="143"/>
      <c r="AA18" s="143"/>
      <c r="AB18" s="143"/>
      <c r="AC18" s="147"/>
      <c r="AD18" s="149"/>
      <c r="AE18" s="149"/>
      <c r="AF18" s="149"/>
      <c r="AG18" s="149"/>
      <c r="AH18" s="149"/>
      <c r="AI18" s="149"/>
      <c r="AJ18" s="153"/>
      <c r="AK18" s="155">
        <v>0</v>
      </c>
      <c r="AL18" s="155">
        <v>0</v>
      </c>
      <c r="AM18" s="155">
        <v>0</v>
      </c>
      <c r="AN18" s="155">
        <v>0</v>
      </c>
      <c r="AO18" s="155">
        <v>0</v>
      </c>
      <c r="AP18" s="156">
        <v>0</v>
      </c>
      <c r="AQ18" s="156">
        <v>0</v>
      </c>
      <c r="AR18" s="156">
        <v>0</v>
      </c>
      <c r="AS18" s="156">
        <v>0</v>
      </c>
      <c r="AT18" s="157">
        <v>0</v>
      </c>
    </row>
    <row r="19" spans="1:46" x14ac:dyDescent="0.25">
      <c r="A19" s="130">
        <v>45047</v>
      </c>
      <c r="B19" s="131"/>
      <c r="C19" s="131"/>
      <c r="D19" s="131"/>
      <c r="E19" s="131"/>
      <c r="F19" s="131"/>
      <c r="G19" s="131">
        <v>0</v>
      </c>
      <c r="H19" s="135"/>
      <c r="I19" s="136"/>
      <c r="J19" s="136"/>
      <c r="K19" s="136"/>
      <c r="L19" s="136"/>
      <c r="M19" s="136"/>
      <c r="N19" s="136"/>
      <c r="O19" s="139"/>
      <c r="P19" s="140"/>
      <c r="Q19" s="140"/>
      <c r="R19" s="140"/>
      <c r="S19" s="140"/>
      <c r="T19" s="140"/>
      <c r="U19" s="140"/>
      <c r="V19" s="144"/>
      <c r="W19" s="143"/>
      <c r="X19" s="143"/>
      <c r="Y19" s="143"/>
      <c r="Z19" s="143"/>
      <c r="AA19" s="143"/>
      <c r="AB19" s="143"/>
      <c r="AC19" s="147"/>
      <c r="AD19" s="148"/>
      <c r="AE19" s="148"/>
      <c r="AF19" s="148"/>
      <c r="AG19" s="148"/>
      <c r="AH19" s="148"/>
      <c r="AI19" s="148"/>
      <c r="AJ19" s="152"/>
      <c r="AK19" s="155">
        <v>0</v>
      </c>
      <c r="AL19" s="155">
        <v>0</v>
      </c>
      <c r="AM19" s="155">
        <v>0</v>
      </c>
      <c r="AN19" s="155">
        <v>0</v>
      </c>
      <c r="AO19" s="155">
        <v>0</v>
      </c>
      <c r="AP19" s="156">
        <v>0</v>
      </c>
      <c r="AQ19" s="156">
        <v>0</v>
      </c>
      <c r="AR19" s="156">
        <v>0</v>
      </c>
      <c r="AS19" s="156">
        <v>0</v>
      </c>
      <c r="AT19" s="157">
        <v>0</v>
      </c>
    </row>
    <row r="20" spans="1:46" x14ac:dyDescent="0.25">
      <c r="A20" s="132">
        <v>45078</v>
      </c>
      <c r="B20" s="131"/>
      <c r="C20" s="131"/>
      <c r="D20" s="131"/>
      <c r="E20" s="131"/>
      <c r="F20" s="131"/>
      <c r="G20" s="131">
        <v>0</v>
      </c>
      <c r="H20" s="135"/>
      <c r="I20" s="136"/>
      <c r="J20" s="136"/>
      <c r="K20" s="136"/>
      <c r="L20" s="136"/>
      <c r="M20" s="136"/>
      <c r="N20" s="136"/>
      <c r="O20" s="139"/>
      <c r="P20" s="140"/>
      <c r="Q20" s="140"/>
      <c r="R20" s="140"/>
      <c r="S20" s="140"/>
      <c r="T20" s="140"/>
      <c r="U20" s="140"/>
      <c r="V20" s="144"/>
      <c r="W20" s="143"/>
      <c r="X20" s="143"/>
      <c r="Y20" s="143"/>
      <c r="Z20" s="143"/>
      <c r="AA20" s="143"/>
      <c r="AB20" s="143"/>
      <c r="AC20" s="147"/>
      <c r="AD20" s="149"/>
      <c r="AE20" s="149"/>
      <c r="AF20" s="149"/>
      <c r="AG20" s="149"/>
      <c r="AH20" s="149"/>
      <c r="AI20" s="149"/>
      <c r="AJ20" s="153"/>
      <c r="AK20" s="155">
        <v>0</v>
      </c>
      <c r="AL20" s="155">
        <v>0</v>
      </c>
      <c r="AM20" s="155">
        <v>0</v>
      </c>
      <c r="AN20" s="155">
        <v>0</v>
      </c>
      <c r="AO20" s="155">
        <v>0</v>
      </c>
      <c r="AP20" s="156">
        <v>0</v>
      </c>
      <c r="AQ20" s="156">
        <v>0</v>
      </c>
      <c r="AR20" s="156">
        <v>0</v>
      </c>
      <c r="AS20" s="156">
        <v>0</v>
      </c>
      <c r="AT20" s="157">
        <v>0</v>
      </c>
    </row>
    <row r="21" spans="1:46" x14ac:dyDescent="0.25">
      <c r="A21" s="130">
        <v>45108</v>
      </c>
      <c r="B21" s="131"/>
      <c r="C21" s="131"/>
      <c r="D21" s="131"/>
      <c r="E21" s="131"/>
      <c r="F21" s="131"/>
      <c r="G21" s="131">
        <v>0</v>
      </c>
      <c r="H21" s="135"/>
      <c r="I21" s="136"/>
      <c r="J21" s="136"/>
      <c r="K21" s="136"/>
      <c r="L21" s="136"/>
      <c r="M21" s="136"/>
      <c r="N21" s="136"/>
      <c r="O21" s="139"/>
      <c r="P21" s="140"/>
      <c r="Q21" s="140"/>
      <c r="R21" s="140"/>
      <c r="S21" s="140"/>
      <c r="T21" s="140"/>
      <c r="U21" s="140"/>
      <c r="V21" s="144"/>
      <c r="W21" s="143"/>
      <c r="X21" s="143"/>
      <c r="Y21" s="143"/>
      <c r="Z21" s="143"/>
      <c r="AA21" s="143"/>
      <c r="AB21" s="143"/>
      <c r="AC21" s="147"/>
      <c r="AD21" s="148"/>
      <c r="AE21" s="148"/>
      <c r="AF21" s="148"/>
      <c r="AG21" s="148"/>
      <c r="AH21" s="148"/>
      <c r="AI21" s="148"/>
      <c r="AJ21" s="152"/>
      <c r="AK21" s="155">
        <v>0</v>
      </c>
      <c r="AL21" s="155">
        <v>0</v>
      </c>
      <c r="AM21" s="155">
        <v>0</v>
      </c>
      <c r="AN21" s="155">
        <v>0</v>
      </c>
      <c r="AO21" s="155">
        <v>0</v>
      </c>
      <c r="AP21" s="156">
        <v>0</v>
      </c>
      <c r="AQ21" s="156">
        <v>0</v>
      </c>
      <c r="AR21" s="156">
        <v>0</v>
      </c>
      <c r="AS21" s="156">
        <v>0</v>
      </c>
      <c r="AT21" s="157">
        <v>0</v>
      </c>
    </row>
    <row r="22" spans="1:46" x14ac:dyDescent="0.25">
      <c r="A22" s="132">
        <v>45139</v>
      </c>
      <c r="B22" s="131"/>
      <c r="C22" s="131"/>
      <c r="D22" s="131"/>
      <c r="E22" s="131"/>
      <c r="F22" s="131"/>
      <c r="G22" s="131">
        <v>0</v>
      </c>
      <c r="H22" s="135"/>
      <c r="I22" s="136"/>
      <c r="J22" s="136"/>
      <c r="K22" s="136"/>
      <c r="L22" s="136"/>
      <c r="M22" s="136"/>
      <c r="N22" s="136"/>
      <c r="O22" s="139"/>
      <c r="P22" s="140"/>
      <c r="Q22" s="140"/>
      <c r="R22" s="140"/>
      <c r="S22" s="140"/>
      <c r="T22" s="140"/>
      <c r="U22" s="140"/>
      <c r="V22" s="144"/>
      <c r="W22" s="143"/>
      <c r="X22" s="143"/>
      <c r="Y22" s="143"/>
      <c r="Z22" s="143"/>
      <c r="AA22" s="143"/>
      <c r="AB22" s="143"/>
      <c r="AC22" s="147"/>
      <c r="AD22" s="149"/>
      <c r="AE22" s="149"/>
      <c r="AF22" s="149"/>
      <c r="AG22" s="149"/>
      <c r="AH22" s="149"/>
      <c r="AI22" s="149"/>
      <c r="AJ22" s="153"/>
      <c r="AK22" s="155">
        <v>0</v>
      </c>
      <c r="AL22" s="155">
        <v>0</v>
      </c>
      <c r="AM22" s="155">
        <v>0</v>
      </c>
      <c r="AN22" s="155">
        <v>0</v>
      </c>
      <c r="AO22" s="155">
        <v>0</v>
      </c>
      <c r="AP22" s="156">
        <v>0</v>
      </c>
      <c r="AQ22" s="156">
        <v>0</v>
      </c>
      <c r="AR22" s="156">
        <v>0</v>
      </c>
      <c r="AS22" s="156">
        <v>0</v>
      </c>
      <c r="AT22" s="157">
        <v>0</v>
      </c>
    </row>
    <row r="23" spans="1:46" x14ac:dyDescent="0.25">
      <c r="A23" s="130">
        <v>45170</v>
      </c>
      <c r="B23" s="131"/>
      <c r="C23" s="131"/>
      <c r="D23" s="131"/>
      <c r="E23" s="131"/>
      <c r="F23" s="131"/>
      <c r="G23" s="131">
        <v>0</v>
      </c>
      <c r="H23" s="135"/>
      <c r="I23" s="136"/>
      <c r="J23" s="136"/>
      <c r="K23" s="136"/>
      <c r="L23" s="136"/>
      <c r="M23" s="136"/>
      <c r="N23" s="136"/>
      <c r="O23" s="139"/>
      <c r="P23" s="140"/>
      <c r="Q23" s="140"/>
      <c r="R23" s="140"/>
      <c r="S23" s="140"/>
      <c r="T23" s="140"/>
      <c r="U23" s="140"/>
      <c r="V23" s="144"/>
      <c r="W23" s="143"/>
      <c r="X23" s="143"/>
      <c r="Y23" s="143"/>
      <c r="Z23" s="143"/>
      <c r="AA23" s="143"/>
      <c r="AB23" s="143"/>
      <c r="AC23" s="147"/>
      <c r="AD23" s="148"/>
      <c r="AE23" s="148"/>
      <c r="AF23" s="148"/>
      <c r="AG23" s="148"/>
      <c r="AH23" s="148"/>
      <c r="AI23" s="148"/>
      <c r="AJ23" s="152"/>
      <c r="AK23" s="155">
        <v>0</v>
      </c>
      <c r="AL23" s="155">
        <v>0</v>
      </c>
      <c r="AM23" s="155">
        <v>0</v>
      </c>
      <c r="AN23" s="155">
        <v>0</v>
      </c>
      <c r="AO23" s="155">
        <v>0</v>
      </c>
      <c r="AP23" s="156">
        <v>0</v>
      </c>
      <c r="AQ23" s="156">
        <v>0</v>
      </c>
      <c r="AR23" s="156">
        <v>0</v>
      </c>
      <c r="AS23" s="156">
        <v>0</v>
      </c>
      <c r="AT23" s="157">
        <v>0</v>
      </c>
    </row>
    <row r="24" spans="1:46" x14ac:dyDescent="0.25">
      <c r="A24" s="132">
        <v>45200</v>
      </c>
      <c r="B24" s="131"/>
      <c r="C24" s="131"/>
      <c r="D24" s="131"/>
      <c r="E24" s="131"/>
      <c r="F24" s="131"/>
      <c r="G24" s="131">
        <v>0</v>
      </c>
      <c r="H24" s="135"/>
      <c r="I24" s="136"/>
      <c r="J24" s="136"/>
      <c r="K24" s="136"/>
      <c r="L24" s="136"/>
      <c r="M24" s="136"/>
      <c r="N24" s="136"/>
      <c r="O24" s="139"/>
      <c r="P24" s="140"/>
      <c r="Q24" s="140"/>
      <c r="R24" s="140"/>
      <c r="S24" s="140"/>
      <c r="T24" s="140"/>
      <c r="U24" s="140"/>
      <c r="V24" s="144"/>
      <c r="W24" s="143"/>
      <c r="X24" s="143"/>
      <c r="Y24" s="143"/>
      <c r="Z24" s="143"/>
      <c r="AA24" s="143"/>
      <c r="AB24" s="143"/>
      <c r="AC24" s="147"/>
      <c r="AD24" s="149"/>
      <c r="AE24" s="149"/>
      <c r="AF24" s="149"/>
      <c r="AG24" s="149"/>
      <c r="AH24" s="149"/>
      <c r="AI24" s="149"/>
      <c r="AJ24" s="153"/>
      <c r="AK24" s="155">
        <v>0</v>
      </c>
      <c r="AL24" s="155">
        <v>0</v>
      </c>
      <c r="AM24" s="155">
        <v>0</v>
      </c>
      <c r="AN24" s="155">
        <v>0</v>
      </c>
      <c r="AO24" s="155">
        <v>0</v>
      </c>
      <c r="AP24" s="156">
        <v>0</v>
      </c>
      <c r="AQ24" s="156">
        <v>0</v>
      </c>
      <c r="AR24" s="156">
        <v>0</v>
      </c>
      <c r="AS24" s="156">
        <v>0</v>
      </c>
      <c r="AT24" s="157">
        <v>0</v>
      </c>
    </row>
    <row r="25" spans="1:46" x14ac:dyDescent="0.25">
      <c r="A25" s="133">
        <v>45231</v>
      </c>
      <c r="B25" s="134"/>
      <c r="C25" s="134"/>
      <c r="D25" s="134"/>
      <c r="E25" s="134"/>
      <c r="F25" s="134"/>
      <c r="G25" s="134">
        <v>0</v>
      </c>
      <c r="H25" s="137"/>
      <c r="I25" s="138"/>
      <c r="J25" s="138"/>
      <c r="K25" s="138"/>
      <c r="L25" s="138"/>
      <c r="M25" s="138"/>
      <c r="N25" s="138"/>
      <c r="O25" s="141"/>
      <c r="P25" s="142"/>
      <c r="Q25" s="142"/>
      <c r="R25" s="142"/>
      <c r="S25" s="142"/>
      <c r="T25" s="142"/>
      <c r="U25" s="142"/>
      <c r="V25" s="145"/>
      <c r="W25" s="146"/>
      <c r="X25" s="146"/>
      <c r="Y25" s="146"/>
      <c r="Z25" s="146"/>
      <c r="AA25" s="146"/>
      <c r="AB25" s="146"/>
      <c r="AC25" s="150"/>
      <c r="AD25" s="151"/>
      <c r="AE25" s="151"/>
      <c r="AF25" s="151"/>
      <c r="AG25" s="151"/>
      <c r="AH25" s="151"/>
      <c r="AI25" s="151"/>
      <c r="AJ25" s="154"/>
      <c r="AK25" s="158">
        <v>0</v>
      </c>
      <c r="AL25" s="158">
        <v>0</v>
      </c>
      <c r="AM25" s="158">
        <v>0</v>
      </c>
      <c r="AN25" s="158">
        <v>0</v>
      </c>
      <c r="AO25" s="158">
        <v>0</v>
      </c>
      <c r="AP25" s="159">
        <v>0</v>
      </c>
      <c r="AQ25" s="159">
        <v>0</v>
      </c>
      <c r="AR25" s="159">
        <v>0</v>
      </c>
      <c r="AS25" s="159">
        <v>0</v>
      </c>
      <c r="AT25" s="160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T29"/>
  <sheetViews>
    <sheetView topLeftCell="B10" workbookViewId="0">
      <selection activeCell="J19" sqref="J19"/>
    </sheetView>
  </sheetViews>
  <sheetFormatPr defaultRowHeight="15" x14ac:dyDescent="0.25"/>
  <cols>
    <col min="5" max="5" width="9.140625" style="118"/>
    <col min="12" max="12" width="13.28515625" style="6" bestFit="1" customWidth="1"/>
    <col min="13" max="13" width="10.5703125" bestFit="1" customWidth="1"/>
  </cols>
  <sheetData>
    <row r="1" spans="1:15" ht="15.75" thickBot="1" x14ac:dyDescent="0.3">
      <c r="A1" s="119">
        <v>286610.09999999998</v>
      </c>
      <c r="B1" s="120">
        <v>312138.44</v>
      </c>
      <c r="C1" s="120">
        <v>286610.09999999998</v>
      </c>
      <c r="D1" s="121">
        <v>312138.44</v>
      </c>
      <c r="F1">
        <v>279990.74</v>
      </c>
      <c r="I1" s="122">
        <v>4349.6000000000004</v>
      </c>
      <c r="J1" s="113">
        <v>4607.74</v>
      </c>
      <c r="K1" s="113">
        <v>-5.6</v>
      </c>
      <c r="L1" s="125">
        <f>(I1-J1)/J1</f>
        <v>-5.6023126304869511E-2</v>
      </c>
      <c r="M1" s="123">
        <v>4607.74</v>
      </c>
      <c r="N1" s="123">
        <v>-5.6</v>
      </c>
      <c r="O1" s="125">
        <f>(I1-M1)/M1</f>
        <v>-5.6023126304869511E-2</v>
      </c>
    </row>
    <row r="2" spans="1:15" ht="15.75" thickBot="1" x14ac:dyDescent="0.3">
      <c r="I2" s="114">
        <v>18453.8</v>
      </c>
      <c r="J2" s="115">
        <v>35427.199999999997</v>
      </c>
      <c r="K2" s="115">
        <v>-47.91</v>
      </c>
      <c r="L2" s="125">
        <f t="shared" ref="L2:L11" si="0">(I2-J2)/J2</f>
        <v>-0.47910644928190765</v>
      </c>
      <c r="M2" s="124">
        <v>35400</v>
      </c>
      <c r="N2" s="124">
        <v>-47.87</v>
      </c>
      <c r="O2" s="125">
        <f t="shared" ref="O2:O15" si="1">(I2-M2)/M2</f>
        <v>-0.47870621468926555</v>
      </c>
    </row>
    <row r="3" spans="1:15" ht="15.75" thickBot="1" x14ac:dyDescent="0.3">
      <c r="I3" s="114">
        <v>48330.8</v>
      </c>
      <c r="J3" s="115">
        <v>37840</v>
      </c>
      <c r="K3" s="115">
        <v>27.72</v>
      </c>
      <c r="L3" s="125">
        <f t="shared" si="0"/>
        <v>0.27724101479915442</v>
      </c>
      <c r="M3" s="124">
        <v>37800</v>
      </c>
      <c r="N3" s="124">
        <v>27.86</v>
      </c>
      <c r="O3" s="125">
        <f t="shared" si="1"/>
        <v>0.27859259259259267</v>
      </c>
    </row>
    <row r="4" spans="1:15" ht="15.75" thickBot="1" x14ac:dyDescent="0.3">
      <c r="C4" s="118">
        <f>(A1-_Hlk113937779)/_Hlk113937779</f>
        <v>-8.1785312952803974E-2</v>
      </c>
      <c r="I4" s="114">
        <v>34169.199999999997</v>
      </c>
      <c r="J4" s="115">
        <v>36357.19</v>
      </c>
      <c r="K4" s="115">
        <v>-6.02</v>
      </c>
      <c r="L4" s="125">
        <f t="shared" si="0"/>
        <v>-6.0180393479254177E-2</v>
      </c>
      <c r="M4" s="124">
        <v>36400</v>
      </c>
      <c r="N4" s="124">
        <v>-6.13</v>
      </c>
      <c r="O4" s="125">
        <f t="shared" si="1"/>
        <v>-6.1285714285714367E-2</v>
      </c>
    </row>
    <row r="5" spans="1:15" ht="15.75" thickBot="1" x14ac:dyDescent="0.3">
      <c r="I5" s="114">
        <v>32936.6</v>
      </c>
      <c r="J5" s="115">
        <v>31490.67</v>
      </c>
      <c r="K5" s="115">
        <v>4.59</v>
      </c>
      <c r="L5" s="125">
        <f t="shared" si="0"/>
        <v>4.5916139605794361E-2</v>
      </c>
      <c r="M5" s="124">
        <v>31500</v>
      </c>
      <c r="N5" s="124">
        <v>4.5599999999999996</v>
      </c>
      <c r="O5" s="125">
        <f t="shared" si="1"/>
        <v>4.5606349206349157E-2</v>
      </c>
    </row>
    <row r="6" spans="1:15" ht="15.75" thickBot="1" x14ac:dyDescent="0.3">
      <c r="I6" s="114">
        <v>29032.3</v>
      </c>
      <c r="J6" s="115">
        <v>32436.400000000001</v>
      </c>
      <c r="K6" s="115">
        <v>-10.49</v>
      </c>
      <c r="L6" s="125">
        <f t="shared" si="0"/>
        <v>-0.10494691149449391</v>
      </c>
      <c r="M6" s="124">
        <v>7722</v>
      </c>
      <c r="N6" s="124">
        <v>275.97000000000003</v>
      </c>
      <c r="O6" s="125">
        <f t="shared" si="1"/>
        <v>2.7596866096866095</v>
      </c>
    </row>
    <row r="7" spans="1:15" ht="15.75" thickBot="1" x14ac:dyDescent="0.3">
      <c r="I7" s="114">
        <v>23635.8</v>
      </c>
      <c r="J7" s="115">
        <v>27151.55</v>
      </c>
      <c r="K7" s="115">
        <v>-12.95</v>
      </c>
      <c r="L7" s="125">
        <f t="shared" si="0"/>
        <v>-0.12948616193182341</v>
      </c>
      <c r="M7" s="124">
        <v>21286</v>
      </c>
      <c r="N7" s="124">
        <v>11.04</v>
      </c>
      <c r="O7" s="125">
        <f t="shared" si="1"/>
        <v>0.11039180682138491</v>
      </c>
    </row>
    <row r="8" spans="1:15" ht="15.75" thickBot="1" x14ac:dyDescent="0.3">
      <c r="I8" s="114">
        <v>23406.5</v>
      </c>
      <c r="J8" s="115">
        <v>26286.34</v>
      </c>
      <c r="K8" s="115">
        <v>-10.96</v>
      </c>
      <c r="L8" s="125">
        <f t="shared" si="0"/>
        <v>-0.10955652251321409</v>
      </c>
      <c r="M8" s="124">
        <v>25447</v>
      </c>
      <c r="N8" s="124">
        <v>-8.02</v>
      </c>
      <c r="O8" s="125">
        <f t="shared" si="1"/>
        <v>-8.0186269501316465E-2</v>
      </c>
    </row>
    <row r="9" spans="1:15" ht="15.75" thickBot="1" x14ac:dyDescent="0.3">
      <c r="I9" s="114">
        <v>21763.200000000001</v>
      </c>
      <c r="J9" s="115">
        <v>23827.62</v>
      </c>
      <c r="K9" s="115">
        <v>-8.66</v>
      </c>
      <c r="L9" s="125">
        <f t="shared" si="0"/>
        <v>-8.6639790293785046E-2</v>
      </c>
      <c r="M9" s="124">
        <v>23828</v>
      </c>
      <c r="N9" s="124">
        <v>-8.67</v>
      </c>
      <c r="O9" s="125">
        <f t="shared" si="1"/>
        <v>-8.6654356219573583E-2</v>
      </c>
    </row>
    <row r="10" spans="1:15" ht="15.75" thickBot="1" x14ac:dyDescent="0.3">
      <c r="I10" s="114">
        <v>20957.11</v>
      </c>
      <c r="J10" s="115">
        <v>26254.38</v>
      </c>
      <c r="K10" s="115">
        <v>-20.18</v>
      </c>
      <c r="L10" s="125">
        <f t="shared" si="0"/>
        <v>-0.20176709562366357</v>
      </c>
      <c r="M10" s="124">
        <v>25000</v>
      </c>
      <c r="N10" s="124">
        <v>-16.170000000000002</v>
      </c>
      <c r="O10" s="125">
        <f t="shared" si="1"/>
        <v>-0.16171559999999999</v>
      </c>
    </row>
    <row r="11" spans="1:15" ht="15.75" thickBot="1" x14ac:dyDescent="0.3">
      <c r="I11" s="114">
        <v>29575.19</v>
      </c>
      <c r="J11" s="115">
        <v>30459.35</v>
      </c>
      <c r="K11" s="115">
        <v>-2.9</v>
      </c>
      <c r="L11" s="125">
        <f t="shared" si="0"/>
        <v>-2.9027539983617505E-2</v>
      </c>
      <c r="M11" s="124">
        <v>31000</v>
      </c>
      <c r="N11" s="124">
        <v>-4.5999999999999996</v>
      </c>
      <c r="O11" s="125">
        <f t="shared" si="1"/>
        <v>-4.5961612903225847E-2</v>
      </c>
    </row>
    <row r="12" spans="1:15" ht="15.75" thickBot="1" x14ac:dyDescent="0.3">
      <c r="O12" s="125" t="e">
        <f t="shared" si="1"/>
        <v>#DIV/0!</v>
      </c>
    </row>
    <row r="13" spans="1:15" ht="15.75" thickBot="1" x14ac:dyDescent="0.3">
      <c r="O13" s="125" t="e">
        <f t="shared" si="1"/>
        <v>#DIV/0!</v>
      </c>
    </row>
    <row r="14" spans="1:15" ht="15.75" thickBot="1" x14ac:dyDescent="0.3">
      <c r="I14" s="119">
        <v>286610.09999999998</v>
      </c>
      <c r="J14" s="120">
        <v>312138.44</v>
      </c>
      <c r="K14" s="120">
        <v>-8.18</v>
      </c>
      <c r="L14" s="121">
        <v>279990.74</v>
      </c>
      <c r="M14" s="126">
        <f>(I14-L14)/L14</f>
        <v>2.3641353281897773E-2</v>
      </c>
      <c r="O14" s="125">
        <f t="shared" si="1"/>
        <v>12123251.699728396</v>
      </c>
    </row>
    <row r="15" spans="1:15" ht="15.75" thickBot="1" x14ac:dyDescent="0.3">
      <c r="O15" s="125" t="e">
        <f t="shared" si="1"/>
        <v>#DIV/0!</v>
      </c>
    </row>
    <row r="19" spans="9:20" ht="15.75" thickBot="1" x14ac:dyDescent="0.3"/>
    <row r="20" spans="9:20" ht="15.75" thickBot="1" x14ac:dyDescent="0.3">
      <c r="I20" s="127" t="s">
        <v>166</v>
      </c>
      <c r="J20" s="120">
        <v>725443.1</v>
      </c>
      <c r="K20" s="120">
        <v>921720.76</v>
      </c>
      <c r="L20" s="120">
        <v>-21.29</v>
      </c>
      <c r="M20" s="121">
        <v>813118.33</v>
      </c>
      <c r="N20" s="121">
        <v>-11.78</v>
      </c>
    </row>
    <row r="21" spans="9:20" x14ac:dyDescent="0.25">
      <c r="L21" s="6">
        <f>(J20-K20)/K20</f>
        <v>-0.21294698841328044</v>
      </c>
      <c r="N21" s="6">
        <f>(L20-M20)/M20</f>
        <v>-1.0000261831509814</v>
      </c>
    </row>
    <row r="23" spans="9:20" ht="15.75" thickBot="1" x14ac:dyDescent="0.3"/>
    <row r="24" spans="9:20" ht="15.75" thickBot="1" x14ac:dyDescent="0.3">
      <c r="I24" s="119">
        <v>840969.7</v>
      </c>
      <c r="J24" s="120">
        <v>887239.43</v>
      </c>
      <c r="K24" s="120">
        <v>-5.22</v>
      </c>
      <c r="L24" s="121">
        <v>883161.03</v>
      </c>
      <c r="M24" s="121">
        <v>-0.46</v>
      </c>
    </row>
    <row r="25" spans="9:20" ht="15.75" thickBot="1" x14ac:dyDescent="0.3">
      <c r="K25" s="6">
        <f>(I24-J24)/J24</f>
        <v>-5.2150218346360119E-2</v>
      </c>
      <c r="M25" s="6">
        <f>(I24-L24)/L24</f>
        <v>-4.7773088447981081E-2</v>
      </c>
      <c r="P25" s="119">
        <v>112141.7</v>
      </c>
      <c r="Q25" s="120">
        <v>119917.72</v>
      </c>
      <c r="R25" s="120">
        <v>-6.48</v>
      </c>
      <c r="S25" s="121">
        <v>116609.48</v>
      </c>
      <c r="T25" s="121">
        <v>-2.76</v>
      </c>
    </row>
    <row r="26" spans="9:20" x14ac:dyDescent="0.25">
      <c r="R26" s="6">
        <f>(P25-Q25)/Q25</f>
        <v>-6.4844628466918852E-2</v>
      </c>
      <c r="T26" s="6">
        <f>(P25-S25)/S25</f>
        <v>-3.8314037589396666E-2</v>
      </c>
    </row>
    <row r="29" spans="9:20" x14ac:dyDescent="0.25">
      <c r="I29">
        <v>112141.7</v>
      </c>
      <c r="J29">
        <v>119917.72</v>
      </c>
      <c r="K29">
        <v>-6.48</v>
      </c>
      <c r="L29" s="6">
        <v>116609.48</v>
      </c>
      <c r="M29">
        <v>-2.76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H14"/>
  <sheetViews>
    <sheetView workbookViewId="0">
      <selection activeCell="H3" sqref="H3:H14"/>
    </sheetView>
  </sheetViews>
  <sheetFormatPr defaultRowHeight="15" x14ac:dyDescent="0.25"/>
  <cols>
    <col min="8" max="8" width="9.140625" style="118"/>
  </cols>
  <sheetData>
    <row r="1" spans="1:8" x14ac:dyDescent="0.25">
      <c r="A1" t="s">
        <v>167</v>
      </c>
    </row>
    <row r="2" spans="1:8" x14ac:dyDescent="0.25">
      <c r="A2" t="s">
        <v>21</v>
      </c>
      <c r="B2" t="s">
        <v>168</v>
      </c>
      <c r="C2" t="s">
        <v>169</v>
      </c>
      <c r="E2" t="s">
        <v>170</v>
      </c>
      <c r="F2" t="s">
        <v>171</v>
      </c>
      <c r="G2" t="s">
        <v>170</v>
      </c>
    </row>
    <row r="3" spans="1:8" x14ac:dyDescent="0.25">
      <c r="A3" s="128">
        <v>44855</v>
      </c>
      <c r="B3">
        <v>4349.6000000000004</v>
      </c>
      <c r="C3">
        <v>4607.74</v>
      </c>
      <c r="D3">
        <f>(B3-C3)/C3</f>
        <v>-5.6023126304869511E-2</v>
      </c>
      <c r="E3">
        <v>-5.6</v>
      </c>
      <c r="F3">
        <v>4607.74</v>
      </c>
      <c r="G3">
        <v>-5.6</v>
      </c>
      <c r="H3" s="6">
        <f>(B3-F3)/F3</f>
        <v>-5.6023126304869511E-2</v>
      </c>
    </row>
    <row r="4" spans="1:8" x14ac:dyDescent="0.25">
      <c r="A4" s="128">
        <v>44886</v>
      </c>
      <c r="B4">
        <v>18453.8</v>
      </c>
      <c r="C4">
        <v>35427.199999999997</v>
      </c>
      <c r="D4">
        <f t="shared" ref="D4:D14" si="0">(B4-C4)/C4</f>
        <v>-0.47910644928190765</v>
      </c>
      <c r="E4">
        <v>-47.91</v>
      </c>
      <c r="F4">
        <v>35400</v>
      </c>
      <c r="G4">
        <v>-47.87</v>
      </c>
      <c r="H4" s="6">
        <f t="shared" ref="H4:H14" si="1">(B4-F4)/F4</f>
        <v>-0.47870621468926555</v>
      </c>
    </row>
    <row r="5" spans="1:8" x14ac:dyDescent="0.25">
      <c r="A5" s="128">
        <v>44916</v>
      </c>
      <c r="B5">
        <v>48330.8</v>
      </c>
      <c r="C5">
        <v>37840</v>
      </c>
      <c r="D5">
        <f t="shared" si="0"/>
        <v>0.27724101479915442</v>
      </c>
      <c r="E5">
        <v>27.72</v>
      </c>
      <c r="F5">
        <v>37800</v>
      </c>
      <c r="G5">
        <v>27.86</v>
      </c>
      <c r="H5" s="6">
        <f t="shared" si="1"/>
        <v>0.27859259259259267</v>
      </c>
    </row>
    <row r="6" spans="1:8" x14ac:dyDescent="0.25">
      <c r="A6" s="128">
        <v>44583</v>
      </c>
      <c r="B6">
        <v>34169.199999999997</v>
      </c>
      <c r="C6">
        <v>36357.19</v>
      </c>
      <c r="D6">
        <f t="shared" si="0"/>
        <v>-6.0180393479254177E-2</v>
      </c>
      <c r="E6">
        <v>-6.02</v>
      </c>
      <c r="F6">
        <v>36400</v>
      </c>
      <c r="G6">
        <v>-6.13</v>
      </c>
      <c r="H6" s="6">
        <f t="shared" si="1"/>
        <v>-6.1285714285714367E-2</v>
      </c>
    </row>
    <row r="7" spans="1:8" x14ac:dyDescent="0.25">
      <c r="A7" s="128">
        <v>44614</v>
      </c>
      <c r="B7">
        <v>32936.6</v>
      </c>
      <c r="C7">
        <v>31490.67</v>
      </c>
      <c r="D7">
        <f t="shared" si="0"/>
        <v>4.5916139605794361E-2</v>
      </c>
      <c r="E7">
        <v>4.59</v>
      </c>
      <c r="F7">
        <v>31500</v>
      </c>
      <c r="G7">
        <v>4.5599999999999996</v>
      </c>
      <c r="H7" s="6">
        <f t="shared" si="1"/>
        <v>4.5606349206349157E-2</v>
      </c>
    </row>
    <row r="8" spans="1:8" x14ac:dyDescent="0.25">
      <c r="A8" s="128">
        <v>44642</v>
      </c>
      <c r="B8">
        <v>29032.3</v>
      </c>
      <c r="C8">
        <v>32436.400000000001</v>
      </c>
      <c r="D8">
        <f t="shared" si="0"/>
        <v>-0.10494691149449391</v>
      </c>
      <c r="E8">
        <v>-10.49</v>
      </c>
      <c r="F8">
        <v>35900</v>
      </c>
      <c r="G8">
        <v>275.97000000000003</v>
      </c>
      <c r="H8" s="6">
        <f t="shared" si="1"/>
        <v>-0.19130083565459613</v>
      </c>
    </row>
    <row r="9" spans="1:8" x14ac:dyDescent="0.25">
      <c r="A9" s="128">
        <v>44673</v>
      </c>
      <c r="B9">
        <v>23635.8</v>
      </c>
      <c r="C9">
        <v>27151.55</v>
      </c>
      <c r="D9">
        <f t="shared" si="0"/>
        <v>-0.12948616193182341</v>
      </c>
      <c r="E9">
        <v>-12.95</v>
      </c>
      <c r="F9">
        <v>21286</v>
      </c>
      <c r="G9">
        <v>11.04</v>
      </c>
      <c r="H9" s="6">
        <f t="shared" si="1"/>
        <v>0.11039180682138491</v>
      </c>
    </row>
    <row r="10" spans="1:8" x14ac:dyDescent="0.25">
      <c r="A10" s="128">
        <v>44703</v>
      </c>
      <c r="B10">
        <v>23406.5</v>
      </c>
      <c r="C10">
        <v>26286.34</v>
      </c>
      <c r="D10">
        <f t="shared" si="0"/>
        <v>-0.10955652251321409</v>
      </c>
      <c r="E10">
        <v>-10.96</v>
      </c>
      <c r="F10">
        <v>25447</v>
      </c>
      <c r="G10">
        <v>-8.02</v>
      </c>
      <c r="H10" s="6">
        <f t="shared" si="1"/>
        <v>-8.0186269501316465E-2</v>
      </c>
    </row>
    <row r="11" spans="1:8" x14ac:dyDescent="0.25">
      <c r="A11" s="128">
        <v>44734</v>
      </c>
      <c r="B11">
        <v>21763.200000000001</v>
      </c>
      <c r="C11">
        <v>23827.62</v>
      </c>
      <c r="D11">
        <f t="shared" si="0"/>
        <v>-8.6639790293785046E-2</v>
      </c>
      <c r="E11">
        <v>-8.66</v>
      </c>
      <c r="F11">
        <v>23828</v>
      </c>
      <c r="G11">
        <v>-8.67</v>
      </c>
      <c r="H11" s="6">
        <f t="shared" si="1"/>
        <v>-8.6654356219573583E-2</v>
      </c>
    </row>
    <row r="12" spans="1:8" x14ac:dyDescent="0.25">
      <c r="A12" s="128">
        <v>44764</v>
      </c>
      <c r="B12">
        <v>20957.11</v>
      </c>
      <c r="C12">
        <v>26254.38</v>
      </c>
      <c r="D12">
        <f t="shared" si="0"/>
        <v>-0.20176709562366357</v>
      </c>
      <c r="E12">
        <v>-20.18</v>
      </c>
      <c r="F12">
        <v>25000</v>
      </c>
      <c r="G12">
        <v>-16.170000000000002</v>
      </c>
      <c r="H12" s="6">
        <f t="shared" si="1"/>
        <v>-0.16171559999999999</v>
      </c>
    </row>
    <row r="13" spans="1:8" x14ac:dyDescent="0.25">
      <c r="A13" s="128">
        <v>44795</v>
      </c>
      <c r="B13">
        <v>29575.19</v>
      </c>
      <c r="C13">
        <v>30459.35</v>
      </c>
      <c r="D13">
        <f t="shared" si="0"/>
        <v>-2.9027539983617505E-2</v>
      </c>
      <c r="E13">
        <v>-2.9</v>
      </c>
      <c r="F13">
        <v>31000</v>
      </c>
      <c r="G13">
        <v>-4.5999999999999996</v>
      </c>
      <c r="H13" s="6">
        <f t="shared" si="1"/>
        <v>-4.5961612903225847E-2</v>
      </c>
    </row>
    <row r="14" spans="1:8" x14ac:dyDescent="0.25">
      <c r="A14" t="s">
        <v>166</v>
      </c>
      <c r="B14">
        <v>286610.09999999998</v>
      </c>
      <c r="C14">
        <v>312138.44</v>
      </c>
      <c r="D14">
        <f t="shared" si="0"/>
        <v>-8.1785312952803974E-2</v>
      </c>
      <c r="E14">
        <v>-8.18</v>
      </c>
      <c r="F14">
        <v>279990.74</v>
      </c>
      <c r="G14">
        <v>2.36</v>
      </c>
      <c r="H14" s="6">
        <f t="shared" si="1"/>
        <v>2.3641353281897773E-2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V70"/>
  <sheetViews>
    <sheetView topLeftCell="A59" workbookViewId="0">
      <selection activeCell="E67" sqref="E67:G70"/>
    </sheetView>
  </sheetViews>
  <sheetFormatPr defaultRowHeight="15.75" x14ac:dyDescent="0.25"/>
  <cols>
    <col min="1" max="2" width="16" style="39" customWidth="1"/>
    <col min="3" max="3" width="21.140625" style="39" customWidth="1"/>
    <col min="4" max="4" width="27" style="39" customWidth="1"/>
    <col min="5" max="5" width="21.140625" style="39" customWidth="1"/>
    <col min="6" max="6" width="26.85546875" style="46" customWidth="1"/>
    <col min="7" max="7" width="25.140625" style="39" customWidth="1"/>
    <col min="8" max="8" width="20.42578125" style="39" customWidth="1"/>
    <col min="9" max="9" width="15" style="39" customWidth="1"/>
    <col min="10" max="10" width="15.140625" style="39" customWidth="1"/>
    <col min="11" max="11" width="15.42578125" style="39" customWidth="1"/>
    <col min="12" max="12" width="24.5703125" style="39" customWidth="1"/>
    <col min="13" max="13" width="13.85546875" style="39" customWidth="1"/>
    <col min="14" max="14" width="14" style="39" customWidth="1"/>
    <col min="15" max="15" width="14.28515625" style="39" customWidth="1"/>
    <col min="16" max="16" width="12.28515625" style="39" customWidth="1"/>
    <col min="17" max="17" width="11.42578125" style="39" customWidth="1"/>
    <col min="18" max="18" width="14.28515625" style="39" customWidth="1"/>
    <col min="19" max="19" width="14.85546875" style="39" customWidth="1"/>
    <col min="20" max="16384" width="9.140625" style="39"/>
  </cols>
  <sheetData>
    <row r="1" spans="1:22" s="51" customFormat="1" ht="16.5" thickBot="1" x14ac:dyDescent="0.3">
      <c r="A1" s="217" t="s">
        <v>0</v>
      </c>
      <c r="B1" s="217"/>
      <c r="C1" s="47" t="s">
        <v>22</v>
      </c>
      <c r="D1" s="47" t="s">
        <v>29</v>
      </c>
      <c r="E1" s="48" t="s">
        <v>151</v>
      </c>
      <c r="F1" s="49" t="s">
        <v>28</v>
      </c>
      <c r="G1" s="50" t="s">
        <v>152</v>
      </c>
      <c r="H1" s="47" t="s">
        <v>153</v>
      </c>
      <c r="I1" s="47" t="s">
        <v>154</v>
      </c>
      <c r="J1" s="47" t="s">
        <v>155</v>
      </c>
      <c r="K1" s="47" t="s">
        <v>156</v>
      </c>
      <c r="L1" s="47" t="s">
        <v>157</v>
      </c>
      <c r="M1" s="51" t="s">
        <v>160</v>
      </c>
    </row>
    <row r="2" spans="1:22" x14ac:dyDescent="0.25">
      <c r="A2" s="202">
        <v>44470</v>
      </c>
      <c r="B2" s="203"/>
      <c r="C2" s="52" t="s">
        <v>25</v>
      </c>
      <c r="D2" s="52" t="s">
        <v>30</v>
      </c>
      <c r="E2" s="53">
        <v>44470</v>
      </c>
      <c r="F2" s="54">
        <v>0</v>
      </c>
      <c r="G2" s="52" t="s">
        <v>158</v>
      </c>
      <c r="H2" s="54">
        <v>0.60660000000000003</v>
      </c>
      <c r="I2" s="54">
        <f>F2*H2</f>
        <v>0</v>
      </c>
      <c r="J2" s="54">
        <f>15%</f>
        <v>0.15</v>
      </c>
      <c r="K2" s="54">
        <f>I2*J2</f>
        <v>0</v>
      </c>
      <c r="L2" s="55">
        <f>I2+K2</f>
        <v>0</v>
      </c>
    </row>
    <row r="3" spans="1:22" x14ac:dyDescent="0.25">
      <c r="A3" s="204"/>
      <c r="B3" s="205"/>
      <c r="C3" s="44" t="s">
        <v>23</v>
      </c>
      <c r="D3" s="44" t="s">
        <v>30</v>
      </c>
      <c r="E3" s="56">
        <v>44470</v>
      </c>
      <c r="F3" s="42">
        <v>4349.6000000000004</v>
      </c>
      <c r="G3" s="44" t="s">
        <v>158</v>
      </c>
      <c r="H3" s="42">
        <v>0.67410000000000003</v>
      </c>
      <c r="I3" s="42">
        <f>F3*H3</f>
        <v>2932.0653600000005</v>
      </c>
      <c r="J3" s="42">
        <f>15%</f>
        <v>0.15</v>
      </c>
      <c r="K3" s="42">
        <f t="shared" ref="K3:K35" si="0">I3*J3</f>
        <v>439.80980400000004</v>
      </c>
      <c r="L3" s="57">
        <f t="shared" ref="L3:L9" si="1">I3+K3</f>
        <v>3371.8751640000005</v>
      </c>
    </row>
    <row r="4" spans="1:22" ht="16.5" customHeight="1" thickBot="1" x14ac:dyDescent="0.3">
      <c r="A4" s="208"/>
      <c r="B4" s="209"/>
      <c r="C4" s="58" t="s">
        <v>24</v>
      </c>
      <c r="D4" s="58" t="s">
        <v>30</v>
      </c>
      <c r="E4" s="59">
        <v>44470</v>
      </c>
      <c r="F4" s="60">
        <v>15875.699999999999</v>
      </c>
      <c r="G4" s="58" t="s">
        <v>158</v>
      </c>
      <c r="H4" s="60">
        <v>0.61480000000000001</v>
      </c>
      <c r="J4" s="60">
        <f>15%</f>
        <v>0.15</v>
      </c>
      <c r="K4" s="60">
        <f>V5*J4</f>
        <v>1464.0570539999999</v>
      </c>
      <c r="L4" s="61">
        <f>V5+K4</f>
        <v>11224.437414</v>
      </c>
    </row>
    <row r="5" spans="1:22" s="65" customFormat="1" ht="16.5" thickBot="1" x14ac:dyDescent="0.3">
      <c r="A5" s="202">
        <v>44501</v>
      </c>
      <c r="B5" s="203"/>
      <c r="C5" s="62" t="s">
        <v>25</v>
      </c>
      <c r="D5" s="62" t="s">
        <v>30</v>
      </c>
      <c r="E5" s="63">
        <v>44501</v>
      </c>
      <c r="F5" s="62">
        <v>67694.7</v>
      </c>
      <c r="G5" s="62" t="s">
        <v>158</v>
      </c>
      <c r="H5" s="62">
        <v>0.60660000000000003</v>
      </c>
      <c r="I5" s="62">
        <f t="shared" ref="I5:I13" si="2">F5*H5</f>
        <v>41063.605020000003</v>
      </c>
      <c r="J5" s="62">
        <f>15%</f>
        <v>0.15</v>
      </c>
      <c r="K5" s="54">
        <f t="shared" si="0"/>
        <v>6159.5407530000002</v>
      </c>
      <c r="L5" s="64">
        <f t="shared" si="1"/>
        <v>47223.145773000004</v>
      </c>
      <c r="V5" s="60">
        <f>F4*H4</f>
        <v>9760.3803599999992</v>
      </c>
    </row>
    <row r="6" spans="1:22" x14ac:dyDescent="0.25">
      <c r="A6" s="204"/>
      <c r="B6" s="205"/>
      <c r="C6" s="44" t="s">
        <v>23</v>
      </c>
      <c r="D6" s="44" t="s">
        <v>30</v>
      </c>
      <c r="E6" s="56">
        <v>44501</v>
      </c>
      <c r="F6" s="42">
        <v>18453.8</v>
      </c>
      <c r="G6" s="44" t="s">
        <v>158</v>
      </c>
      <c r="H6" s="42">
        <v>0.67410000000000003</v>
      </c>
      <c r="I6" s="42">
        <f t="shared" si="2"/>
        <v>12439.70658</v>
      </c>
      <c r="J6" s="42">
        <f>15%</f>
        <v>0.15</v>
      </c>
      <c r="K6" s="42">
        <f t="shared" si="0"/>
        <v>1865.9559869999998</v>
      </c>
      <c r="L6" s="57">
        <f t="shared" si="1"/>
        <v>14305.662566999999</v>
      </c>
    </row>
    <row r="7" spans="1:22" ht="16.5" thickBot="1" x14ac:dyDescent="0.3">
      <c r="A7" s="208"/>
      <c r="B7" s="209"/>
      <c r="C7" s="58" t="s">
        <v>24</v>
      </c>
      <c r="D7" s="58" t="s">
        <v>30</v>
      </c>
      <c r="E7" s="59">
        <v>44501</v>
      </c>
      <c r="F7" s="60">
        <v>114666.79999999999</v>
      </c>
      <c r="G7" s="58" t="s">
        <v>158</v>
      </c>
      <c r="H7" s="60">
        <v>0.61480000000000001</v>
      </c>
      <c r="I7" s="60">
        <f t="shared" si="2"/>
        <v>70497.148639999999</v>
      </c>
      <c r="J7" s="60">
        <f>15%</f>
        <v>0.15</v>
      </c>
      <c r="K7" s="60">
        <f t="shared" si="0"/>
        <v>10574.572296</v>
      </c>
      <c r="L7" s="61">
        <f t="shared" si="1"/>
        <v>81071.720935999998</v>
      </c>
    </row>
    <row r="8" spans="1:22" x14ac:dyDescent="0.25">
      <c r="A8" s="202">
        <v>44531</v>
      </c>
      <c r="B8" s="203"/>
      <c r="C8" s="52" t="s">
        <v>25</v>
      </c>
      <c r="D8" s="52" t="s">
        <v>30</v>
      </c>
      <c r="E8" s="53">
        <v>44531</v>
      </c>
      <c r="F8" s="54">
        <v>94632.700000000026</v>
      </c>
      <c r="G8" s="52" t="s">
        <v>158</v>
      </c>
      <c r="H8" s="54">
        <v>0.60660000000000003</v>
      </c>
      <c r="I8" s="54">
        <f t="shared" si="2"/>
        <v>57404.195820000015</v>
      </c>
      <c r="J8" s="54">
        <f>15%</f>
        <v>0.15</v>
      </c>
      <c r="K8" s="54">
        <f t="shared" si="0"/>
        <v>8610.6293730000016</v>
      </c>
      <c r="L8" s="55">
        <f t="shared" si="1"/>
        <v>66014.825193000011</v>
      </c>
    </row>
    <row r="9" spans="1:22" x14ac:dyDescent="0.25">
      <c r="A9" s="204"/>
      <c r="B9" s="205"/>
      <c r="C9" s="44" t="s">
        <v>23</v>
      </c>
      <c r="D9" s="44" t="s">
        <v>30</v>
      </c>
      <c r="E9" s="56">
        <v>44531</v>
      </c>
      <c r="F9" s="42">
        <v>48330.802999999993</v>
      </c>
      <c r="G9" s="44" t="s">
        <v>158</v>
      </c>
      <c r="H9" s="42">
        <v>0.67410000000000003</v>
      </c>
      <c r="I9" s="42">
        <f t="shared" si="2"/>
        <v>32579.794302299997</v>
      </c>
      <c r="J9" s="42">
        <f>15%</f>
        <v>0.15</v>
      </c>
      <c r="K9" s="42">
        <f t="shared" si="0"/>
        <v>4886.9691453449996</v>
      </c>
      <c r="L9" s="57">
        <f t="shared" si="1"/>
        <v>37466.763447644997</v>
      </c>
    </row>
    <row r="10" spans="1:22" ht="16.5" thickBot="1" x14ac:dyDescent="0.3">
      <c r="A10" s="208"/>
      <c r="B10" s="209"/>
      <c r="C10" s="58" t="s">
        <v>24</v>
      </c>
      <c r="D10" s="58" t="s">
        <v>30</v>
      </c>
      <c r="E10" s="59">
        <v>44531</v>
      </c>
      <c r="F10" s="58">
        <v>126249.60000000002</v>
      </c>
      <c r="G10" s="58" t="s">
        <v>158</v>
      </c>
      <c r="H10" s="60">
        <v>0.61480000000000001</v>
      </c>
      <c r="I10" s="60">
        <f t="shared" si="2"/>
        <v>77618.254080000013</v>
      </c>
      <c r="J10" s="60">
        <f>15%</f>
        <v>0.15</v>
      </c>
      <c r="K10" s="60">
        <f t="shared" si="0"/>
        <v>11642.738112000001</v>
      </c>
      <c r="L10" s="61">
        <f>I10+K10</f>
        <v>89260.99219200002</v>
      </c>
    </row>
    <row r="11" spans="1:22" x14ac:dyDescent="0.25">
      <c r="A11" s="202" t="s">
        <v>159</v>
      </c>
      <c r="B11" s="203"/>
      <c r="C11" s="52" t="s">
        <v>25</v>
      </c>
      <c r="D11" s="52" t="s">
        <v>30</v>
      </c>
      <c r="E11" s="53">
        <v>44562</v>
      </c>
      <c r="F11" s="54">
        <v>100806.39999999998</v>
      </c>
      <c r="G11" s="52" t="s">
        <v>158</v>
      </c>
      <c r="H11" s="54">
        <v>0.60660000000000003</v>
      </c>
      <c r="I11" s="54">
        <f t="shared" si="2"/>
        <v>61149.162239999991</v>
      </c>
      <c r="J11" s="54">
        <f>15%</f>
        <v>0.15</v>
      </c>
      <c r="K11" s="54">
        <f>I11*J11</f>
        <v>9172.3743359999989</v>
      </c>
      <c r="L11" s="55">
        <f>I11+K11</f>
        <v>70321.536575999984</v>
      </c>
    </row>
    <row r="12" spans="1:22" x14ac:dyDescent="0.25">
      <c r="A12" s="204"/>
      <c r="B12" s="205"/>
      <c r="C12" s="44" t="s">
        <v>23</v>
      </c>
      <c r="D12" s="44" t="s">
        <v>30</v>
      </c>
      <c r="E12" s="56">
        <v>44562</v>
      </c>
      <c r="F12" s="42">
        <v>34169.195000000007</v>
      </c>
      <c r="G12" s="44" t="s">
        <v>158</v>
      </c>
      <c r="H12" s="42">
        <v>0.67410000000000003</v>
      </c>
      <c r="I12" s="42">
        <f t="shared" si="2"/>
        <v>23033.454349500007</v>
      </c>
      <c r="J12" s="42">
        <f>15%</f>
        <v>0.15</v>
      </c>
      <c r="K12" s="42">
        <f>I12*J12</f>
        <v>3455.0181524250011</v>
      </c>
      <c r="L12" s="57">
        <f>I12+K12</f>
        <v>26488.472501925007</v>
      </c>
    </row>
    <row r="13" spans="1:22" ht="16.5" thickBot="1" x14ac:dyDescent="0.3">
      <c r="A13" s="208"/>
      <c r="B13" s="209"/>
      <c r="C13" s="58" t="s">
        <v>24</v>
      </c>
      <c r="D13" s="58" t="s">
        <v>30</v>
      </c>
      <c r="E13" s="59">
        <v>44562</v>
      </c>
      <c r="F13" s="66">
        <v>127624.6</v>
      </c>
      <c r="G13" s="58" t="s">
        <v>158</v>
      </c>
      <c r="H13" s="60">
        <v>0.61480000000000001</v>
      </c>
      <c r="I13" s="60">
        <f t="shared" si="2"/>
        <v>78463.604080000005</v>
      </c>
      <c r="J13" s="60">
        <f>15%</f>
        <v>0.15</v>
      </c>
      <c r="K13" s="60">
        <f t="shared" si="0"/>
        <v>11769.540612000001</v>
      </c>
      <c r="L13" s="67">
        <f>I13+K13</f>
        <v>90233.144692000002</v>
      </c>
      <c r="M13" s="39">
        <f>L13+L16+L20</f>
        <v>225694.28808199998</v>
      </c>
      <c r="N13" s="39">
        <f>F13+F16+F20</f>
        <v>319219.09999999998</v>
      </c>
    </row>
    <row r="14" spans="1:22" x14ac:dyDescent="0.25">
      <c r="A14" s="202">
        <v>44593</v>
      </c>
      <c r="B14" s="203"/>
      <c r="C14" s="52" t="s">
        <v>25</v>
      </c>
      <c r="D14" s="52" t="s">
        <v>30</v>
      </c>
      <c r="E14" s="53">
        <v>44593</v>
      </c>
      <c r="F14" s="62">
        <v>91369.8</v>
      </c>
      <c r="G14" s="52" t="s">
        <v>158</v>
      </c>
      <c r="H14" s="54">
        <v>0.60660000000000003</v>
      </c>
      <c r="I14" s="54">
        <f>H14*F14</f>
        <v>55424.920680000003</v>
      </c>
      <c r="J14" s="54">
        <v>0.15</v>
      </c>
      <c r="K14" s="54">
        <f t="shared" si="0"/>
        <v>8313.7381019999993</v>
      </c>
      <c r="L14" s="55">
        <f t="shared" ref="L14:L70" si="3">I14+K14</f>
        <v>63738.658781999999</v>
      </c>
    </row>
    <row r="15" spans="1:22" x14ac:dyDescent="0.25">
      <c r="A15" s="204"/>
      <c r="B15" s="205"/>
      <c r="C15" s="44" t="s">
        <v>23</v>
      </c>
      <c r="D15" s="44" t="s">
        <v>30</v>
      </c>
      <c r="E15" s="56">
        <v>44593</v>
      </c>
      <c r="F15" s="68">
        <v>32936.601999999999</v>
      </c>
      <c r="G15" s="44" t="s">
        <v>158</v>
      </c>
      <c r="H15" s="42">
        <v>0.67410000000000003</v>
      </c>
      <c r="I15" s="42">
        <f t="shared" ref="I15:I27" si="4">H15*F15</f>
        <v>22202.5634082</v>
      </c>
      <c r="J15" s="42">
        <v>0.15</v>
      </c>
      <c r="K15" s="42">
        <f t="shared" si="0"/>
        <v>3330.38451123</v>
      </c>
      <c r="L15" s="57">
        <f t="shared" si="3"/>
        <v>25532.94791943</v>
      </c>
    </row>
    <row r="16" spans="1:22" ht="15.75" customHeight="1" thickBot="1" x14ac:dyDescent="0.3">
      <c r="A16" s="206"/>
      <c r="B16" s="207"/>
      <c r="C16" s="69" t="s">
        <v>24</v>
      </c>
      <c r="D16" s="69" t="s">
        <v>30</v>
      </c>
      <c r="E16" s="70">
        <v>44593</v>
      </c>
      <c r="F16" s="71">
        <v>96946.4</v>
      </c>
      <c r="G16" s="69" t="s">
        <v>158</v>
      </c>
      <c r="H16" s="72">
        <v>0.61480000000000001</v>
      </c>
      <c r="I16" s="72">
        <f t="shared" si="4"/>
        <v>59602.646719999997</v>
      </c>
      <c r="J16" s="72">
        <v>0.15</v>
      </c>
      <c r="K16" s="72">
        <f t="shared" si="0"/>
        <v>8940.3970079999999</v>
      </c>
      <c r="L16" s="73">
        <f t="shared" si="3"/>
        <v>68543.04372799999</v>
      </c>
    </row>
    <row r="17" spans="1:13" ht="14.25" customHeight="1" thickBot="1" x14ac:dyDescent="0.3">
      <c r="A17" s="202">
        <v>44621</v>
      </c>
      <c r="B17" s="203"/>
      <c r="C17" s="74" t="s">
        <v>25</v>
      </c>
      <c r="D17" s="52" t="s">
        <v>30</v>
      </c>
      <c r="E17" s="53">
        <v>44621</v>
      </c>
      <c r="F17" s="54">
        <v>89806.300000000017</v>
      </c>
      <c r="G17" s="52" t="s">
        <v>158</v>
      </c>
      <c r="H17" s="54">
        <v>0.60660000000000003</v>
      </c>
      <c r="I17" s="72">
        <f t="shared" si="4"/>
        <v>54476.501580000011</v>
      </c>
      <c r="J17" s="54">
        <v>0.15</v>
      </c>
      <c r="K17" s="54">
        <f>J17*I17</f>
        <v>8171.4752370000015</v>
      </c>
      <c r="L17" s="55">
        <f>I17+K17</f>
        <v>62647.97681700001</v>
      </c>
    </row>
    <row r="18" spans="1:13" ht="16.5" thickBot="1" x14ac:dyDescent="0.3">
      <c r="A18" s="204"/>
      <c r="B18" s="205"/>
      <c r="C18" s="75" t="s">
        <v>23</v>
      </c>
      <c r="D18" s="44" t="s">
        <v>30</v>
      </c>
      <c r="E18" s="56">
        <v>44621</v>
      </c>
      <c r="F18" s="76">
        <v>29032.3</v>
      </c>
      <c r="G18" s="44" t="s">
        <v>158</v>
      </c>
      <c r="H18" s="42">
        <v>0.67410000000000003</v>
      </c>
      <c r="I18" s="42">
        <f t="shared" si="4"/>
        <v>19570.673429999999</v>
      </c>
      <c r="J18" s="42">
        <v>0.15</v>
      </c>
      <c r="K18" s="54">
        <f>J18*I18</f>
        <v>2935.6010144999996</v>
      </c>
      <c r="L18" s="57">
        <f t="shared" si="3"/>
        <v>22506.274444499999</v>
      </c>
    </row>
    <row r="19" spans="1:13" s="83" customFormat="1" ht="16.5" thickBot="1" x14ac:dyDescent="0.3">
      <c r="A19" s="206"/>
      <c r="B19" s="207"/>
      <c r="C19" s="77" t="s">
        <v>26</v>
      </c>
      <c r="D19" s="78" t="s">
        <v>30</v>
      </c>
      <c r="E19" s="79">
        <v>44621</v>
      </c>
      <c r="F19" s="80">
        <v>17949.203000000001</v>
      </c>
      <c r="G19" s="78" t="s">
        <v>158</v>
      </c>
      <c r="H19" s="81">
        <v>0.7944</v>
      </c>
      <c r="I19" s="45">
        <f t="shared" si="4"/>
        <v>14258.8468632</v>
      </c>
      <c r="J19" s="45">
        <v>0.15</v>
      </c>
      <c r="K19" s="54">
        <f>J19*I19</f>
        <v>2138.82702948</v>
      </c>
      <c r="L19" s="82">
        <f t="shared" si="3"/>
        <v>16397.673892679999</v>
      </c>
    </row>
    <row r="20" spans="1:13" ht="16.5" thickBot="1" x14ac:dyDescent="0.3">
      <c r="A20" s="208"/>
      <c r="B20" s="209"/>
      <c r="C20" s="84" t="s">
        <v>24</v>
      </c>
      <c r="D20" s="58" t="s">
        <v>30</v>
      </c>
      <c r="E20" s="59">
        <v>44621</v>
      </c>
      <c r="F20" s="66">
        <v>94648.1</v>
      </c>
      <c r="G20" s="58" t="s">
        <v>158</v>
      </c>
      <c r="H20" s="60">
        <v>0.61480000000000001</v>
      </c>
      <c r="I20" s="60">
        <f t="shared" si="4"/>
        <v>58189.651880000005</v>
      </c>
      <c r="J20" s="60">
        <v>0.15</v>
      </c>
      <c r="K20" s="54">
        <f>J20*I20</f>
        <v>8728.4477820000011</v>
      </c>
      <c r="L20" s="67">
        <f t="shared" si="3"/>
        <v>66918.099662000008</v>
      </c>
      <c r="M20" s="39" t="e">
        <f>#REF!+L20</f>
        <v>#REF!</v>
      </c>
    </row>
    <row r="21" spans="1:13" ht="16.5" x14ac:dyDescent="0.3">
      <c r="A21" s="210">
        <v>44652</v>
      </c>
      <c r="B21" s="211"/>
      <c r="C21" s="85" t="s">
        <v>26</v>
      </c>
      <c r="D21" s="86" t="s">
        <v>30</v>
      </c>
      <c r="E21" s="56">
        <v>44652</v>
      </c>
      <c r="F21" s="87">
        <v>21947</v>
      </c>
      <c r="G21" s="86" t="s">
        <v>158</v>
      </c>
      <c r="H21" s="88">
        <v>0.7944</v>
      </c>
      <c r="I21" s="88">
        <f t="shared" si="4"/>
        <v>17434.696800000002</v>
      </c>
      <c r="J21" s="40">
        <v>0.15</v>
      </c>
      <c r="K21" s="40">
        <f t="shared" si="0"/>
        <v>2615.2045200000002</v>
      </c>
      <c r="L21" s="89">
        <f t="shared" si="3"/>
        <v>20049.901320000001</v>
      </c>
    </row>
    <row r="22" spans="1:13" ht="16.5" x14ac:dyDescent="0.3">
      <c r="A22" s="198"/>
      <c r="B22" s="212"/>
      <c r="C22" s="85" t="s">
        <v>27</v>
      </c>
      <c r="D22" s="86" t="s">
        <v>30</v>
      </c>
      <c r="E22" s="56">
        <v>44652</v>
      </c>
      <c r="F22" s="87">
        <v>21643.97</v>
      </c>
      <c r="G22" s="86" t="s">
        <v>158</v>
      </c>
      <c r="H22" s="88">
        <v>0.65890000000000004</v>
      </c>
      <c r="I22" s="88">
        <f t="shared" si="4"/>
        <v>14261.211833000001</v>
      </c>
      <c r="J22" s="40">
        <v>0.15</v>
      </c>
      <c r="K22" s="40">
        <f t="shared" si="0"/>
        <v>2139.1817749500001</v>
      </c>
      <c r="L22" s="89">
        <f t="shared" si="3"/>
        <v>16400.393607950002</v>
      </c>
    </row>
    <row r="23" spans="1:13" ht="16.5" x14ac:dyDescent="0.3">
      <c r="A23" s="198"/>
      <c r="B23" s="212"/>
      <c r="C23" s="86" t="s">
        <v>25</v>
      </c>
      <c r="D23" s="86" t="s">
        <v>30</v>
      </c>
      <c r="E23" s="56">
        <v>44652</v>
      </c>
      <c r="F23" s="90">
        <v>70141.499999999971</v>
      </c>
      <c r="G23" s="86" t="s">
        <v>158</v>
      </c>
      <c r="H23" s="40">
        <v>0.60660000000000003</v>
      </c>
      <c r="I23" s="40">
        <f t="shared" si="4"/>
        <v>42547.833899999983</v>
      </c>
      <c r="J23" s="40">
        <v>0.15</v>
      </c>
      <c r="K23" s="40">
        <f t="shared" si="0"/>
        <v>6382.1750849999971</v>
      </c>
      <c r="L23" s="89">
        <f t="shared" si="3"/>
        <v>48930.008984999979</v>
      </c>
    </row>
    <row r="24" spans="1:13" ht="16.5" x14ac:dyDescent="0.3">
      <c r="A24" s="198"/>
      <c r="B24" s="212"/>
      <c r="C24" s="44" t="s">
        <v>23</v>
      </c>
      <c r="D24" s="44" t="s">
        <v>30</v>
      </c>
      <c r="E24" s="56">
        <v>44652</v>
      </c>
      <c r="F24" s="91">
        <v>23635.79700000002</v>
      </c>
      <c r="G24" s="44" t="s">
        <v>158</v>
      </c>
      <c r="H24" s="42">
        <v>0.67410000000000003</v>
      </c>
      <c r="I24" s="42">
        <f t="shared" si="4"/>
        <v>15932.890757700015</v>
      </c>
      <c r="J24" s="42">
        <v>0.15</v>
      </c>
      <c r="K24" s="42">
        <f t="shared" si="0"/>
        <v>2389.9336136550023</v>
      </c>
      <c r="L24" s="57">
        <f t="shared" si="3"/>
        <v>18322.824371355018</v>
      </c>
    </row>
    <row r="25" spans="1:13" ht="17.25" thickBot="1" x14ac:dyDescent="0.35">
      <c r="A25" s="198"/>
      <c r="B25" s="212"/>
      <c r="C25" s="72" t="s">
        <v>24</v>
      </c>
      <c r="D25" s="72" t="s">
        <v>30</v>
      </c>
      <c r="E25" s="70">
        <v>44652</v>
      </c>
      <c r="F25" s="92">
        <v>70139.100000000006</v>
      </c>
      <c r="G25" s="72" t="s">
        <v>158</v>
      </c>
      <c r="H25" s="72">
        <v>0.61480000000000001</v>
      </c>
      <c r="I25" s="72">
        <f t="shared" si="4"/>
        <v>43121.518680000001</v>
      </c>
      <c r="J25" s="72">
        <v>0.15</v>
      </c>
      <c r="K25" s="72">
        <f t="shared" si="0"/>
        <v>6468.2278020000003</v>
      </c>
      <c r="L25" s="93">
        <f t="shared" si="3"/>
        <v>49589.746482000002</v>
      </c>
    </row>
    <row r="26" spans="1:13" ht="16.5" x14ac:dyDescent="0.3">
      <c r="A26" s="210">
        <v>44682</v>
      </c>
      <c r="B26" s="211"/>
      <c r="C26" s="94" t="s">
        <v>26</v>
      </c>
      <c r="D26" s="52" t="s">
        <v>30</v>
      </c>
      <c r="E26" s="53">
        <v>44682</v>
      </c>
      <c r="F26" s="95">
        <v>19453</v>
      </c>
      <c r="G26" s="52" t="s">
        <v>158</v>
      </c>
      <c r="H26" s="96">
        <v>0.7944</v>
      </c>
      <c r="I26" s="54">
        <f t="shared" si="4"/>
        <v>15453.4632</v>
      </c>
      <c r="J26" s="54">
        <v>0.15</v>
      </c>
      <c r="K26" s="54">
        <f t="shared" si="0"/>
        <v>2318.0194799999999</v>
      </c>
      <c r="L26" s="55">
        <f t="shared" si="3"/>
        <v>17771.482680000001</v>
      </c>
    </row>
    <row r="27" spans="1:13" ht="16.5" x14ac:dyDescent="0.3">
      <c r="A27" s="198"/>
      <c r="B27" s="212"/>
      <c r="C27" s="85" t="s">
        <v>27</v>
      </c>
      <c r="D27" s="86" t="s">
        <v>30</v>
      </c>
      <c r="E27" s="56">
        <v>44682</v>
      </c>
      <c r="F27" s="95">
        <v>28195.21</v>
      </c>
      <c r="G27" s="86" t="s">
        <v>158</v>
      </c>
      <c r="H27" s="88">
        <v>0.65890000000000004</v>
      </c>
      <c r="I27" s="40">
        <f t="shared" si="4"/>
        <v>18577.823869</v>
      </c>
      <c r="J27" s="40">
        <v>0.15</v>
      </c>
      <c r="K27" s="40">
        <f t="shared" si="0"/>
        <v>2786.6735803500001</v>
      </c>
      <c r="L27" s="89">
        <f t="shared" si="3"/>
        <v>21364.497449350001</v>
      </c>
    </row>
    <row r="28" spans="1:13" x14ac:dyDescent="0.25">
      <c r="A28" s="198"/>
      <c r="B28" s="212"/>
      <c r="C28" s="86" t="s">
        <v>25</v>
      </c>
      <c r="D28" s="86" t="s">
        <v>30</v>
      </c>
      <c r="E28" s="56">
        <v>44682</v>
      </c>
      <c r="F28" s="76">
        <v>60420.899999999994</v>
      </c>
      <c r="G28" s="86" t="s">
        <v>158</v>
      </c>
      <c r="H28" s="40">
        <v>0.60660000000000003</v>
      </c>
      <c r="I28" s="40">
        <f>H28*F28</f>
        <v>36651.317940000001</v>
      </c>
      <c r="J28" s="40">
        <v>0.15</v>
      </c>
      <c r="K28" s="40">
        <f t="shared" si="0"/>
        <v>5497.6976910000003</v>
      </c>
      <c r="L28" s="89">
        <f t="shared" si="3"/>
        <v>42149.015631000002</v>
      </c>
    </row>
    <row r="29" spans="1:13" ht="16.5" x14ac:dyDescent="0.3">
      <c r="A29" s="198"/>
      <c r="B29" s="212"/>
      <c r="C29" s="44" t="s">
        <v>23</v>
      </c>
      <c r="D29" s="44" t="s">
        <v>30</v>
      </c>
      <c r="E29" s="56">
        <v>44682</v>
      </c>
      <c r="F29" s="97">
        <v>23406.5</v>
      </c>
      <c r="G29" s="44" t="s">
        <v>158</v>
      </c>
      <c r="H29" s="42">
        <v>0.67410000000000003</v>
      </c>
      <c r="I29" s="42">
        <f t="shared" ref="I29:I70" si="5">H29*F29</f>
        <v>15778.32165</v>
      </c>
      <c r="J29" s="42">
        <v>0.15</v>
      </c>
      <c r="K29" s="42">
        <f t="shared" si="0"/>
        <v>2366.7482474999997</v>
      </c>
      <c r="L29" s="57">
        <f t="shared" si="3"/>
        <v>18145.069897499998</v>
      </c>
    </row>
    <row r="30" spans="1:13" ht="17.25" thickBot="1" x14ac:dyDescent="0.35">
      <c r="A30" s="200"/>
      <c r="B30" s="213"/>
      <c r="C30" s="60" t="s">
        <v>24</v>
      </c>
      <c r="D30" s="60" t="s">
        <v>30</v>
      </c>
      <c r="E30" s="98">
        <v>44682</v>
      </c>
      <c r="F30" s="97">
        <v>52487.9</v>
      </c>
      <c r="G30" s="60" t="s">
        <v>158</v>
      </c>
      <c r="H30" s="60">
        <v>0.61480000000000001</v>
      </c>
      <c r="I30" s="60">
        <f t="shared" si="5"/>
        <v>32269.56092</v>
      </c>
      <c r="J30" s="60">
        <v>0.15</v>
      </c>
      <c r="K30" s="60">
        <f t="shared" si="0"/>
        <v>4840.4341379999996</v>
      </c>
      <c r="L30" s="61">
        <f>I30+K30</f>
        <v>37109.995058</v>
      </c>
      <c r="M30" s="46">
        <f>F25+F30</f>
        <v>122627</v>
      </c>
    </row>
    <row r="31" spans="1:13" ht="16.5" thickBot="1" x14ac:dyDescent="0.3">
      <c r="A31" s="210">
        <v>44713</v>
      </c>
      <c r="B31" s="214"/>
      <c r="C31" s="99" t="s">
        <v>26</v>
      </c>
      <c r="D31" s="52" t="s">
        <v>30</v>
      </c>
      <c r="E31" s="53">
        <v>44713</v>
      </c>
      <c r="F31" s="40">
        <v>15026.093999999999</v>
      </c>
      <c r="G31" s="52" t="s">
        <v>158</v>
      </c>
      <c r="H31" s="54">
        <v>0.7944</v>
      </c>
      <c r="I31" s="54">
        <f t="shared" si="5"/>
        <v>11936.7290736</v>
      </c>
      <c r="J31" s="54">
        <v>0.15</v>
      </c>
      <c r="K31" s="54">
        <f>I31*J31</f>
        <v>1790.5093610399999</v>
      </c>
      <c r="L31" s="100">
        <f t="shared" si="3"/>
        <v>13727.238434639999</v>
      </c>
    </row>
    <row r="32" spans="1:13" ht="16.5" thickBot="1" x14ac:dyDescent="0.3">
      <c r="A32" s="198"/>
      <c r="B32" s="199"/>
      <c r="C32" s="101" t="s">
        <v>27</v>
      </c>
      <c r="D32" s="44" t="s">
        <v>30</v>
      </c>
      <c r="E32" s="56">
        <v>44713</v>
      </c>
      <c r="F32" s="40">
        <v>13021.790999999999</v>
      </c>
      <c r="G32" s="44" t="s">
        <v>158</v>
      </c>
      <c r="H32" s="42">
        <v>0.65890000000000004</v>
      </c>
      <c r="I32" s="42">
        <f t="shared" si="5"/>
        <v>8580.0580898999997</v>
      </c>
      <c r="J32" s="42">
        <v>0.15</v>
      </c>
      <c r="K32" s="42">
        <f t="shared" si="0"/>
        <v>1287.0087134849998</v>
      </c>
      <c r="L32" s="61">
        <f t="shared" si="3"/>
        <v>9867.0668033849997</v>
      </c>
    </row>
    <row r="33" spans="1:12" ht="16.5" thickBot="1" x14ac:dyDescent="0.3">
      <c r="A33" s="198"/>
      <c r="B33" s="199"/>
      <c r="C33" s="102" t="s">
        <v>25</v>
      </c>
      <c r="D33" s="44" t="s">
        <v>30</v>
      </c>
      <c r="E33" s="56">
        <v>44713</v>
      </c>
      <c r="F33" s="76">
        <v>48239.9</v>
      </c>
      <c r="G33" s="44" t="s">
        <v>158</v>
      </c>
      <c r="H33" s="42">
        <v>0.60660000000000003</v>
      </c>
      <c r="I33" s="42">
        <f t="shared" si="5"/>
        <v>29262.323340000003</v>
      </c>
      <c r="J33" s="42">
        <v>0.15</v>
      </c>
      <c r="K33" s="42">
        <f t="shared" si="0"/>
        <v>4389.3485010000004</v>
      </c>
      <c r="L33" s="61">
        <f t="shared" si="3"/>
        <v>33651.671841000003</v>
      </c>
    </row>
    <row r="34" spans="1:12" ht="16.5" thickBot="1" x14ac:dyDescent="0.3">
      <c r="A34" s="198"/>
      <c r="B34" s="199"/>
      <c r="C34" s="102" t="s">
        <v>23</v>
      </c>
      <c r="D34" s="44" t="s">
        <v>30</v>
      </c>
      <c r="E34" s="56">
        <v>44713</v>
      </c>
      <c r="F34" s="76">
        <v>21763.202999999899</v>
      </c>
      <c r="G34" s="44" t="s">
        <v>158</v>
      </c>
      <c r="H34" s="42">
        <v>0.67410000000000003</v>
      </c>
      <c r="I34" s="42">
        <f t="shared" si="5"/>
        <v>14670.575142299933</v>
      </c>
      <c r="J34" s="42">
        <v>0.15</v>
      </c>
      <c r="K34" s="42">
        <f t="shared" si="0"/>
        <v>2200.5862713449897</v>
      </c>
      <c r="L34" s="61">
        <f t="shared" si="3"/>
        <v>16871.161413644921</v>
      </c>
    </row>
    <row r="35" spans="1:12" ht="16.5" thickBot="1" x14ac:dyDescent="0.3">
      <c r="A35" s="198"/>
      <c r="B35" s="199"/>
      <c r="C35" s="103" t="s">
        <v>24</v>
      </c>
      <c r="D35" s="72" t="s">
        <v>30</v>
      </c>
      <c r="E35" s="70">
        <v>44713</v>
      </c>
      <c r="F35" s="72">
        <v>39237.9</v>
      </c>
      <c r="G35" s="72" t="s">
        <v>158</v>
      </c>
      <c r="H35" s="72">
        <v>0.61480000000000001</v>
      </c>
      <c r="I35" s="72">
        <f t="shared" si="5"/>
        <v>24123.460920000001</v>
      </c>
      <c r="J35" s="72">
        <v>0.15</v>
      </c>
      <c r="K35" s="72">
        <f t="shared" si="0"/>
        <v>3618.5191380000001</v>
      </c>
      <c r="L35" s="93">
        <f t="shared" si="3"/>
        <v>27741.980058000001</v>
      </c>
    </row>
    <row r="36" spans="1:12" x14ac:dyDescent="0.25">
      <c r="A36" s="202">
        <v>44743</v>
      </c>
      <c r="B36" s="203"/>
      <c r="C36" s="54" t="s">
        <v>26</v>
      </c>
      <c r="D36" s="52" t="s">
        <v>30</v>
      </c>
      <c r="E36" s="53">
        <v>44743</v>
      </c>
      <c r="F36" s="104">
        <v>15238.202999999899</v>
      </c>
      <c r="G36" s="52" t="s">
        <v>158</v>
      </c>
      <c r="H36" s="54">
        <v>0.7944</v>
      </c>
      <c r="I36" s="54">
        <f t="shared" si="5"/>
        <v>12105.228463199921</v>
      </c>
      <c r="J36" s="54">
        <v>0.15</v>
      </c>
      <c r="K36" s="54">
        <f>I36*J36</f>
        <v>1815.7842694799881</v>
      </c>
      <c r="L36" s="55">
        <f t="shared" si="3"/>
        <v>13921.012732679908</v>
      </c>
    </row>
    <row r="37" spans="1:12" x14ac:dyDescent="0.25">
      <c r="A37" s="204"/>
      <c r="B37" s="205"/>
      <c r="C37" s="42" t="s">
        <v>27</v>
      </c>
      <c r="D37" s="44" t="s">
        <v>30</v>
      </c>
      <c r="E37" s="56">
        <v>44743</v>
      </c>
      <c r="F37" s="43">
        <v>26510.879999999997</v>
      </c>
      <c r="G37" s="44" t="s">
        <v>158</v>
      </c>
      <c r="H37" s="42">
        <v>0.65890000000000004</v>
      </c>
      <c r="I37" s="42">
        <f t="shared" si="5"/>
        <v>17468.018831999998</v>
      </c>
      <c r="J37" s="42">
        <v>0.15</v>
      </c>
      <c r="K37" s="42">
        <f t="shared" ref="K37:K60" si="6">I37*J37</f>
        <v>2620.2028247999997</v>
      </c>
      <c r="L37" s="57">
        <f t="shared" si="3"/>
        <v>20088.221656799997</v>
      </c>
    </row>
    <row r="38" spans="1:12" x14ac:dyDescent="0.25">
      <c r="A38" s="204"/>
      <c r="B38" s="205"/>
      <c r="C38" s="44" t="s">
        <v>25</v>
      </c>
      <c r="D38" s="44" t="s">
        <v>30</v>
      </c>
      <c r="E38" s="56">
        <v>44743</v>
      </c>
      <c r="F38" s="105">
        <v>44538.000000000029</v>
      </c>
      <c r="G38" s="44" t="s">
        <v>158</v>
      </c>
      <c r="H38" s="42">
        <v>0.60660000000000003</v>
      </c>
      <c r="I38" s="42">
        <f t="shared" si="5"/>
        <v>27016.75080000002</v>
      </c>
      <c r="J38" s="42">
        <v>0.15</v>
      </c>
      <c r="K38" s="42">
        <f t="shared" si="6"/>
        <v>4052.5126200000027</v>
      </c>
      <c r="L38" s="57">
        <f t="shared" si="3"/>
        <v>31069.263420000021</v>
      </c>
    </row>
    <row r="39" spans="1:12" x14ac:dyDescent="0.25">
      <c r="A39" s="204"/>
      <c r="B39" s="205"/>
      <c r="C39" s="44" t="s">
        <v>23</v>
      </c>
      <c r="D39" s="44" t="s">
        <v>30</v>
      </c>
      <c r="E39" s="56">
        <v>44743</v>
      </c>
      <c r="F39" s="105">
        <v>20957.108999999997</v>
      </c>
      <c r="G39" s="44" t="s">
        <v>158</v>
      </c>
      <c r="H39" s="42">
        <v>0.67410000000000003</v>
      </c>
      <c r="I39" s="42">
        <f t="shared" si="5"/>
        <v>14127.187176899999</v>
      </c>
      <c r="J39" s="42">
        <v>0.15</v>
      </c>
      <c r="K39" s="42">
        <f t="shared" si="6"/>
        <v>2119.0780765349996</v>
      </c>
      <c r="L39" s="57">
        <f t="shared" si="3"/>
        <v>16246.265253434998</v>
      </c>
    </row>
    <row r="40" spans="1:12" ht="16.5" thickBot="1" x14ac:dyDescent="0.3">
      <c r="A40" s="208"/>
      <c r="B40" s="209"/>
      <c r="C40" s="60" t="s">
        <v>24</v>
      </c>
      <c r="D40" s="60" t="s">
        <v>30</v>
      </c>
      <c r="E40" s="59">
        <v>44743</v>
      </c>
      <c r="F40" s="106">
        <v>42440.399999999965</v>
      </c>
      <c r="G40" s="60" t="s">
        <v>158</v>
      </c>
      <c r="H40" s="60">
        <v>0.61480000000000001</v>
      </c>
      <c r="I40" s="60">
        <f t="shared" si="5"/>
        <v>26092.35791999998</v>
      </c>
      <c r="J40" s="60">
        <v>0.15</v>
      </c>
      <c r="K40" s="60">
        <f t="shared" si="6"/>
        <v>3913.853687999997</v>
      </c>
      <c r="L40" s="61">
        <f t="shared" si="3"/>
        <v>30006.211607999976</v>
      </c>
    </row>
    <row r="41" spans="1:12" ht="16.5" thickBot="1" x14ac:dyDescent="0.3">
      <c r="A41" s="215">
        <v>44774</v>
      </c>
      <c r="B41" s="216"/>
      <c r="C41" s="107" t="s">
        <v>26</v>
      </c>
      <c r="D41" s="86" t="s">
        <v>30</v>
      </c>
      <c r="E41" s="56">
        <v>44774</v>
      </c>
      <c r="F41" s="41">
        <v>22528.203000000009</v>
      </c>
      <c r="G41" s="86" t="s">
        <v>158</v>
      </c>
      <c r="H41" s="40">
        <v>0.7944</v>
      </c>
      <c r="I41" s="40">
        <f t="shared" si="5"/>
        <v>17896.404463200008</v>
      </c>
      <c r="J41" s="40">
        <v>0.15</v>
      </c>
      <c r="K41" s="40">
        <f>I41*J41</f>
        <v>2684.4606694800009</v>
      </c>
      <c r="L41" s="108">
        <f t="shared" si="3"/>
        <v>20580.86513268001</v>
      </c>
    </row>
    <row r="42" spans="1:12" ht="16.5" thickBot="1" x14ac:dyDescent="0.3">
      <c r="A42" s="204"/>
      <c r="B42" s="205"/>
      <c r="C42" s="101" t="s">
        <v>27</v>
      </c>
      <c r="D42" s="44" t="s">
        <v>30</v>
      </c>
      <c r="E42" s="56">
        <v>44774</v>
      </c>
      <c r="F42" s="41">
        <v>31390.296999999999</v>
      </c>
      <c r="G42" s="44" t="s">
        <v>158</v>
      </c>
      <c r="H42" s="42">
        <v>0.65890000000000004</v>
      </c>
      <c r="I42" s="42">
        <f t="shared" si="5"/>
        <v>20683.066693299999</v>
      </c>
      <c r="J42" s="42">
        <v>0.15</v>
      </c>
      <c r="K42" s="42">
        <f>I42*J42</f>
        <v>3102.4600039949996</v>
      </c>
      <c r="L42" s="61">
        <f t="shared" si="3"/>
        <v>23785.526697294998</v>
      </c>
    </row>
    <row r="43" spans="1:12" x14ac:dyDescent="0.25">
      <c r="A43" s="204"/>
      <c r="B43" s="205"/>
      <c r="C43" s="44" t="s">
        <v>25</v>
      </c>
      <c r="D43" s="44" t="s">
        <v>30</v>
      </c>
      <c r="E43" s="56">
        <v>44774</v>
      </c>
      <c r="F43" s="105">
        <v>57792.900000000023</v>
      </c>
      <c r="G43" s="44" t="s">
        <v>158</v>
      </c>
      <c r="H43" s="42">
        <v>0.60660000000000003</v>
      </c>
      <c r="I43" s="42">
        <f t="shared" si="5"/>
        <v>35057.173140000014</v>
      </c>
      <c r="J43" s="42">
        <v>0.15</v>
      </c>
      <c r="K43" s="42">
        <f t="shared" si="6"/>
        <v>5258.575971000002</v>
      </c>
      <c r="L43" s="57">
        <f t="shared" si="3"/>
        <v>40315.749111000012</v>
      </c>
    </row>
    <row r="44" spans="1:12" x14ac:dyDescent="0.25">
      <c r="A44" s="204"/>
      <c r="B44" s="205"/>
      <c r="C44" s="44" t="s">
        <v>23</v>
      </c>
      <c r="D44" s="44" t="s">
        <v>30</v>
      </c>
      <c r="E44" s="56">
        <v>44774</v>
      </c>
      <c r="F44" s="105">
        <v>29575.187999999995</v>
      </c>
      <c r="G44" s="44" t="s">
        <v>158</v>
      </c>
      <c r="H44" s="42">
        <v>0.67410000000000003</v>
      </c>
      <c r="I44" s="42">
        <f t="shared" si="5"/>
        <v>19936.634230799998</v>
      </c>
      <c r="J44" s="42">
        <v>0.15</v>
      </c>
      <c r="K44" s="42">
        <f t="shared" si="6"/>
        <v>2990.4951346199996</v>
      </c>
      <c r="L44" s="57">
        <f t="shared" si="3"/>
        <v>22927.129365419998</v>
      </c>
    </row>
    <row r="45" spans="1:12" ht="16.5" thickBot="1" x14ac:dyDescent="0.3">
      <c r="A45" s="208"/>
      <c r="B45" s="209"/>
      <c r="C45" s="60" t="s">
        <v>24</v>
      </c>
      <c r="D45" s="60" t="s">
        <v>30</v>
      </c>
      <c r="E45" s="59">
        <v>44774</v>
      </c>
      <c r="F45" s="106">
        <v>60653.200000000099</v>
      </c>
      <c r="G45" s="60" t="s">
        <v>158</v>
      </c>
      <c r="H45" s="60">
        <v>0.61480000000000001</v>
      </c>
      <c r="I45" s="60">
        <f t="shared" si="5"/>
        <v>37289.587360000063</v>
      </c>
      <c r="J45" s="60">
        <v>0.15</v>
      </c>
      <c r="K45" s="60">
        <f t="shared" si="6"/>
        <v>5593.4381040000089</v>
      </c>
      <c r="L45" s="61">
        <f>I45+K45</f>
        <v>42883.025464000071</v>
      </c>
    </row>
    <row r="46" spans="1:12" ht="16.5" thickBot="1" x14ac:dyDescent="0.3">
      <c r="A46" s="202">
        <v>44805</v>
      </c>
      <c r="B46" s="203"/>
      <c r="C46" s="99" t="s">
        <v>26</v>
      </c>
      <c r="D46" s="52" t="s">
        <v>30</v>
      </c>
      <c r="E46" s="56">
        <v>44805</v>
      </c>
      <c r="F46" s="40"/>
      <c r="G46" s="52" t="s">
        <v>158</v>
      </c>
      <c r="H46" s="54">
        <v>0.7944</v>
      </c>
      <c r="I46" s="54">
        <f t="shared" si="5"/>
        <v>0</v>
      </c>
      <c r="J46" s="54">
        <v>0.15</v>
      </c>
      <c r="K46" s="54">
        <f>I46*J46</f>
        <v>0</v>
      </c>
      <c r="L46" s="100">
        <f t="shared" si="3"/>
        <v>0</v>
      </c>
    </row>
    <row r="47" spans="1:12" ht="16.5" thickBot="1" x14ac:dyDescent="0.3">
      <c r="A47" s="204"/>
      <c r="B47" s="205"/>
      <c r="C47" s="101" t="s">
        <v>27</v>
      </c>
      <c r="D47" s="44" t="s">
        <v>30</v>
      </c>
      <c r="E47" s="56">
        <v>44805</v>
      </c>
      <c r="F47" s="40"/>
      <c r="G47" s="44" t="s">
        <v>158</v>
      </c>
      <c r="H47" s="42">
        <v>0.65890000000000004</v>
      </c>
      <c r="I47" s="42">
        <f t="shared" si="5"/>
        <v>0</v>
      </c>
      <c r="J47" s="42">
        <v>0.15</v>
      </c>
      <c r="K47" s="42">
        <f>I47*J47</f>
        <v>0</v>
      </c>
      <c r="L47" s="61">
        <f t="shared" si="3"/>
        <v>0</v>
      </c>
    </row>
    <row r="48" spans="1:12" x14ac:dyDescent="0.25">
      <c r="A48" s="204"/>
      <c r="B48" s="205"/>
      <c r="C48" s="44" t="s">
        <v>25</v>
      </c>
      <c r="D48" s="44" t="s">
        <v>30</v>
      </c>
      <c r="E48" s="56">
        <v>44805</v>
      </c>
      <c r="F48" s="76"/>
      <c r="G48" s="44" t="s">
        <v>158</v>
      </c>
      <c r="H48" s="42">
        <v>0.60660000000000003</v>
      </c>
      <c r="I48" s="42">
        <f t="shared" si="5"/>
        <v>0</v>
      </c>
      <c r="J48" s="42">
        <v>0.15</v>
      </c>
      <c r="K48" s="42">
        <f t="shared" si="6"/>
        <v>0</v>
      </c>
      <c r="L48" s="57">
        <f t="shared" si="3"/>
        <v>0</v>
      </c>
    </row>
    <row r="49" spans="1:12" x14ac:dyDescent="0.25">
      <c r="A49" s="204"/>
      <c r="B49" s="205"/>
      <c r="C49" s="44" t="s">
        <v>23</v>
      </c>
      <c r="D49" s="44" t="s">
        <v>30</v>
      </c>
      <c r="E49" s="56">
        <v>44805</v>
      </c>
      <c r="F49" s="76"/>
      <c r="G49" s="44" t="s">
        <v>158</v>
      </c>
      <c r="H49" s="42">
        <v>0.67410000000000003</v>
      </c>
      <c r="I49" s="42">
        <f t="shared" si="5"/>
        <v>0</v>
      </c>
      <c r="J49" s="42">
        <v>0.15</v>
      </c>
      <c r="K49" s="42">
        <f t="shared" si="6"/>
        <v>0</v>
      </c>
      <c r="L49" s="57">
        <f t="shared" si="3"/>
        <v>0</v>
      </c>
    </row>
    <row r="50" spans="1:12" ht="16.5" thickBot="1" x14ac:dyDescent="0.3">
      <c r="A50" s="208"/>
      <c r="B50" s="209"/>
      <c r="C50" s="60" t="s">
        <v>24</v>
      </c>
      <c r="D50" s="60" t="s">
        <v>30</v>
      </c>
      <c r="E50" s="59">
        <v>44805</v>
      </c>
      <c r="F50" s="60"/>
      <c r="G50" s="60" t="s">
        <v>158</v>
      </c>
      <c r="H50" s="60">
        <v>0.61480000000000001</v>
      </c>
      <c r="I50" s="60">
        <f t="shared" si="5"/>
        <v>0</v>
      </c>
      <c r="J50" s="60">
        <v>0.15</v>
      </c>
      <c r="K50" s="60">
        <f t="shared" si="6"/>
        <v>0</v>
      </c>
      <c r="L50" s="61">
        <f t="shared" si="3"/>
        <v>0</v>
      </c>
    </row>
    <row r="51" spans="1:12" ht="16.5" thickBot="1" x14ac:dyDescent="0.3">
      <c r="A51" s="215">
        <v>44835</v>
      </c>
      <c r="B51" s="216"/>
      <c r="C51" s="99" t="s">
        <v>26</v>
      </c>
      <c r="D51" s="52" t="s">
        <v>30</v>
      </c>
      <c r="E51" s="56">
        <v>44835</v>
      </c>
      <c r="F51" s="40"/>
      <c r="G51" s="52" t="s">
        <v>158</v>
      </c>
      <c r="H51" s="54">
        <v>0.7944</v>
      </c>
      <c r="I51" s="54">
        <f t="shared" si="5"/>
        <v>0</v>
      </c>
      <c r="J51" s="54">
        <v>0.15</v>
      </c>
      <c r="K51" s="54">
        <f>I51*J51</f>
        <v>0</v>
      </c>
      <c r="L51" s="100">
        <f t="shared" si="3"/>
        <v>0</v>
      </c>
    </row>
    <row r="52" spans="1:12" ht="16.5" thickBot="1" x14ac:dyDescent="0.3">
      <c r="A52" s="204"/>
      <c r="B52" s="205"/>
      <c r="C52" s="101" t="s">
        <v>27</v>
      </c>
      <c r="D52" s="44" t="s">
        <v>30</v>
      </c>
      <c r="E52" s="56">
        <v>44835</v>
      </c>
      <c r="F52" s="40"/>
      <c r="G52" s="44" t="s">
        <v>158</v>
      </c>
      <c r="H52" s="42">
        <v>0.65890000000000004</v>
      </c>
      <c r="I52" s="42">
        <f t="shared" si="5"/>
        <v>0</v>
      </c>
      <c r="J52" s="42">
        <v>0.15</v>
      </c>
      <c r="K52" s="42">
        <f>I52*J52</f>
        <v>0</v>
      </c>
      <c r="L52" s="61">
        <f t="shared" si="3"/>
        <v>0</v>
      </c>
    </row>
    <row r="53" spans="1:12" x14ac:dyDescent="0.25">
      <c r="A53" s="204"/>
      <c r="B53" s="205"/>
      <c r="C53" s="44" t="s">
        <v>25</v>
      </c>
      <c r="D53" s="44" t="s">
        <v>30</v>
      </c>
      <c r="E53" s="56">
        <v>44835</v>
      </c>
      <c r="F53" s="76"/>
      <c r="G53" s="44" t="s">
        <v>158</v>
      </c>
      <c r="H53" s="42">
        <v>0.60660000000000003</v>
      </c>
      <c r="I53" s="42">
        <f t="shared" si="5"/>
        <v>0</v>
      </c>
      <c r="J53" s="42">
        <v>0.15</v>
      </c>
      <c r="K53" s="42">
        <f t="shared" si="6"/>
        <v>0</v>
      </c>
      <c r="L53" s="57">
        <f t="shared" si="3"/>
        <v>0</v>
      </c>
    </row>
    <row r="54" spans="1:12" x14ac:dyDescent="0.25">
      <c r="A54" s="204"/>
      <c r="B54" s="205"/>
      <c r="C54" s="44" t="s">
        <v>23</v>
      </c>
      <c r="D54" s="44" t="s">
        <v>30</v>
      </c>
      <c r="E54" s="56">
        <v>44835</v>
      </c>
      <c r="F54" s="76"/>
      <c r="G54" s="44" t="s">
        <v>158</v>
      </c>
      <c r="H54" s="42">
        <v>0.67410000000000003</v>
      </c>
      <c r="I54" s="42">
        <f t="shared" si="5"/>
        <v>0</v>
      </c>
      <c r="J54" s="42">
        <v>0.15</v>
      </c>
      <c r="K54" s="42">
        <f t="shared" si="6"/>
        <v>0</v>
      </c>
      <c r="L54" s="57">
        <f t="shared" si="3"/>
        <v>0</v>
      </c>
    </row>
    <row r="55" spans="1:12" ht="16.5" thickBot="1" x14ac:dyDescent="0.3">
      <c r="A55" s="208"/>
      <c r="B55" s="209"/>
      <c r="C55" s="60" t="s">
        <v>24</v>
      </c>
      <c r="D55" s="60" t="s">
        <v>30</v>
      </c>
      <c r="E55" s="59">
        <v>44835</v>
      </c>
      <c r="F55" s="60"/>
      <c r="G55" s="60" t="s">
        <v>158</v>
      </c>
      <c r="H55" s="60">
        <v>0.61480000000000001</v>
      </c>
      <c r="I55" s="60">
        <f t="shared" si="5"/>
        <v>0</v>
      </c>
      <c r="J55" s="60">
        <v>0.15</v>
      </c>
      <c r="K55" s="60">
        <f t="shared" si="6"/>
        <v>0</v>
      </c>
      <c r="L55" s="61">
        <f t="shared" si="3"/>
        <v>0</v>
      </c>
    </row>
    <row r="56" spans="1:12" ht="16.5" thickBot="1" x14ac:dyDescent="0.3">
      <c r="A56" s="215">
        <v>44866</v>
      </c>
      <c r="B56" s="216"/>
      <c r="C56" s="99" t="s">
        <v>26</v>
      </c>
      <c r="D56" s="52" t="s">
        <v>30</v>
      </c>
      <c r="E56" s="59">
        <v>44866</v>
      </c>
      <c r="F56" s="40"/>
      <c r="G56" s="52" t="s">
        <v>158</v>
      </c>
      <c r="H56" s="54">
        <v>0.7944</v>
      </c>
      <c r="I56" s="54">
        <f t="shared" si="5"/>
        <v>0</v>
      </c>
      <c r="J56" s="54">
        <v>0.15</v>
      </c>
      <c r="K56" s="54">
        <f>I56*J56</f>
        <v>0</v>
      </c>
      <c r="L56" s="100">
        <f t="shared" si="3"/>
        <v>0</v>
      </c>
    </row>
    <row r="57" spans="1:12" ht="16.5" thickBot="1" x14ac:dyDescent="0.3">
      <c r="A57" s="204"/>
      <c r="B57" s="205"/>
      <c r="C57" s="101" t="s">
        <v>27</v>
      </c>
      <c r="D57" s="44" t="s">
        <v>30</v>
      </c>
      <c r="E57" s="56">
        <v>44866</v>
      </c>
      <c r="F57" s="40"/>
      <c r="G57" s="44" t="s">
        <v>158</v>
      </c>
      <c r="H57" s="42">
        <v>0.65890000000000004</v>
      </c>
      <c r="I57" s="42">
        <f t="shared" si="5"/>
        <v>0</v>
      </c>
      <c r="J57" s="42">
        <v>0.15</v>
      </c>
      <c r="K57" s="42">
        <f>I57*J57</f>
        <v>0</v>
      </c>
      <c r="L57" s="61">
        <f t="shared" si="3"/>
        <v>0</v>
      </c>
    </row>
    <row r="58" spans="1:12" ht="16.5" thickBot="1" x14ac:dyDescent="0.3">
      <c r="A58" s="204"/>
      <c r="B58" s="205"/>
      <c r="C58" s="44" t="s">
        <v>25</v>
      </c>
      <c r="D58" s="44" t="s">
        <v>30</v>
      </c>
      <c r="E58" s="59">
        <v>44866</v>
      </c>
      <c r="F58" s="76"/>
      <c r="G58" s="44" t="s">
        <v>158</v>
      </c>
      <c r="H58" s="42">
        <v>0.60660000000000003</v>
      </c>
      <c r="I58" s="42">
        <f t="shared" si="5"/>
        <v>0</v>
      </c>
      <c r="J58" s="42">
        <v>0.15</v>
      </c>
      <c r="K58" s="42">
        <f t="shared" si="6"/>
        <v>0</v>
      </c>
      <c r="L58" s="57">
        <f t="shared" si="3"/>
        <v>0</v>
      </c>
    </row>
    <row r="59" spans="1:12" x14ac:dyDescent="0.25">
      <c r="A59" s="204"/>
      <c r="B59" s="205"/>
      <c r="C59" s="44" t="s">
        <v>23</v>
      </c>
      <c r="D59" s="44" t="s">
        <v>30</v>
      </c>
      <c r="E59" s="56">
        <v>44866</v>
      </c>
      <c r="F59" s="76"/>
      <c r="G59" s="44" t="s">
        <v>158</v>
      </c>
      <c r="H59" s="42">
        <v>0.67410000000000003</v>
      </c>
      <c r="I59" s="42">
        <f t="shared" si="5"/>
        <v>0</v>
      </c>
      <c r="J59" s="42">
        <v>0.15</v>
      </c>
      <c r="K59" s="42">
        <f t="shared" si="6"/>
        <v>0</v>
      </c>
      <c r="L59" s="57">
        <f t="shared" si="3"/>
        <v>0</v>
      </c>
    </row>
    <row r="60" spans="1:12" ht="16.5" thickBot="1" x14ac:dyDescent="0.3">
      <c r="A60" s="208"/>
      <c r="B60" s="209"/>
      <c r="C60" s="60" t="s">
        <v>24</v>
      </c>
      <c r="D60" s="60" t="s">
        <v>30</v>
      </c>
      <c r="E60" s="59">
        <v>44866</v>
      </c>
      <c r="F60" s="60"/>
      <c r="G60" s="60" t="s">
        <v>158</v>
      </c>
      <c r="H60" s="60">
        <v>0.61480000000000001</v>
      </c>
      <c r="I60" s="60">
        <f t="shared" si="5"/>
        <v>0</v>
      </c>
      <c r="J60" s="60">
        <v>0.15</v>
      </c>
      <c r="K60" s="60">
        <f t="shared" si="6"/>
        <v>0</v>
      </c>
      <c r="L60" s="61">
        <f t="shared" si="3"/>
        <v>0</v>
      </c>
    </row>
    <row r="61" spans="1:12" ht="16.5" thickBot="1" x14ac:dyDescent="0.3">
      <c r="A61" s="215">
        <v>44896</v>
      </c>
      <c r="B61" s="216"/>
      <c r="C61" s="99" t="s">
        <v>26</v>
      </c>
      <c r="D61" s="52" t="s">
        <v>30</v>
      </c>
      <c r="E61" s="59">
        <v>44896</v>
      </c>
      <c r="F61" s="40"/>
      <c r="G61" s="52" t="s">
        <v>158</v>
      </c>
      <c r="H61" s="54">
        <v>0.7944</v>
      </c>
      <c r="I61" s="54">
        <f t="shared" si="5"/>
        <v>0</v>
      </c>
      <c r="J61" s="54">
        <v>0.15</v>
      </c>
      <c r="K61" s="54">
        <f>I61*J61</f>
        <v>0</v>
      </c>
      <c r="L61" s="100">
        <f t="shared" si="3"/>
        <v>0</v>
      </c>
    </row>
    <row r="62" spans="1:12" ht="16.5" thickBot="1" x14ac:dyDescent="0.3">
      <c r="A62" s="204"/>
      <c r="B62" s="205"/>
      <c r="C62" s="101" t="s">
        <v>27</v>
      </c>
      <c r="D62" s="44" t="s">
        <v>30</v>
      </c>
      <c r="E62" s="56">
        <v>44896</v>
      </c>
      <c r="F62" s="40"/>
      <c r="G62" s="44" t="s">
        <v>158</v>
      </c>
      <c r="H62" s="42">
        <v>0.65890000000000004</v>
      </c>
      <c r="I62" s="42">
        <f t="shared" si="5"/>
        <v>0</v>
      </c>
      <c r="J62" s="42">
        <v>0.15</v>
      </c>
      <c r="K62" s="42">
        <f t="shared" ref="K62:K70" si="7">I62*J62</f>
        <v>0</v>
      </c>
      <c r="L62" s="61">
        <f t="shared" si="3"/>
        <v>0</v>
      </c>
    </row>
    <row r="63" spans="1:12" ht="16.5" thickBot="1" x14ac:dyDescent="0.3">
      <c r="A63" s="204"/>
      <c r="B63" s="205"/>
      <c r="C63" s="44" t="s">
        <v>25</v>
      </c>
      <c r="D63" s="44" t="s">
        <v>30</v>
      </c>
      <c r="E63" s="59">
        <v>44896</v>
      </c>
      <c r="F63" s="76"/>
      <c r="G63" s="44" t="s">
        <v>158</v>
      </c>
      <c r="H63" s="42">
        <v>0.60660000000000003</v>
      </c>
      <c r="I63" s="42">
        <f t="shared" si="5"/>
        <v>0</v>
      </c>
      <c r="J63" s="42">
        <v>0.15</v>
      </c>
      <c r="K63" s="42">
        <f t="shared" si="7"/>
        <v>0</v>
      </c>
      <c r="L63" s="57">
        <f t="shared" si="3"/>
        <v>0</v>
      </c>
    </row>
    <row r="64" spans="1:12" x14ac:dyDescent="0.25">
      <c r="A64" s="204"/>
      <c r="B64" s="205"/>
      <c r="C64" s="44" t="s">
        <v>23</v>
      </c>
      <c r="D64" s="44" t="s">
        <v>30</v>
      </c>
      <c r="E64" s="56">
        <v>44896</v>
      </c>
      <c r="F64" s="76"/>
      <c r="G64" s="44" t="s">
        <v>158</v>
      </c>
      <c r="H64" s="42">
        <v>0.67410000000000003</v>
      </c>
      <c r="I64" s="42">
        <f t="shared" si="5"/>
        <v>0</v>
      </c>
      <c r="J64" s="42">
        <v>0.15</v>
      </c>
      <c r="K64" s="42">
        <f t="shared" si="7"/>
        <v>0</v>
      </c>
      <c r="L64" s="57">
        <f t="shared" si="3"/>
        <v>0</v>
      </c>
    </row>
    <row r="65" spans="1:12" ht="16.5" thickBot="1" x14ac:dyDescent="0.3">
      <c r="A65" s="208"/>
      <c r="B65" s="209"/>
      <c r="C65" s="60" t="s">
        <v>24</v>
      </c>
      <c r="D65" s="60" t="s">
        <v>30</v>
      </c>
      <c r="E65" s="59">
        <v>44896</v>
      </c>
      <c r="F65" s="60"/>
      <c r="G65" s="60" t="s">
        <v>158</v>
      </c>
      <c r="H65" s="60">
        <v>0.61480000000000001</v>
      </c>
      <c r="I65" s="60">
        <f t="shared" si="5"/>
        <v>0</v>
      </c>
      <c r="J65" s="60">
        <v>0.15</v>
      </c>
      <c r="K65" s="60">
        <f t="shared" si="7"/>
        <v>0</v>
      </c>
      <c r="L65" s="61">
        <f t="shared" si="3"/>
        <v>0</v>
      </c>
    </row>
    <row r="66" spans="1:12" ht="16.5" thickBot="1" x14ac:dyDescent="0.3">
      <c r="A66" s="198">
        <v>44927</v>
      </c>
      <c r="B66" s="199"/>
      <c r="C66" s="99" t="s">
        <v>26</v>
      </c>
      <c r="D66" s="52" t="s">
        <v>30</v>
      </c>
      <c r="E66" s="56">
        <v>44927</v>
      </c>
      <c r="F66" s="40"/>
      <c r="G66" s="52" t="s">
        <v>158</v>
      </c>
      <c r="H66" s="54">
        <v>0.7944</v>
      </c>
      <c r="I66" s="54">
        <f t="shared" si="5"/>
        <v>0</v>
      </c>
      <c r="J66" s="54">
        <v>0.15</v>
      </c>
      <c r="K66" s="54">
        <f>I66*J66</f>
        <v>0</v>
      </c>
      <c r="L66" s="100">
        <f t="shared" si="3"/>
        <v>0</v>
      </c>
    </row>
    <row r="67" spans="1:12" ht="16.5" thickBot="1" x14ac:dyDescent="0.3">
      <c r="A67" s="198"/>
      <c r="B67" s="199"/>
      <c r="C67" s="101" t="s">
        <v>27</v>
      </c>
      <c r="D67" s="44" t="s">
        <v>30</v>
      </c>
      <c r="E67" s="56">
        <v>44927</v>
      </c>
      <c r="F67" s="40"/>
      <c r="G67" s="44" t="s">
        <v>158</v>
      </c>
      <c r="H67" s="42">
        <v>0.65890000000000004</v>
      </c>
      <c r="I67" s="42">
        <f t="shared" si="5"/>
        <v>0</v>
      </c>
      <c r="J67" s="42">
        <v>0.15</v>
      </c>
      <c r="K67" s="42">
        <f>I67*J67</f>
        <v>0</v>
      </c>
      <c r="L67" s="61">
        <f t="shared" si="3"/>
        <v>0</v>
      </c>
    </row>
    <row r="68" spans="1:12" x14ac:dyDescent="0.25">
      <c r="A68" s="198"/>
      <c r="B68" s="199"/>
      <c r="C68" s="44" t="s">
        <v>25</v>
      </c>
      <c r="D68" s="44" t="s">
        <v>30</v>
      </c>
      <c r="E68" s="56">
        <v>44927</v>
      </c>
      <c r="F68" s="76"/>
      <c r="G68" s="44" t="s">
        <v>158</v>
      </c>
      <c r="H68" s="42">
        <v>0.60660000000000003</v>
      </c>
      <c r="I68" s="42">
        <f t="shared" si="5"/>
        <v>0</v>
      </c>
      <c r="J68" s="42">
        <v>0.15</v>
      </c>
      <c r="K68" s="42">
        <f t="shared" si="7"/>
        <v>0</v>
      </c>
      <c r="L68" s="57">
        <f t="shared" si="3"/>
        <v>0</v>
      </c>
    </row>
    <row r="69" spans="1:12" x14ac:dyDescent="0.25">
      <c r="A69" s="198"/>
      <c r="B69" s="199"/>
      <c r="C69" s="44" t="s">
        <v>23</v>
      </c>
      <c r="D69" s="44" t="s">
        <v>30</v>
      </c>
      <c r="E69" s="56">
        <v>44927</v>
      </c>
      <c r="F69" s="76"/>
      <c r="G69" s="44" t="s">
        <v>158</v>
      </c>
      <c r="H69" s="42">
        <v>0.67410000000000003</v>
      </c>
      <c r="I69" s="42">
        <f t="shared" si="5"/>
        <v>0</v>
      </c>
      <c r="J69" s="42">
        <v>0.15</v>
      </c>
      <c r="K69" s="42">
        <f t="shared" si="7"/>
        <v>0</v>
      </c>
      <c r="L69" s="57">
        <f t="shared" si="3"/>
        <v>0</v>
      </c>
    </row>
    <row r="70" spans="1:12" ht="16.5" thickBot="1" x14ac:dyDescent="0.3">
      <c r="A70" s="200"/>
      <c r="B70" s="201"/>
      <c r="C70" s="60" t="s">
        <v>24</v>
      </c>
      <c r="D70" s="60" t="s">
        <v>30</v>
      </c>
      <c r="E70" s="59">
        <v>44927</v>
      </c>
      <c r="F70" s="60"/>
      <c r="G70" s="60" t="s">
        <v>158</v>
      </c>
      <c r="H70" s="60">
        <v>0.61480000000000001</v>
      </c>
      <c r="I70" s="60">
        <f t="shared" si="5"/>
        <v>0</v>
      </c>
      <c r="J70" s="60">
        <v>0.15</v>
      </c>
      <c r="K70" s="60">
        <f t="shared" si="7"/>
        <v>0</v>
      </c>
      <c r="L70" s="61">
        <f t="shared" si="3"/>
        <v>0</v>
      </c>
    </row>
  </sheetData>
  <mergeCells count="17">
    <mergeCell ref="A1:B1"/>
    <mergeCell ref="A2:B4"/>
    <mergeCell ref="A5:B7"/>
    <mergeCell ref="A8:B10"/>
    <mergeCell ref="A11:B13"/>
    <mergeCell ref="A66:B70"/>
    <mergeCell ref="A14:B16"/>
    <mergeCell ref="A17:B20"/>
    <mergeCell ref="A21:B25"/>
    <mergeCell ref="A26:B30"/>
    <mergeCell ref="A31:B35"/>
    <mergeCell ref="A36:B40"/>
    <mergeCell ref="A41:B45"/>
    <mergeCell ref="A46:B50"/>
    <mergeCell ref="A51:B55"/>
    <mergeCell ref="A56:B60"/>
    <mergeCell ref="A61:B6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3:A82"/>
  <sheetViews>
    <sheetView topLeftCell="A37" workbookViewId="0">
      <selection activeCell="B34" sqref="B34"/>
    </sheetView>
  </sheetViews>
  <sheetFormatPr defaultRowHeight="15" x14ac:dyDescent="0.25"/>
  <cols>
    <col min="1" max="1" width="13.140625" style="5" bestFit="1" customWidth="1"/>
    <col min="2" max="2" width="55.85546875" bestFit="1" customWidth="1"/>
    <col min="3" max="3" width="43.7109375" bestFit="1" customWidth="1"/>
    <col min="4" max="4" width="28.5703125" bestFit="1" customWidth="1"/>
    <col min="5" max="5" width="9" bestFit="1" customWidth="1"/>
    <col min="6" max="6" width="11.140625" bestFit="1" customWidth="1"/>
    <col min="7" max="7" width="35.42578125" bestFit="1" customWidth="1"/>
    <col min="8" max="9" width="8" bestFit="1" customWidth="1"/>
    <col min="10" max="10" width="3.7109375" bestFit="1" customWidth="1"/>
    <col min="11" max="11" width="11.140625" bestFit="1" customWidth="1"/>
    <col min="12" max="18" width="16.28515625" bestFit="1" customWidth="1"/>
    <col min="19" max="19" width="11.140625" bestFit="1" customWidth="1"/>
  </cols>
  <sheetData>
    <row r="3" spans="1:1" x14ac:dyDescent="0.25">
      <c r="A3" s="3" t="s">
        <v>4</v>
      </c>
    </row>
    <row r="4" spans="1:1" x14ac:dyDescent="0.25">
      <c r="A4" s="4">
        <v>44470</v>
      </c>
    </row>
    <row r="5" spans="1:1" x14ac:dyDescent="0.25">
      <c r="A5" s="4">
        <v>44501</v>
      </c>
    </row>
    <row r="6" spans="1:1" x14ac:dyDescent="0.25">
      <c r="A6" s="4">
        <v>44531</v>
      </c>
    </row>
    <row r="7" spans="1:1" x14ac:dyDescent="0.25">
      <c r="A7" s="4">
        <v>44562</v>
      </c>
    </row>
    <row r="8" spans="1:1" x14ac:dyDescent="0.25">
      <c r="A8" s="4">
        <v>44593</v>
      </c>
    </row>
    <row r="9" spans="1:1" x14ac:dyDescent="0.25">
      <c r="A9" s="4">
        <v>44621</v>
      </c>
    </row>
    <row r="10" spans="1:1" x14ac:dyDescent="0.25">
      <c r="A10" s="4">
        <v>44652</v>
      </c>
    </row>
    <row r="11" spans="1:1" x14ac:dyDescent="0.25">
      <c r="A11" s="4" t="s">
        <v>1</v>
      </c>
    </row>
    <row r="12" spans="1:1" x14ac:dyDescent="0.25">
      <c r="A12"/>
    </row>
    <row r="13" spans="1:1" x14ac:dyDescent="0.25">
      <c r="A13"/>
    </row>
    <row r="19" spans="1:1" x14ac:dyDescent="0.25">
      <c r="A19" s="3" t="s">
        <v>4</v>
      </c>
    </row>
    <row r="20" spans="1:1" x14ac:dyDescent="0.25">
      <c r="A20" s="12">
        <v>44470</v>
      </c>
    </row>
    <row r="21" spans="1:1" x14ac:dyDescent="0.25">
      <c r="A21" s="12">
        <v>44501</v>
      </c>
    </row>
    <row r="22" spans="1:1" x14ac:dyDescent="0.25">
      <c r="A22" s="12">
        <v>44531</v>
      </c>
    </row>
    <row r="23" spans="1:1" x14ac:dyDescent="0.25">
      <c r="A23" s="12">
        <v>44562</v>
      </c>
    </row>
    <row r="24" spans="1:1" x14ac:dyDescent="0.25">
      <c r="A24" s="12">
        <v>44593</v>
      </c>
    </row>
    <row r="25" spans="1:1" x14ac:dyDescent="0.25">
      <c r="A25" s="12">
        <v>44621</v>
      </c>
    </row>
    <row r="26" spans="1:1" x14ac:dyDescent="0.25">
      <c r="A26" s="12">
        <v>44652</v>
      </c>
    </row>
    <row r="27" spans="1:1" x14ac:dyDescent="0.25">
      <c r="A27" s="4" t="s">
        <v>1</v>
      </c>
    </row>
    <row r="28" spans="1:1" x14ac:dyDescent="0.25">
      <c r="A28"/>
    </row>
    <row r="29" spans="1:1" x14ac:dyDescent="0.25">
      <c r="A29"/>
    </row>
    <row r="34" spans="1:1" x14ac:dyDescent="0.25">
      <c r="A34" s="3" t="s">
        <v>4</v>
      </c>
    </row>
    <row r="35" spans="1:1" x14ac:dyDescent="0.25">
      <c r="A35" s="4">
        <v>44501</v>
      </c>
    </row>
    <row r="36" spans="1:1" x14ac:dyDescent="0.25">
      <c r="A36" s="4">
        <v>44531</v>
      </c>
    </row>
    <row r="37" spans="1:1" x14ac:dyDescent="0.25">
      <c r="A37" s="4">
        <v>44562</v>
      </c>
    </row>
    <row r="38" spans="1:1" x14ac:dyDescent="0.25">
      <c r="A38" s="4">
        <v>44593</v>
      </c>
    </row>
    <row r="39" spans="1:1" x14ac:dyDescent="0.25">
      <c r="A39" s="4">
        <v>44621</v>
      </c>
    </row>
    <row r="40" spans="1:1" x14ac:dyDescent="0.25">
      <c r="A40" s="4">
        <v>44652</v>
      </c>
    </row>
    <row r="41" spans="1:1" x14ac:dyDescent="0.25">
      <c r="A41" s="4" t="s">
        <v>1</v>
      </c>
    </row>
    <row r="42" spans="1:1" x14ac:dyDescent="0.25">
      <c r="A42"/>
    </row>
    <row r="43" spans="1:1" x14ac:dyDescent="0.25">
      <c r="A43"/>
    </row>
    <row r="45" spans="1:1" x14ac:dyDescent="0.25">
      <c r="A45"/>
    </row>
    <row r="47" spans="1:1" x14ac:dyDescent="0.25">
      <c r="A47" s="3" t="s">
        <v>4</v>
      </c>
    </row>
    <row r="48" spans="1:1" x14ac:dyDescent="0.25">
      <c r="A48" s="4">
        <v>44621</v>
      </c>
    </row>
    <row r="49" spans="1:1" x14ac:dyDescent="0.25">
      <c r="A49" s="4">
        <v>44652</v>
      </c>
    </row>
    <row r="50" spans="1:1" x14ac:dyDescent="0.25">
      <c r="A50" s="4" t="s">
        <v>1</v>
      </c>
    </row>
    <row r="51" spans="1:1" x14ac:dyDescent="0.25">
      <c r="A51"/>
    </row>
    <row r="52" spans="1:1" x14ac:dyDescent="0.25">
      <c r="A52"/>
    </row>
    <row r="56" spans="1:1" x14ac:dyDescent="0.25">
      <c r="A56" s="4">
        <v>44470</v>
      </c>
    </row>
    <row r="57" spans="1:1" x14ac:dyDescent="0.25">
      <c r="A57" s="4">
        <v>44501</v>
      </c>
    </row>
    <row r="58" spans="1:1" x14ac:dyDescent="0.25">
      <c r="A58" s="4">
        <v>44531</v>
      </c>
    </row>
    <row r="59" spans="1:1" x14ac:dyDescent="0.25">
      <c r="A59" s="4">
        <v>44562</v>
      </c>
    </row>
    <row r="60" spans="1:1" x14ac:dyDescent="0.25">
      <c r="A60" s="4">
        <v>44593</v>
      </c>
    </row>
    <row r="61" spans="1:1" x14ac:dyDescent="0.25">
      <c r="A61" s="4">
        <v>44621</v>
      </c>
    </row>
    <row r="62" spans="1:1" x14ac:dyDescent="0.25">
      <c r="A62" s="4">
        <v>44652</v>
      </c>
    </row>
    <row r="63" spans="1:1" x14ac:dyDescent="0.25">
      <c r="A63" s="4">
        <v>44682</v>
      </c>
    </row>
    <row r="64" spans="1:1" x14ac:dyDescent="0.25">
      <c r="A64" s="4">
        <v>44713</v>
      </c>
    </row>
    <row r="65" spans="1:1" x14ac:dyDescent="0.25">
      <c r="A65" s="4">
        <v>44743</v>
      </c>
    </row>
    <row r="66" spans="1:1" x14ac:dyDescent="0.25">
      <c r="A66" s="4">
        <v>44774</v>
      </c>
    </row>
    <row r="67" spans="1:1" x14ac:dyDescent="0.25">
      <c r="A67" s="4">
        <v>44805</v>
      </c>
    </row>
    <row r="68" spans="1:1" x14ac:dyDescent="0.25">
      <c r="A68" s="4">
        <v>44835</v>
      </c>
    </row>
    <row r="69" spans="1:1" x14ac:dyDescent="0.25">
      <c r="A69" s="4">
        <v>44866</v>
      </c>
    </row>
    <row r="70" spans="1:1" x14ac:dyDescent="0.25">
      <c r="A70" s="4">
        <v>44896</v>
      </c>
    </row>
    <row r="71" spans="1:1" x14ac:dyDescent="0.25">
      <c r="A71" s="4">
        <v>44927</v>
      </c>
    </row>
    <row r="72" spans="1:1" x14ac:dyDescent="0.25">
      <c r="A72" s="4">
        <v>44958</v>
      </c>
    </row>
    <row r="73" spans="1:1" x14ac:dyDescent="0.25">
      <c r="A73" s="4">
        <v>44986</v>
      </c>
    </row>
    <row r="74" spans="1:1" x14ac:dyDescent="0.25">
      <c r="A74" s="4">
        <v>45017</v>
      </c>
    </row>
    <row r="75" spans="1:1" x14ac:dyDescent="0.25">
      <c r="A75" s="4">
        <v>45047</v>
      </c>
    </row>
    <row r="76" spans="1:1" x14ac:dyDescent="0.25">
      <c r="A76" s="4">
        <v>45078</v>
      </c>
    </row>
    <row r="77" spans="1:1" x14ac:dyDescent="0.25">
      <c r="A77" s="4">
        <v>45108</v>
      </c>
    </row>
    <row r="78" spans="1:1" x14ac:dyDescent="0.25">
      <c r="A78" s="4">
        <v>45139</v>
      </c>
    </row>
    <row r="79" spans="1:1" x14ac:dyDescent="0.25">
      <c r="A79" s="4">
        <v>45170</v>
      </c>
    </row>
    <row r="80" spans="1:1" x14ac:dyDescent="0.25">
      <c r="A80" s="4">
        <v>45200</v>
      </c>
    </row>
    <row r="81" spans="1:1" x14ac:dyDescent="0.25">
      <c r="A81" s="4">
        <v>45231</v>
      </c>
    </row>
    <row r="82" spans="1:1" x14ac:dyDescent="0.25">
      <c r="A82" s="4" t="s">
        <v>1</v>
      </c>
    </row>
  </sheetData>
  <pageMargins left="0.7" right="0.7" top="0.75" bottom="0.75" header="0.3" footer="0.3"/>
  <drawing r:id="rId6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B81"/>
  <sheetViews>
    <sheetView workbookViewId="0">
      <selection activeCell="C20" sqref="C20"/>
    </sheetView>
  </sheetViews>
  <sheetFormatPr defaultRowHeight="15" x14ac:dyDescent="0.25"/>
  <cols>
    <col min="1" max="1" width="13.140625" bestFit="1" customWidth="1"/>
    <col min="2" max="2" width="18.140625" bestFit="1" customWidth="1"/>
    <col min="3" max="3" width="40" bestFit="1" customWidth="1"/>
    <col min="4" max="4" width="29.42578125" bestFit="1" customWidth="1"/>
    <col min="5" max="5" width="40.28515625" bestFit="1" customWidth="1"/>
  </cols>
  <sheetData>
    <row r="1" spans="1:1" x14ac:dyDescent="0.25">
      <c r="A1" s="3" t="s">
        <v>4</v>
      </c>
    </row>
    <row r="2" spans="1:1" x14ac:dyDescent="0.25">
      <c r="A2" s="4">
        <v>44470</v>
      </c>
    </row>
    <row r="3" spans="1:1" x14ac:dyDescent="0.25">
      <c r="A3" s="4">
        <v>44501</v>
      </c>
    </row>
    <row r="4" spans="1:1" x14ac:dyDescent="0.25">
      <c r="A4" s="4">
        <v>44531</v>
      </c>
    </row>
    <row r="5" spans="1:1" x14ac:dyDescent="0.25">
      <c r="A5" s="4">
        <v>44562</v>
      </c>
    </row>
    <row r="6" spans="1:1" x14ac:dyDescent="0.25">
      <c r="A6" s="4">
        <v>44593</v>
      </c>
    </row>
    <row r="7" spans="1:1" x14ac:dyDescent="0.25">
      <c r="A7" s="4">
        <v>44621</v>
      </c>
    </row>
    <row r="8" spans="1:1" x14ac:dyDescent="0.25">
      <c r="A8" s="4">
        <v>44652</v>
      </c>
    </row>
    <row r="9" spans="1:1" x14ac:dyDescent="0.25">
      <c r="A9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2" x14ac:dyDescent="0.25">
      <c r="A17" s="3" t="s">
        <v>4</v>
      </c>
    </row>
    <row r="18" spans="1:2" x14ac:dyDescent="0.25">
      <c r="A18" s="4">
        <v>44470</v>
      </c>
    </row>
    <row r="19" spans="1:2" x14ac:dyDescent="0.25">
      <c r="A19" s="4">
        <v>44501</v>
      </c>
    </row>
    <row r="20" spans="1:2" x14ac:dyDescent="0.25">
      <c r="A20" s="4">
        <v>44531</v>
      </c>
    </row>
    <row r="21" spans="1:2" x14ac:dyDescent="0.25">
      <c r="A21" s="4">
        <v>44562</v>
      </c>
    </row>
    <row r="22" spans="1:2" x14ac:dyDescent="0.25">
      <c r="A22" s="4">
        <v>44593</v>
      </c>
    </row>
    <row r="23" spans="1:2" x14ac:dyDescent="0.25">
      <c r="A23" s="4">
        <v>44621</v>
      </c>
    </row>
    <row r="24" spans="1:2" x14ac:dyDescent="0.25">
      <c r="A24" s="4">
        <v>44652</v>
      </c>
    </row>
    <row r="25" spans="1:2" x14ac:dyDescent="0.25">
      <c r="A25" s="4" t="s">
        <v>1</v>
      </c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18" t="s">
        <v>4</v>
      </c>
      <c r="B32" s="2" t="s">
        <v>31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A81"/>
  <sheetViews>
    <sheetView topLeftCell="A5" workbookViewId="0">
      <selection activeCell="G23" sqref="G23"/>
    </sheetView>
  </sheetViews>
  <sheetFormatPr defaultRowHeight="15" x14ac:dyDescent="0.25"/>
  <cols>
    <col min="1" max="1" width="13.140625" bestFit="1" customWidth="1"/>
    <col min="2" max="2" width="58.140625" bestFit="1" customWidth="1"/>
    <col min="3" max="3" width="46.42578125" bestFit="1" customWidth="1"/>
    <col min="4" max="4" width="58.140625" bestFit="1" customWidth="1"/>
  </cols>
  <sheetData>
    <row r="1" spans="1:1" x14ac:dyDescent="0.25">
      <c r="A1" s="3" t="s">
        <v>4</v>
      </c>
    </row>
    <row r="2" spans="1:1" x14ac:dyDescent="0.25">
      <c r="A2" s="4">
        <v>44562</v>
      </c>
    </row>
    <row r="3" spans="1:1" x14ac:dyDescent="0.25">
      <c r="A3" s="4">
        <v>44593</v>
      </c>
    </row>
    <row r="4" spans="1:1" x14ac:dyDescent="0.25">
      <c r="A4" s="4">
        <v>44621</v>
      </c>
    </row>
    <row r="5" spans="1:1" x14ac:dyDescent="0.25">
      <c r="A5" s="4">
        <v>44652</v>
      </c>
    </row>
    <row r="6" spans="1:1" x14ac:dyDescent="0.25">
      <c r="A6" s="4" t="s">
        <v>1</v>
      </c>
    </row>
    <row r="12" spans="1:1" x14ac:dyDescent="0.25">
      <c r="A12" s="5"/>
    </row>
    <row r="13" spans="1:1" x14ac:dyDescent="0.25">
      <c r="A13" s="5"/>
    </row>
    <row r="14" spans="1:1" x14ac:dyDescent="0.25">
      <c r="A14" s="5"/>
    </row>
    <row r="15" spans="1:1" x14ac:dyDescent="0.25">
      <c r="A15" s="5"/>
    </row>
    <row r="16" spans="1:1" x14ac:dyDescent="0.25">
      <c r="A16" s="5"/>
    </row>
    <row r="17" spans="1:1" x14ac:dyDescent="0.25">
      <c r="A17" s="3" t="s">
        <v>4</v>
      </c>
    </row>
    <row r="18" spans="1:1" x14ac:dyDescent="0.25">
      <c r="A18" s="4">
        <v>44621</v>
      </c>
    </row>
    <row r="19" spans="1:1" x14ac:dyDescent="0.25">
      <c r="A19" s="4">
        <v>44652</v>
      </c>
    </row>
    <row r="20" spans="1:1" x14ac:dyDescent="0.25">
      <c r="A20" s="4" t="s">
        <v>1</v>
      </c>
    </row>
    <row r="28" spans="1:1" x14ac:dyDescent="0.25">
      <c r="A28" s="5"/>
    </row>
    <row r="29" spans="1:1" x14ac:dyDescent="0.25">
      <c r="A29" s="5"/>
    </row>
    <row r="30" spans="1:1" x14ac:dyDescent="0.25">
      <c r="A30" s="5"/>
    </row>
    <row r="31" spans="1:1" x14ac:dyDescent="0.25">
      <c r="A31" s="5"/>
    </row>
    <row r="32" spans="1:1" x14ac:dyDescent="0.25">
      <c r="A32" s="3" t="s">
        <v>4</v>
      </c>
    </row>
    <row r="33" spans="1:1" x14ac:dyDescent="0.25">
      <c r="A33" s="4">
        <v>44621</v>
      </c>
    </row>
    <row r="34" spans="1:1" x14ac:dyDescent="0.25">
      <c r="A34" s="4">
        <v>44652</v>
      </c>
    </row>
    <row r="35" spans="1:1" x14ac:dyDescent="0.25">
      <c r="A35" s="4" t="s">
        <v>1</v>
      </c>
    </row>
    <row r="42" spans="1:1" x14ac:dyDescent="0.25">
      <c r="A42" s="5"/>
    </row>
    <row r="43" spans="1:1" x14ac:dyDescent="0.25">
      <c r="A43" s="5"/>
    </row>
    <row r="44" spans="1:1" x14ac:dyDescent="0.25">
      <c r="A44" s="5"/>
    </row>
    <row r="45" spans="1:1" x14ac:dyDescent="0.25">
      <c r="A45" s="3" t="s">
        <v>4</v>
      </c>
    </row>
    <row r="46" spans="1:1" x14ac:dyDescent="0.25">
      <c r="A46" s="4">
        <v>44621</v>
      </c>
    </row>
    <row r="47" spans="1:1" x14ac:dyDescent="0.25">
      <c r="A47" s="4">
        <v>44652</v>
      </c>
    </row>
    <row r="48" spans="1:1" x14ac:dyDescent="0.25">
      <c r="A48" s="4" t="s">
        <v>1</v>
      </c>
    </row>
    <row r="51" spans="1:1" x14ac:dyDescent="0.25">
      <c r="A51" s="5"/>
    </row>
    <row r="52" spans="1:1" x14ac:dyDescent="0.25">
      <c r="A52" s="5"/>
    </row>
    <row r="53" spans="1:1" x14ac:dyDescent="0.25">
      <c r="A53" s="5"/>
    </row>
    <row r="54" spans="1:1" x14ac:dyDescent="0.25">
      <c r="A54" s="3" t="s">
        <v>4</v>
      </c>
    </row>
    <row r="55" spans="1:1" x14ac:dyDescent="0.25">
      <c r="A55" s="4">
        <v>44470</v>
      </c>
    </row>
    <row r="56" spans="1:1" x14ac:dyDescent="0.25">
      <c r="A56" s="4">
        <v>44501</v>
      </c>
    </row>
    <row r="57" spans="1:1" x14ac:dyDescent="0.25">
      <c r="A57" s="4">
        <v>44531</v>
      </c>
    </row>
    <row r="58" spans="1:1" x14ac:dyDescent="0.25">
      <c r="A58" s="4">
        <v>44562</v>
      </c>
    </row>
    <row r="59" spans="1:1" x14ac:dyDescent="0.25">
      <c r="A59" s="4">
        <v>44593</v>
      </c>
    </row>
    <row r="60" spans="1:1" x14ac:dyDescent="0.25">
      <c r="A60" s="4">
        <v>44621</v>
      </c>
    </row>
    <row r="61" spans="1:1" x14ac:dyDescent="0.25">
      <c r="A61" s="4">
        <v>44652</v>
      </c>
    </row>
    <row r="62" spans="1:1" x14ac:dyDescent="0.25">
      <c r="A62" s="4">
        <v>44682</v>
      </c>
    </row>
    <row r="63" spans="1:1" x14ac:dyDescent="0.25">
      <c r="A63" s="4">
        <v>44713</v>
      </c>
    </row>
    <row r="64" spans="1:1" x14ac:dyDescent="0.25">
      <c r="A64" s="4">
        <v>44743</v>
      </c>
    </row>
    <row r="65" spans="1:1" x14ac:dyDescent="0.25">
      <c r="A65" s="4">
        <v>44774</v>
      </c>
    </row>
    <row r="66" spans="1:1" x14ac:dyDescent="0.25">
      <c r="A66" s="4">
        <v>44805</v>
      </c>
    </row>
    <row r="67" spans="1:1" x14ac:dyDescent="0.25">
      <c r="A67" s="4">
        <v>44835</v>
      </c>
    </row>
    <row r="68" spans="1:1" x14ac:dyDescent="0.25">
      <c r="A68" s="4">
        <v>44866</v>
      </c>
    </row>
    <row r="69" spans="1:1" x14ac:dyDescent="0.25">
      <c r="A69" s="4">
        <v>44896</v>
      </c>
    </row>
    <row r="70" spans="1:1" x14ac:dyDescent="0.25">
      <c r="A70" s="4">
        <v>44927</v>
      </c>
    </row>
    <row r="71" spans="1:1" x14ac:dyDescent="0.25">
      <c r="A71" s="4">
        <v>44958</v>
      </c>
    </row>
    <row r="72" spans="1:1" x14ac:dyDescent="0.25">
      <c r="A72" s="4">
        <v>44986</v>
      </c>
    </row>
    <row r="73" spans="1:1" x14ac:dyDescent="0.25">
      <c r="A73" s="4">
        <v>45017</v>
      </c>
    </row>
    <row r="74" spans="1:1" x14ac:dyDescent="0.25">
      <c r="A74" s="4">
        <v>45047</v>
      </c>
    </row>
    <row r="75" spans="1:1" x14ac:dyDescent="0.25">
      <c r="A75" s="4">
        <v>45078</v>
      </c>
    </row>
    <row r="76" spans="1:1" x14ac:dyDescent="0.25">
      <c r="A76" s="4">
        <v>45108</v>
      </c>
    </row>
    <row r="77" spans="1:1" x14ac:dyDescent="0.25">
      <c r="A77" s="4">
        <v>45139</v>
      </c>
    </row>
    <row r="78" spans="1:1" x14ac:dyDescent="0.25">
      <c r="A78" s="4">
        <v>45170</v>
      </c>
    </row>
    <row r="79" spans="1:1" x14ac:dyDescent="0.25">
      <c r="A79" s="4">
        <v>45200</v>
      </c>
    </row>
    <row r="80" spans="1:1" x14ac:dyDescent="0.25">
      <c r="A80" s="4">
        <v>45231</v>
      </c>
    </row>
    <row r="81" spans="1:1" x14ac:dyDescent="0.25">
      <c r="A81" s="4" t="s">
        <v>1</v>
      </c>
    </row>
  </sheetData>
  <pageMargins left="0.7" right="0.7" top="0.75" bottom="0.75" header="0.3" footer="0.3"/>
  <drawing r:id="rId6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B87"/>
  <sheetViews>
    <sheetView topLeftCell="A4" workbookViewId="0">
      <selection activeCell="C1" sqref="C1:C8"/>
    </sheetView>
  </sheetViews>
  <sheetFormatPr defaultRowHeight="15" x14ac:dyDescent="0.25"/>
  <cols>
    <col min="1" max="1" width="13.140625" bestFit="1" customWidth="1"/>
    <col min="2" max="3" width="25.85546875" bestFit="1" customWidth="1"/>
    <col min="4" max="4" width="10" bestFit="1" customWidth="1"/>
  </cols>
  <sheetData>
    <row r="1" spans="1:2" x14ac:dyDescent="0.25">
      <c r="A1" s="3" t="s">
        <v>4</v>
      </c>
      <c r="B1" s="2" t="s">
        <v>32</v>
      </c>
    </row>
    <row r="2" spans="1:2" x14ac:dyDescent="0.25">
      <c r="A2" s="4">
        <v>44562</v>
      </c>
      <c r="B2" s="7">
        <v>99</v>
      </c>
    </row>
    <row r="3" spans="1:2" x14ac:dyDescent="0.25">
      <c r="A3" s="4">
        <v>44593</v>
      </c>
      <c r="B3" s="7">
        <v>99</v>
      </c>
    </row>
    <row r="4" spans="1:2" x14ac:dyDescent="0.25">
      <c r="A4" s="4">
        <v>44621</v>
      </c>
      <c r="B4" s="7">
        <v>99</v>
      </c>
    </row>
    <row r="5" spans="1:2" x14ac:dyDescent="0.25">
      <c r="A5" s="4">
        <v>44652</v>
      </c>
      <c r="B5" s="7">
        <v>99</v>
      </c>
    </row>
    <row r="6" spans="1:2" x14ac:dyDescent="0.25">
      <c r="A6" s="4" t="s">
        <v>1</v>
      </c>
      <c r="B6" s="7">
        <v>99</v>
      </c>
    </row>
    <row r="12" spans="1:2" x14ac:dyDescent="0.25">
      <c r="A12" s="5"/>
    </row>
    <row r="13" spans="1:2" x14ac:dyDescent="0.25">
      <c r="A13" s="5"/>
    </row>
    <row r="14" spans="1:2" x14ac:dyDescent="0.25">
      <c r="A14" s="5"/>
    </row>
    <row r="15" spans="1:2" x14ac:dyDescent="0.25">
      <c r="A15" s="5"/>
    </row>
    <row r="16" spans="1:2" x14ac:dyDescent="0.25">
      <c r="A16" s="3" t="s">
        <v>4</v>
      </c>
      <c r="B16" s="2" t="s">
        <v>33</v>
      </c>
    </row>
    <row r="17" spans="1:2" x14ac:dyDescent="0.25">
      <c r="A17" s="4">
        <v>44562</v>
      </c>
      <c r="B17" s="7">
        <v>99</v>
      </c>
    </row>
    <row r="18" spans="1:2" x14ac:dyDescent="0.25">
      <c r="A18" s="4">
        <v>44593</v>
      </c>
      <c r="B18" s="7">
        <v>99</v>
      </c>
    </row>
    <row r="19" spans="1:2" x14ac:dyDescent="0.25">
      <c r="A19" s="4">
        <v>44621</v>
      </c>
      <c r="B19" s="7">
        <v>99</v>
      </c>
    </row>
    <row r="20" spans="1:2" x14ac:dyDescent="0.25">
      <c r="A20" s="4">
        <v>44652</v>
      </c>
      <c r="B20" s="7">
        <v>99</v>
      </c>
    </row>
    <row r="21" spans="1:2" x14ac:dyDescent="0.25">
      <c r="A21" s="4" t="s">
        <v>1</v>
      </c>
      <c r="B21" s="7">
        <v>99</v>
      </c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3" t="s">
        <v>4</v>
      </c>
      <c r="B32" s="2" t="s">
        <v>33</v>
      </c>
    </row>
    <row r="33" spans="1:2" x14ac:dyDescent="0.25">
      <c r="A33" s="4">
        <v>44621</v>
      </c>
      <c r="B33" s="7">
        <v>99</v>
      </c>
    </row>
    <row r="34" spans="1:2" x14ac:dyDescent="0.25">
      <c r="A34" s="4">
        <v>44652</v>
      </c>
      <c r="B34" s="7">
        <v>99</v>
      </c>
    </row>
    <row r="35" spans="1:2" x14ac:dyDescent="0.25">
      <c r="A35" s="4" t="s">
        <v>1</v>
      </c>
      <c r="B35" s="7">
        <v>99</v>
      </c>
    </row>
    <row r="43" spans="1:2" x14ac:dyDescent="0.25">
      <c r="A43" s="5"/>
    </row>
    <row r="44" spans="1:2" x14ac:dyDescent="0.25">
      <c r="A44" s="5"/>
    </row>
    <row r="45" spans="1:2" x14ac:dyDescent="0.25">
      <c r="A45" s="5"/>
    </row>
    <row r="46" spans="1:2" x14ac:dyDescent="0.25">
      <c r="A46" s="5"/>
    </row>
    <row r="47" spans="1:2" x14ac:dyDescent="0.25">
      <c r="A47" s="3" t="s">
        <v>4</v>
      </c>
      <c r="B47" s="2" t="s">
        <v>33</v>
      </c>
    </row>
    <row r="48" spans="1:2" x14ac:dyDescent="0.25">
      <c r="A48" s="4">
        <v>44621</v>
      </c>
      <c r="B48" s="7">
        <v>99</v>
      </c>
    </row>
    <row r="49" spans="1:2" x14ac:dyDescent="0.25">
      <c r="A49" s="4">
        <v>44652</v>
      </c>
      <c r="B49" s="7">
        <v>99</v>
      </c>
    </row>
    <row r="50" spans="1:2" x14ac:dyDescent="0.25">
      <c r="A50" s="4" t="s">
        <v>1</v>
      </c>
      <c r="B50" s="7">
        <v>99</v>
      </c>
    </row>
    <row r="57" spans="1:2" x14ac:dyDescent="0.25">
      <c r="A57" s="5"/>
    </row>
    <row r="58" spans="1:2" x14ac:dyDescent="0.25">
      <c r="A58" s="5"/>
    </row>
    <row r="59" spans="1:2" x14ac:dyDescent="0.25">
      <c r="A59" s="5"/>
    </row>
    <row r="60" spans="1:2" x14ac:dyDescent="0.25">
      <c r="A60" s="3" t="s">
        <v>4</v>
      </c>
      <c r="B60" s="2" t="s">
        <v>33</v>
      </c>
    </row>
    <row r="61" spans="1:2" x14ac:dyDescent="0.25">
      <c r="A61" s="4">
        <v>44470</v>
      </c>
      <c r="B61" s="7">
        <v>99</v>
      </c>
    </row>
    <row r="62" spans="1:2" x14ac:dyDescent="0.25">
      <c r="A62" s="4">
        <v>44501</v>
      </c>
      <c r="B62" s="7">
        <v>99</v>
      </c>
    </row>
    <row r="63" spans="1:2" x14ac:dyDescent="0.25">
      <c r="A63" s="4">
        <v>44531</v>
      </c>
      <c r="B63" s="7">
        <v>99</v>
      </c>
    </row>
    <row r="64" spans="1:2" x14ac:dyDescent="0.25">
      <c r="A64" s="4">
        <v>44562</v>
      </c>
      <c r="B64" s="7">
        <v>99</v>
      </c>
    </row>
    <row r="65" spans="1:2" x14ac:dyDescent="0.25">
      <c r="A65" s="4">
        <v>44593</v>
      </c>
      <c r="B65" s="7">
        <v>99</v>
      </c>
    </row>
    <row r="66" spans="1:2" x14ac:dyDescent="0.25">
      <c r="A66" s="4">
        <v>44621</v>
      </c>
      <c r="B66" s="7">
        <v>99</v>
      </c>
    </row>
    <row r="67" spans="1:2" x14ac:dyDescent="0.25">
      <c r="A67" s="4">
        <v>44652</v>
      </c>
      <c r="B67" s="7">
        <v>99</v>
      </c>
    </row>
    <row r="68" spans="1:2" x14ac:dyDescent="0.25">
      <c r="A68" s="4">
        <v>44682</v>
      </c>
      <c r="B68" s="7">
        <v>99</v>
      </c>
    </row>
    <row r="69" spans="1:2" x14ac:dyDescent="0.25">
      <c r="A69" s="4">
        <v>44713</v>
      </c>
      <c r="B69" s="7">
        <v>99</v>
      </c>
    </row>
    <row r="70" spans="1:2" x14ac:dyDescent="0.25">
      <c r="A70" s="4">
        <v>44743</v>
      </c>
      <c r="B70" s="7">
        <v>99</v>
      </c>
    </row>
    <row r="71" spans="1:2" x14ac:dyDescent="0.25">
      <c r="A71" s="4">
        <v>44774</v>
      </c>
      <c r="B71" s="7">
        <v>99</v>
      </c>
    </row>
    <row r="72" spans="1:2" x14ac:dyDescent="0.25">
      <c r="A72" s="4">
        <v>44805</v>
      </c>
      <c r="B72" s="7">
        <v>99</v>
      </c>
    </row>
    <row r="73" spans="1:2" x14ac:dyDescent="0.25">
      <c r="A73" s="4">
        <v>44835</v>
      </c>
      <c r="B73" s="7">
        <v>99</v>
      </c>
    </row>
    <row r="74" spans="1:2" x14ac:dyDescent="0.25">
      <c r="A74" s="4">
        <v>44866</v>
      </c>
      <c r="B74" s="7">
        <v>99</v>
      </c>
    </row>
    <row r="75" spans="1:2" x14ac:dyDescent="0.25">
      <c r="A75" s="4">
        <v>44896</v>
      </c>
      <c r="B75" s="7">
        <v>99</v>
      </c>
    </row>
    <row r="76" spans="1:2" x14ac:dyDescent="0.25">
      <c r="A76" s="4">
        <v>44927</v>
      </c>
      <c r="B76" s="7">
        <v>99</v>
      </c>
    </row>
    <row r="77" spans="1:2" x14ac:dyDescent="0.25">
      <c r="A77" s="4">
        <v>44958</v>
      </c>
      <c r="B77" s="7">
        <v>99</v>
      </c>
    </row>
    <row r="78" spans="1:2" x14ac:dyDescent="0.25">
      <c r="A78" s="4">
        <v>44986</v>
      </c>
      <c r="B78" s="7">
        <v>99</v>
      </c>
    </row>
    <row r="79" spans="1:2" x14ac:dyDescent="0.25">
      <c r="A79" s="4">
        <v>45017</v>
      </c>
      <c r="B79" s="7">
        <v>99</v>
      </c>
    </row>
    <row r="80" spans="1:2" x14ac:dyDescent="0.25">
      <c r="A80" s="4">
        <v>45047</v>
      </c>
      <c r="B80" s="7">
        <v>99</v>
      </c>
    </row>
    <row r="81" spans="1:2" x14ac:dyDescent="0.25">
      <c r="A81" s="4">
        <v>45078</v>
      </c>
      <c r="B81" s="7">
        <v>99</v>
      </c>
    </row>
    <row r="82" spans="1:2" x14ac:dyDescent="0.25">
      <c r="A82" s="4">
        <v>45108</v>
      </c>
      <c r="B82" s="7">
        <v>99</v>
      </c>
    </row>
    <row r="83" spans="1:2" x14ac:dyDescent="0.25">
      <c r="A83" s="4">
        <v>45139</v>
      </c>
      <c r="B83" s="7">
        <v>99</v>
      </c>
    </row>
    <row r="84" spans="1:2" x14ac:dyDescent="0.25">
      <c r="A84" s="4">
        <v>45170</v>
      </c>
      <c r="B84" s="7">
        <v>99</v>
      </c>
    </row>
    <row r="85" spans="1:2" x14ac:dyDescent="0.25">
      <c r="A85" s="4">
        <v>45200</v>
      </c>
      <c r="B85" s="7">
        <v>99</v>
      </c>
    </row>
    <row r="86" spans="1:2" x14ac:dyDescent="0.25">
      <c r="A86" s="4">
        <v>45231</v>
      </c>
      <c r="B86" s="7">
        <v>99</v>
      </c>
    </row>
    <row r="87" spans="1:2" x14ac:dyDescent="0.25">
      <c r="A87" s="4" t="s">
        <v>1</v>
      </c>
      <c r="B87" s="7">
        <v>99</v>
      </c>
    </row>
  </sheetData>
  <pageMargins left="0.7" right="0.7" top="0.75" bottom="0.75" header="0.3" footer="0.3"/>
  <drawing r:id="rId6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BI4"/>
  <sheetViews>
    <sheetView workbookViewId="0"/>
  </sheetViews>
  <sheetFormatPr defaultRowHeight="15" x14ac:dyDescent="0.25"/>
  <cols>
    <col min="1" max="1" width="14.7109375" bestFit="1" customWidth="1"/>
    <col min="2" max="2" width="59.140625" bestFit="1" customWidth="1"/>
    <col min="3" max="3" width="43.42578125" bestFit="1" customWidth="1"/>
    <col min="4" max="4" width="62.7109375" bestFit="1" customWidth="1"/>
    <col min="5" max="5" width="51.42578125" bestFit="1" customWidth="1"/>
    <col min="6" max="6" width="47" bestFit="1" customWidth="1"/>
    <col min="7" max="7" width="50.85546875" bestFit="1" customWidth="1"/>
    <col min="8" max="8" width="43.140625" bestFit="1" customWidth="1"/>
    <col min="9" max="9" width="59.5703125" bestFit="1" customWidth="1"/>
    <col min="10" max="10" width="42.85546875" bestFit="1" customWidth="1"/>
    <col min="11" max="11" width="62.28515625" bestFit="1" customWidth="1"/>
    <col min="12" max="12" width="50.85546875" bestFit="1" customWidth="1"/>
    <col min="13" max="13" width="46.42578125" bestFit="1" customWidth="1"/>
    <col min="14" max="14" width="50.28515625" bestFit="1" customWidth="1"/>
    <col min="15" max="15" width="43.5703125" bestFit="1" customWidth="1"/>
    <col min="16" max="16" width="59.140625" bestFit="1" customWidth="1"/>
    <col min="17" max="17" width="43.42578125" bestFit="1" customWidth="1"/>
    <col min="18" max="18" width="62.7109375" bestFit="1" customWidth="1"/>
    <col min="19" max="19" width="51.42578125" bestFit="1" customWidth="1"/>
    <col min="20" max="20" width="47" bestFit="1" customWidth="1"/>
    <col min="21" max="21" width="50.85546875" bestFit="1" customWidth="1"/>
    <col min="22" max="22" width="43.140625" bestFit="1" customWidth="1"/>
    <col min="23" max="23" width="57.85546875" bestFit="1" customWidth="1"/>
    <col min="24" max="24" width="42.140625" bestFit="1" customWidth="1"/>
    <col min="25" max="25" width="61.5703125" bestFit="1" customWidth="1"/>
    <col min="26" max="26" width="50.140625" bestFit="1" customWidth="1"/>
    <col min="27" max="27" width="45.28515625" bestFit="1" customWidth="1"/>
    <col min="28" max="28" width="49.5703125" bestFit="1" customWidth="1"/>
    <col min="29" max="29" width="41.85546875" bestFit="1" customWidth="1"/>
    <col min="30" max="30" width="56.5703125" bestFit="1" customWidth="1"/>
    <col min="31" max="31" width="41" bestFit="1" customWidth="1"/>
    <col min="32" max="32" width="60.28515625" bestFit="1" customWidth="1"/>
    <col min="33" max="33" width="49" bestFit="1" customWidth="1"/>
    <col min="34" max="34" width="44.5703125" bestFit="1" customWidth="1"/>
    <col min="35" max="35" width="48.28515625" bestFit="1" customWidth="1"/>
    <col min="36" max="36" width="40.7109375" bestFit="1" customWidth="1"/>
    <col min="37" max="37" width="42" bestFit="1" customWidth="1"/>
    <col min="38" max="38" width="39.42578125" bestFit="1" customWidth="1"/>
    <col min="39" max="39" width="39.7109375" bestFit="1" customWidth="1"/>
    <col min="40" max="40" width="38.42578125" bestFit="1" customWidth="1"/>
    <col min="41" max="41" width="38" bestFit="1" customWidth="1"/>
    <col min="42" max="42" width="32.5703125" bestFit="1" customWidth="1"/>
    <col min="43" max="43" width="31.7109375" bestFit="1" customWidth="1"/>
    <col min="44" max="44" width="21.140625" bestFit="1" customWidth="1"/>
    <col min="45" max="45" width="23.28515625" bestFit="1" customWidth="1"/>
    <col min="46" max="46" width="23" bestFit="1" customWidth="1"/>
    <col min="47" max="47" width="23.140625" bestFit="1" customWidth="1"/>
    <col min="48" max="48" width="23.7109375" bestFit="1" customWidth="1"/>
    <col min="49" max="49" width="24.28515625" bestFit="1" customWidth="1"/>
    <col min="50" max="50" width="13.5703125" bestFit="1" customWidth="1"/>
    <col min="51" max="51" width="23.28515625" bestFit="1" customWidth="1"/>
    <col min="52" max="52" width="22.85546875" bestFit="1" customWidth="1"/>
    <col min="53" max="53" width="23" bestFit="1" customWidth="1"/>
    <col min="54" max="54" width="23.42578125" bestFit="1" customWidth="1"/>
    <col min="55" max="55" width="24" bestFit="1" customWidth="1"/>
    <col min="56" max="56" width="32.5703125" bestFit="1" customWidth="1"/>
    <col min="57" max="57" width="32.140625" bestFit="1" customWidth="1"/>
    <col min="58" max="58" width="32.7109375" bestFit="1" customWidth="1"/>
    <col min="59" max="60" width="33.140625" bestFit="1" customWidth="1"/>
    <col min="61" max="61" width="28.5703125" bestFit="1" customWidth="1"/>
  </cols>
  <sheetData>
    <row r="1" spans="1:61" x14ac:dyDescent="0.25">
      <c r="A1" t="s">
        <v>34</v>
      </c>
    </row>
    <row r="3" spans="1:61" x14ac:dyDescent="0.25">
      <c r="A3" t="s">
        <v>35</v>
      </c>
      <c r="B3" t="s">
        <v>36</v>
      </c>
      <c r="C3" t="s">
        <v>37</v>
      </c>
      <c r="D3" t="s">
        <v>38</v>
      </c>
      <c r="E3" t="s">
        <v>39</v>
      </c>
      <c r="F3" t="s">
        <v>40</v>
      </c>
      <c r="G3" t="s">
        <v>41</v>
      </c>
      <c r="H3" t="s">
        <v>42</v>
      </c>
      <c r="I3" t="s">
        <v>43</v>
      </c>
      <c r="J3" t="s">
        <v>44</v>
      </c>
      <c r="K3" t="s">
        <v>45</v>
      </c>
      <c r="L3" t="s">
        <v>46</v>
      </c>
      <c r="M3" t="s">
        <v>47</v>
      </c>
      <c r="N3" t="s">
        <v>48</v>
      </c>
      <c r="O3" t="s">
        <v>49</v>
      </c>
      <c r="P3" t="s">
        <v>50</v>
      </c>
      <c r="Q3" t="s">
        <v>51</v>
      </c>
      <c r="R3" t="s">
        <v>52</v>
      </c>
      <c r="S3" t="s">
        <v>53</v>
      </c>
      <c r="T3" t="s">
        <v>54</v>
      </c>
      <c r="U3" t="s">
        <v>55</v>
      </c>
      <c r="V3" t="s">
        <v>56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73</v>
      </c>
      <c r="AN3" t="s">
        <v>74</v>
      </c>
      <c r="AO3" t="s">
        <v>75</v>
      </c>
      <c r="AP3" t="s">
        <v>76</v>
      </c>
      <c r="AQ3" t="s">
        <v>77</v>
      </c>
      <c r="AR3" t="s">
        <v>78</v>
      </c>
      <c r="AS3" t="s">
        <v>79</v>
      </c>
      <c r="AT3" t="s">
        <v>80</v>
      </c>
      <c r="AU3" t="s">
        <v>81</v>
      </c>
      <c r="AV3" t="s">
        <v>82</v>
      </c>
      <c r="AW3" t="s">
        <v>83</v>
      </c>
      <c r="AX3" t="s">
        <v>84</v>
      </c>
      <c r="AY3" t="s">
        <v>85</v>
      </c>
      <c r="AZ3" t="s">
        <v>86</v>
      </c>
      <c r="BA3" t="s">
        <v>87</v>
      </c>
      <c r="BB3" t="s">
        <v>88</v>
      </c>
      <c r="BC3" t="s">
        <v>89</v>
      </c>
      <c r="BD3" t="s">
        <v>90</v>
      </c>
      <c r="BE3" t="s">
        <v>91</v>
      </c>
      <c r="BF3" t="s">
        <v>92</v>
      </c>
      <c r="BG3" t="s">
        <v>93</v>
      </c>
      <c r="BH3" t="s">
        <v>94</v>
      </c>
      <c r="BI3" t="s">
        <v>95</v>
      </c>
    </row>
    <row r="4" spans="1:61" x14ac:dyDescent="0.25">
      <c r="A4" s="1">
        <v>44501</v>
      </c>
      <c r="B4">
        <v>114666.8</v>
      </c>
      <c r="C4">
        <v>0</v>
      </c>
      <c r="D4">
        <v>0</v>
      </c>
      <c r="E4">
        <v>92.2</v>
      </c>
      <c r="F4">
        <v>123741.4</v>
      </c>
      <c r="G4">
        <v>0</v>
      </c>
      <c r="H4">
        <v>0</v>
      </c>
      <c r="I4">
        <v>33026.302000000003</v>
      </c>
      <c r="J4">
        <v>0</v>
      </c>
      <c r="K4">
        <v>0</v>
      </c>
      <c r="L4">
        <v>100</v>
      </c>
      <c r="M4">
        <v>0</v>
      </c>
      <c r="N4">
        <v>0</v>
      </c>
      <c r="O4">
        <v>0</v>
      </c>
      <c r="P4">
        <v>40430.800000000003</v>
      </c>
      <c r="Q4">
        <v>0</v>
      </c>
      <c r="R4">
        <v>0</v>
      </c>
      <c r="S4">
        <v>68.81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-7.3335197435942953E-2</v>
      </c>
      <c r="AL4" t="e">
        <v>#NUM!</v>
      </c>
      <c r="AM4" t="e">
        <v>#NUM!</v>
      </c>
      <c r="AN4" t="e">
        <v>#NUM!</v>
      </c>
      <c r="AO4" t="e">
        <v>#NUM!</v>
      </c>
      <c r="AP4">
        <v>0</v>
      </c>
      <c r="AQ4" t="e">
        <v>#NUM!</v>
      </c>
      <c r="AS4">
        <v>0.67410000000000003</v>
      </c>
      <c r="AT4">
        <v>0.65890000000000004</v>
      </c>
      <c r="AU4">
        <v>0.61480000000000001</v>
      </c>
      <c r="AV4">
        <v>0.60660000000000003</v>
      </c>
      <c r="AW4">
        <v>0.7944</v>
      </c>
      <c r="AX4">
        <v>0.15</v>
      </c>
      <c r="AY4">
        <v>25602.484704930001</v>
      </c>
      <c r="AZ4">
        <v>0</v>
      </c>
      <c r="BA4">
        <v>81071.720935999998</v>
      </c>
      <c r="BB4">
        <v>28204.121772000002</v>
      </c>
      <c r="BC4">
        <v>0</v>
      </c>
      <c r="BD4">
        <v>0</v>
      </c>
      <c r="BE4">
        <v>0</v>
      </c>
      <c r="BF4">
        <v>87487.644627999995</v>
      </c>
      <c r="BG4">
        <v>0</v>
      </c>
      <c r="BH4">
        <v>0</v>
      </c>
      <c r="BI4">
        <v>11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/>
  <dimension ref="A2:C87"/>
  <sheetViews>
    <sheetView topLeftCell="A34" zoomScale="85" zoomScaleNormal="85" workbookViewId="0">
      <selection activeCell="C45" sqref="C45"/>
    </sheetView>
  </sheetViews>
  <sheetFormatPr defaultRowHeight="12.75" x14ac:dyDescent="0.2"/>
  <cols>
    <col min="1" max="1" width="12.28515625" style="10" bestFit="1" customWidth="1"/>
    <col min="2" max="2" width="26" style="10" bestFit="1" customWidth="1"/>
    <col min="3" max="3" width="26.42578125" style="10" bestFit="1" customWidth="1"/>
    <col min="4" max="4" width="29.7109375" style="10" bestFit="1" customWidth="1"/>
    <col min="5" max="16384" width="9.140625" style="10"/>
  </cols>
  <sheetData>
    <row r="2" spans="1:3" ht="15" x14ac:dyDescent="0.25">
      <c r="A2" s="9" t="s">
        <v>4</v>
      </c>
      <c r="B2"/>
      <c r="C2"/>
    </row>
    <row r="3" spans="1:3" ht="15" x14ac:dyDescent="0.25">
      <c r="A3" s="11">
        <v>44470</v>
      </c>
      <c r="B3"/>
      <c r="C3"/>
    </row>
    <row r="4" spans="1:3" ht="15" x14ac:dyDescent="0.25">
      <c r="A4" s="11">
        <v>44501</v>
      </c>
      <c r="B4"/>
      <c r="C4"/>
    </row>
    <row r="5" spans="1:3" ht="15" x14ac:dyDescent="0.25">
      <c r="A5" s="11">
        <v>44531</v>
      </c>
      <c r="B5"/>
      <c r="C5"/>
    </row>
    <row r="6" spans="1:3" ht="15" x14ac:dyDescent="0.25">
      <c r="A6" s="11">
        <v>44562</v>
      </c>
      <c r="B6"/>
      <c r="C6"/>
    </row>
    <row r="7" spans="1:3" ht="15" x14ac:dyDescent="0.25">
      <c r="A7" s="11">
        <v>44593</v>
      </c>
      <c r="B7"/>
      <c r="C7"/>
    </row>
    <row r="8" spans="1:3" ht="15" x14ac:dyDescent="0.25">
      <c r="A8" s="11">
        <v>44621</v>
      </c>
      <c r="B8"/>
      <c r="C8"/>
    </row>
    <row r="9" spans="1:3" ht="15" x14ac:dyDescent="0.25">
      <c r="A9" s="11">
        <v>44652</v>
      </c>
      <c r="B9"/>
      <c r="C9"/>
    </row>
    <row r="10" spans="1:3" ht="15" x14ac:dyDescent="0.25">
      <c r="A10" s="11" t="s">
        <v>1</v>
      </c>
      <c r="B10"/>
      <c r="C10"/>
    </row>
    <row r="11" spans="1:3" ht="15" x14ac:dyDescent="0.25">
      <c r="A11"/>
      <c r="B11"/>
      <c r="C11"/>
    </row>
    <row r="15" spans="1:3" ht="15" x14ac:dyDescent="0.25">
      <c r="A15" s="9" t="s">
        <v>4</v>
      </c>
      <c r="B15"/>
      <c r="C15"/>
    </row>
    <row r="16" spans="1:3" ht="15" x14ac:dyDescent="0.25">
      <c r="A16" s="11">
        <v>44470</v>
      </c>
      <c r="B16"/>
      <c r="C16"/>
    </row>
    <row r="17" spans="1:3" ht="15" x14ac:dyDescent="0.25">
      <c r="A17" s="11">
        <v>44501</v>
      </c>
      <c r="B17"/>
      <c r="C17"/>
    </row>
    <row r="18" spans="1:3" ht="15" x14ac:dyDescent="0.25">
      <c r="A18" s="11">
        <v>44531</v>
      </c>
      <c r="B18"/>
      <c r="C18"/>
    </row>
    <row r="19" spans="1:3" ht="15" x14ac:dyDescent="0.25">
      <c r="A19" s="11">
        <v>44562</v>
      </c>
      <c r="B19"/>
      <c r="C19"/>
    </row>
    <row r="20" spans="1:3" ht="15" x14ac:dyDescent="0.25">
      <c r="A20" s="11">
        <v>44593</v>
      </c>
      <c r="B20"/>
      <c r="C20"/>
    </row>
    <row r="21" spans="1:3" ht="15" x14ac:dyDescent="0.25">
      <c r="A21" s="11">
        <v>44621</v>
      </c>
      <c r="B21"/>
      <c r="C21"/>
    </row>
    <row r="22" spans="1:3" ht="15" x14ac:dyDescent="0.25">
      <c r="A22" s="11">
        <v>44652</v>
      </c>
      <c r="B22"/>
      <c r="C22"/>
    </row>
    <row r="23" spans="1:3" ht="15" x14ac:dyDescent="0.25">
      <c r="A23" s="11" t="s">
        <v>1</v>
      </c>
      <c r="B23"/>
      <c r="C23"/>
    </row>
    <row r="24" spans="1:3" ht="15" x14ac:dyDescent="0.25">
      <c r="A24"/>
      <c r="B24"/>
      <c r="C24"/>
    </row>
    <row r="30" spans="1:3" ht="15" x14ac:dyDescent="0.25">
      <c r="A30" s="9" t="s">
        <v>4</v>
      </c>
      <c r="B30"/>
      <c r="C30"/>
    </row>
    <row r="31" spans="1:3" ht="15" x14ac:dyDescent="0.25">
      <c r="A31" s="11">
        <v>44501</v>
      </c>
      <c r="B31"/>
      <c r="C31"/>
    </row>
    <row r="32" spans="1:3" ht="15" x14ac:dyDescent="0.25">
      <c r="A32" s="11">
        <v>44531</v>
      </c>
      <c r="B32"/>
      <c r="C32"/>
    </row>
    <row r="33" spans="1:3" ht="15" x14ac:dyDescent="0.25">
      <c r="A33" s="11">
        <v>44562</v>
      </c>
      <c r="B33"/>
      <c r="C33"/>
    </row>
    <row r="34" spans="1:3" ht="15" x14ac:dyDescent="0.25">
      <c r="A34" s="11">
        <v>44593</v>
      </c>
      <c r="B34"/>
      <c r="C34"/>
    </row>
    <row r="35" spans="1:3" ht="15" x14ac:dyDescent="0.25">
      <c r="A35" s="11">
        <v>44621</v>
      </c>
      <c r="B35"/>
      <c r="C35"/>
    </row>
    <row r="36" spans="1:3" ht="15" x14ac:dyDescent="0.25">
      <c r="A36" s="11">
        <v>44652</v>
      </c>
      <c r="B36"/>
      <c r="C36"/>
    </row>
    <row r="37" spans="1:3" ht="15" x14ac:dyDescent="0.25">
      <c r="A37" s="11" t="s">
        <v>1</v>
      </c>
      <c r="B37"/>
      <c r="C37"/>
    </row>
    <row r="38" spans="1:3" ht="15" x14ac:dyDescent="0.25">
      <c r="A38"/>
      <c r="B38"/>
      <c r="C38"/>
    </row>
    <row r="42" spans="1:3" ht="15" x14ac:dyDescent="0.25">
      <c r="A42" s="9" t="s">
        <v>4</v>
      </c>
      <c r="B42"/>
      <c r="C42"/>
    </row>
    <row r="43" spans="1:3" ht="15" x14ac:dyDescent="0.25">
      <c r="A43" s="11">
        <v>44621</v>
      </c>
      <c r="B43"/>
      <c r="C43"/>
    </row>
    <row r="44" spans="1:3" ht="15" x14ac:dyDescent="0.25">
      <c r="A44" s="11">
        <v>44652</v>
      </c>
      <c r="B44"/>
      <c r="C44"/>
    </row>
    <row r="45" spans="1:3" ht="15" x14ac:dyDescent="0.25">
      <c r="A45" s="11" t="s">
        <v>1</v>
      </c>
      <c r="B45"/>
      <c r="C45"/>
    </row>
    <row r="46" spans="1:3" ht="15" x14ac:dyDescent="0.25">
      <c r="A46"/>
      <c r="B46"/>
      <c r="C46"/>
    </row>
    <row r="51" spans="1:3" ht="15" x14ac:dyDescent="0.25">
      <c r="A51" s="9" t="s">
        <v>4</v>
      </c>
      <c r="B51"/>
      <c r="C51"/>
    </row>
    <row r="52" spans="1:3" ht="15" x14ac:dyDescent="0.25">
      <c r="A52" s="11">
        <v>44470</v>
      </c>
      <c r="B52"/>
      <c r="C52"/>
    </row>
    <row r="53" spans="1:3" ht="15" x14ac:dyDescent="0.25">
      <c r="A53" s="11">
        <v>44501</v>
      </c>
      <c r="B53"/>
      <c r="C53"/>
    </row>
    <row r="54" spans="1:3" ht="15" x14ac:dyDescent="0.25">
      <c r="A54" s="11">
        <v>44531</v>
      </c>
      <c r="B54"/>
      <c r="C54"/>
    </row>
    <row r="55" spans="1:3" ht="15" x14ac:dyDescent="0.25">
      <c r="A55" s="11">
        <v>44562</v>
      </c>
      <c r="B55"/>
    </row>
    <row r="56" spans="1:3" ht="15" x14ac:dyDescent="0.25">
      <c r="A56" s="11">
        <v>44593</v>
      </c>
      <c r="B56"/>
    </row>
    <row r="57" spans="1:3" ht="15" x14ac:dyDescent="0.25">
      <c r="A57" s="11">
        <v>44621</v>
      </c>
      <c r="B57"/>
    </row>
    <row r="58" spans="1:3" ht="15" x14ac:dyDescent="0.25">
      <c r="A58" s="11">
        <v>44652</v>
      </c>
      <c r="B58"/>
    </row>
    <row r="59" spans="1:3" ht="15" x14ac:dyDescent="0.25">
      <c r="A59" s="11">
        <v>44682</v>
      </c>
      <c r="B59"/>
    </row>
    <row r="60" spans="1:3" ht="15" x14ac:dyDescent="0.25">
      <c r="A60" s="11">
        <v>44713</v>
      </c>
      <c r="B60"/>
    </row>
    <row r="61" spans="1:3" ht="15" x14ac:dyDescent="0.25">
      <c r="A61" s="11">
        <v>44743</v>
      </c>
      <c r="B61"/>
    </row>
    <row r="62" spans="1:3" ht="15" x14ac:dyDescent="0.25">
      <c r="A62" s="11">
        <v>44774</v>
      </c>
      <c r="B62"/>
    </row>
    <row r="63" spans="1:3" ht="15" x14ac:dyDescent="0.25">
      <c r="A63" s="11">
        <v>44805</v>
      </c>
      <c r="B63"/>
    </row>
    <row r="64" spans="1:3" ht="15" x14ac:dyDescent="0.25">
      <c r="A64" s="11">
        <v>44835</v>
      </c>
      <c r="B64"/>
    </row>
    <row r="65" spans="1:2" ht="15" x14ac:dyDescent="0.25">
      <c r="A65" s="11">
        <v>44866</v>
      </c>
      <c r="B65"/>
    </row>
    <row r="66" spans="1:2" ht="15" x14ac:dyDescent="0.25">
      <c r="A66" s="11">
        <v>44896</v>
      </c>
      <c r="B66"/>
    </row>
    <row r="67" spans="1:2" ht="15" x14ac:dyDescent="0.25">
      <c r="A67" s="11">
        <v>44927</v>
      </c>
      <c r="B67"/>
    </row>
    <row r="68" spans="1:2" ht="15" x14ac:dyDescent="0.25">
      <c r="A68" s="11">
        <v>44958</v>
      </c>
      <c r="B68"/>
    </row>
    <row r="69" spans="1:2" ht="15" x14ac:dyDescent="0.25">
      <c r="A69" s="11">
        <v>44986</v>
      </c>
      <c r="B69"/>
    </row>
    <row r="70" spans="1:2" ht="15" x14ac:dyDescent="0.25">
      <c r="A70" s="11">
        <v>45017</v>
      </c>
      <c r="B70"/>
    </row>
    <row r="71" spans="1:2" ht="15" x14ac:dyDescent="0.25">
      <c r="A71" s="11">
        <v>45047</v>
      </c>
      <c r="B71"/>
    </row>
    <row r="72" spans="1:2" ht="15" x14ac:dyDescent="0.25">
      <c r="A72" s="11">
        <v>45078</v>
      </c>
      <c r="B72"/>
    </row>
    <row r="73" spans="1:2" ht="15" x14ac:dyDescent="0.25">
      <c r="A73" s="11">
        <v>45108</v>
      </c>
      <c r="B73"/>
    </row>
    <row r="74" spans="1:2" ht="15" x14ac:dyDescent="0.25">
      <c r="A74" s="11">
        <v>45139</v>
      </c>
      <c r="B74"/>
    </row>
    <row r="75" spans="1:2" ht="15" x14ac:dyDescent="0.25">
      <c r="A75" s="11">
        <v>45170</v>
      </c>
      <c r="B75"/>
    </row>
    <row r="76" spans="1:2" ht="15" x14ac:dyDescent="0.25">
      <c r="A76" s="11">
        <v>45200</v>
      </c>
      <c r="B76"/>
    </row>
    <row r="77" spans="1:2" ht="15" x14ac:dyDescent="0.25">
      <c r="A77" s="11">
        <v>45231</v>
      </c>
      <c r="B77"/>
    </row>
    <row r="78" spans="1:2" ht="15" x14ac:dyDescent="0.25">
      <c r="A78" s="11" t="s">
        <v>1</v>
      </c>
      <c r="B78"/>
    </row>
    <row r="79" spans="1:2" ht="15" x14ac:dyDescent="0.25">
      <c r="A79"/>
      <c r="B79"/>
    </row>
    <row r="80" spans="1:2" ht="15" x14ac:dyDescent="0.25">
      <c r="A80"/>
      <c r="B80"/>
    </row>
    <row r="81" spans="1:2" ht="15" x14ac:dyDescent="0.25">
      <c r="A81"/>
      <c r="B81"/>
    </row>
    <row r="82" spans="1:2" ht="15" x14ac:dyDescent="0.25">
      <c r="A82"/>
      <c r="B82"/>
    </row>
    <row r="83" spans="1:2" ht="15" x14ac:dyDescent="0.25">
      <c r="A83"/>
      <c r="B83"/>
    </row>
    <row r="84" spans="1:2" ht="15" x14ac:dyDescent="0.25">
      <c r="A84"/>
      <c r="B84"/>
    </row>
    <row r="85" spans="1:2" ht="15" x14ac:dyDescent="0.25">
      <c r="A85"/>
      <c r="B85"/>
    </row>
    <row r="86" spans="1:2" ht="15" x14ac:dyDescent="0.25">
      <c r="A86"/>
      <c r="B86"/>
    </row>
    <row r="87" spans="1:2" ht="15" x14ac:dyDescent="0.25">
      <c r="A87"/>
      <c r="B87"/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5F0DA5B799EA40857AA8A11C3B0FA5" ma:contentTypeVersion="13" ma:contentTypeDescription="Create a new document." ma:contentTypeScope="" ma:versionID="30bbe59ded5c0987ad029a6631c5eb04">
  <xsd:schema xmlns:xsd="http://www.w3.org/2001/XMLSchema" xmlns:xs="http://www.w3.org/2001/XMLSchema" xmlns:p="http://schemas.microsoft.com/office/2006/metadata/properties" xmlns:ns3="49fbe85d-15eb-4cf2-a742-49f00e4195f8" xmlns:ns4="b45e25f3-56bb-4d1f-9678-39243915eda9" targetNamespace="http://schemas.microsoft.com/office/2006/metadata/properties" ma:root="true" ma:fieldsID="46da4434683284d3bbf9ea54e9c203b4" ns3:_="" ns4:_="">
    <xsd:import namespace="49fbe85d-15eb-4cf2-a742-49f00e4195f8"/>
    <xsd:import namespace="b45e25f3-56bb-4d1f-9678-39243915eda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fbe85d-15eb-4cf2-a742-49f00e4195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5e25f3-56bb-4d1f-9678-39243915eda9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Props1.xml><?xml version="1.0" encoding="utf-8"?>
<ds:datastoreItem xmlns:ds="http://schemas.openxmlformats.org/officeDocument/2006/customXml" ds:itemID="{BEAB7293-19D9-402A-BF85-2102C6166630}">
  <ds:schemaRefs>
    <ds:schemaRef ds:uri="http://gemini/pivotcustomization/2999fcbb-3018-4195-b968-428303e982b8"/>
  </ds:schemaRefs>
</ds:datastoreItem>
</file>

<file path=customXml/itemProps2.xml><?xml version="1.0" encoding="utf-8"?>
<ds:datastoreItem xmlns:ds="http://schemas.openxmlformats.org/officeDocument/2006/customXml" ds:itemID="{6D5DDB64-36C6-4BE7-8A07-47A33BF1C7CE}">
  <ds:schemaRefs>
    <ds:schemaRef ds:uri="http://gemini/pivotcustomization/b1113671-1090-4c3e-a3b3-4f441c504bc7"/>
  </ds:schemaRefs>
</ds:datastoreItem>
</file>

<file path=customXml/itemProps3.xml><?xml version="1.0" encoding="utf-8"?>
<ds:datastoreItem xmlns:ds="http://schemas.openxmlformats.org/officeDocument/2006/customXml" ds:itemID="{FE1F316B-8B12-42C3-97B6-6E692A4495DB}">
  <ds:schemaRefs>
    <ds:schemaRef ds:uri="http://gemini/pivotcustomization/TableXML_Invoice Tracker_07bf347b-7e46-4151-883b-855b2779854d"/>
  </ds:schemaRefs>
</ds:datastoreItem>
</file>

<file path=customXml/itemProps4.xml><?xml version="1.0" encoding="utf-8"?>
<ds:datastoreItem xmlns:ds="http://schemas.openxmlformats.org/officeDocument/2006/customXml" ds:itemID="{7F1D604E-6A6A-4960-B30F-A92D401E8296}">
  <ds:schemaRefs>
    <ds:schemaRef ds:uri="http://gemini/pivotcustomization/ClientWindowXML"/>
  </ds:schemaRefs>
</ds:datastoreItem>
</file>

<file path=customXml/itemProps5.xml><?xml version="1.0" encoding="utf-8"?>
<ds:datastoreItem xmlns:ds="http://schemas.openxmlformats.org/officeDocument/2006/customXml" ds:itemID="{B547842A-0766-462D-A295-504E0352B606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A4336FDA-1664-4421-8768-779046EF8B47}">
  <ds:schemaRefs>
    <ds:schemaRef ds:uri="http://gemini/pivotcustomization/8ed2f758-c230-4d64-8b5b-8f808af64682"/>
  </ds:schemaRefs>
</ds:datastoreItem>
</file>

<file path=customXml/itemProps7.xml><?xml version="1.0" encoding="utf-8"?>
<ds:datastoreItem xmlns:ds="http://schemas.openxmlformats.org/officeDocument/2006/customXml" ds:itemID="{4B011262-D72A-41AC-9798-D864B1D45D7E}">
  <ds:schemaRefs>
    <ds:schemaRef ds:uri="http://gemini/pivotcustomization/80c79bf3-b226-4a5c-b91e-fd44acda5782"/>
  </ds:schemaRefs>
</ds:datastoreItem>
</file>

<file path=customXml/itemProps8.xml><?xml version="1.0" encoding="utf-8"?>
<ds:datastoreItem xmlns:ds="http://schemas.openxmlformats.org/officeDocument/2006/customXml" ds:itemID="{5DB337DD-9F00-4DFE-8D7E-93E6B6E89866}">
  <ds:schemaRefs>
    <ds:schemaRef ds:uri="http://gemini/pivotcustomization/4e3f9ace-fd0f-4b6b-b9fb-e9147037de1f"/>
  </ds:schemaRefs>
</ds:datastoreItem>
</file>

<file path=customXml/itemProps9.xml><?xml version="1.0" encoding="utf-8"?>
<ds:datastoreItem xmlns:ds="http://schemas.openxmlformats.org/officeDocument/2006/customXml" ds:itemID="{2C46DF77-7267-4BB9-BAA5-D8963D6F5E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9fbe85d-15eb-4cf2-a742-49f00e4195f8"/>
    <ds:schemaRef ds:uri="b45e25f3-56bb-4d1f-9678-39243915ed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0.xml><?xml version="1.0" encoding="utf-8"?>
<ds:datastoreItem xmlns:ds="http://schemas.openxmlformats.org/officeDocument/2006/customXml" ds:itemID="{71912BF0-B6DC-4E4C-B823-96A4756AA99E}">
  <ds:schemaRefs>
    <ds:schemaRef ds:uri="http://gemini/pivotcustomization/049cba44-558d-4513-84fd-949739563663"/>
  </ds:schemaRefs>
</ds:datastoreItem>
</file>

<file path=customXml/itemProps11.xml><?xml version="1.0" encoding="utf-8"?>
<ds:datastoreItem xmlns:ds="http://schemas.openxmlformats.org/officeDocument/2006/customXml" ds:itemID="{527444A4-673C-44E4-9A6D-29E3350E9BAF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9FEF20A1-7BF3-42E8-B421-4F032F0EB6B7}">
  <ds:schemaRefs>
    <ds:schemaRef ds:uri="http://gemini/pivotcustomization/ErrorCache"/>
  </ds:schemaRefs>
</ds:datastoreItem>
</file>

<file path=customXml/itemProps13.xml><?xml version="1.0" encoding="utf-8"?>
<ds:datastoreItem xmlns:ds="http://schemas.openxmlformats.org/officeDocument/2006/customXml" ds:itemID="{C887E164-B654-4019-8254-3C60C5AA22EE}">
  <ds:schemaRefs>
    <ds:schemaRef ds:uri="http://gemini/pivotcustomization/1799fe8e-f9a7-46d7-8016-631f79d1d6b1"/>
  </ds:schemaRefs>
</ds:datastoreItem>
</file>

<file path=customXml/itemProps14.xml><?xml version="1.0" encoding="utf-8"?>
<ds:datastoreItem xmlns:ds="http://schemas.openxmlformats.org/officeDocument/2006/customXml" ds:itemID="{F2F964E1-462A-4FD3-AF5E-84C98DA3B2F5}">
  <ds:schemaRefs>
    <ds:schemaRef ds:uri="http://gemini/pivotcustomization/TableWidget"/>
  </ds:schemaRefs>
</ds:datastoreItem>
</file>

<file path=customXml/itemProps15.xml><?xml version="1.0" encoding="utf-8"?>
<ds:datastoreItem xmlns:ds="http://schemas.openxmlformats.org/officeDocument/2006/customXml" ds:itemID="{D303BEDB-F055-4478-AE34-0ACCAFCCD029}">
  <ds:schemaRefs>
    <ds:schemaRef ds:uri="http://gemini/pivotcustomization/07512e77-57a8-4f3c-b839-3be44830260f"/>
  </ds:schemaRefs>
</ds:datastoreItem>
</file>

<file path=customXml/itemProps16.xml><?xml version="1.0" encoding="utf-8"?>
<ds:datastoreItem xmlns:ds="http://schemas.openxmlformats.org/officeDocument/2006/customXml" ds:itemID="{0114F57E-9BB3-4AC2-AF75-CFBE84F169C6}">
  <ds:schemaRefs>
    <ds:schemaRef ds:uri="http://gemini/pivotcustomization/1ca3ea60-55c6-44e0-97c5-5abf2a214bbe"/>
  </ds:schemaRefs>
</ds:datastoreItem>
</file>

<file path=customXml/itemProps17.xml><?xml version="1.0" encoding="utf-8"?>
<ds:datastoreItem xmlns:ds="http://schemas.openxmlformats.org/officeDocument/2006/customXml" ds:itemID="{859D68CC-E7DD-4A88-A8AD-779227D87DBD}">
  <ds:schemaRefs>
    <ds:schemaRef ds:uri="http://gemini/pivotcustomization/880c7539-ef7a-4679-b306-4f53372a501c"/>
  </ds:schemaRefs>
</ds:datastoreItem>
</file>

<file path=customXml/itemProps18.xml><?xml version="1.0" encoding="utf-8"?>
<ds:datastoreItem xmlns:ds="http://schemas.openxmlformats.org/officeDocument/2006/customXml" ds:itemID="{FAF81FE6-2A92-4217-A681-97EBF19A7584}">
  <ds:schemaRefs>
    <ds:schemaRef ds:uri="http://gemini/pivotcustomization/ShowHidden"/>
  </ds:schemaRefs>
</ds:datastoreItem>
</file>

<file path=customXml/itemProps19.xml><?xml version="1.0" encoding="utf-8"?>
<ds:datastoreItem xmlns:ds="http://schemas.openxmlformats.org/officeDocument/2006/customXml" ds:itemID="{ABA77C99-4DC0-49AA-9946-16140FD6FA01}">
  <ds:schemaRefs>
    <ds:schemaRef ds:uri="http://gemini/pivotcustomization/ddb49bcb-6578-4e04-9d64-28781d3249e5"/>
  </ds:schemaRefs>
</ds:datastoreItem>
</file>

<file path=customXml/itemProps20.xml><?xml version="1.0" encoding="utf-8"?>
<ds:datastoreItem xmlns:ds="http://schemas.openxmlformats.org/officeDocument/2006/customXml" ds:itemID="{071C81BF-4112-4ABB-A53D-64C800491AF8}">
  <ds:schemaRefs>
    <ds:schemaRef ds:uri="http://gemini/pivotcustomization/8b001d3e-2ed7-4cf5-bf71-a1e7f48b77c3"/>
  </ds:schemaRefs>
</ds:datastoreItem>
</file>

<file path=customXml/itemProps21.xml><?xml version="1.0" encoding="utf-8"?>
<ds:datastoreItem xmlns:ds="http://schemas.openxmlformats.org/officeDocument/2006/customXml" ds:itemID="{1898DC30-E9F3-408F-B3DD-9B03A9132986}">
  <ds:schemaRefs>
    <ds:schemaRef ds:uri="http://gemini/pivotcustomization/dc8069ee-c7c8-4259-a306-aafabc5807be"/>
  </ds:schemaRefs>
</ds:datastoreItem>
</file>

<file path=customXml/itemProps22.xml><?xml version="1.0" encoding="utf-8"?>
<ds:datastoreItem xmlns:ds="http://schemas.openxmlformats.org/officeDocument/2006/customXml" ds:itemID="{EDBDEA0E-02B9-4206-B2E5-237BE5743E80}">
  <ds:schemaRefs>
    <ds:schemaRef ds:uri="http://gemini/pivotcustomization/fcd85117-a7fc-4357-b60a-e06575b9780f"/>
  </ds:schemaRefs>
</ds:datastoreItem>
</file>

<file path=customXml/itemProps23.xml><?xml version="1.0" encoding="utf-8"?>
<ds:datastoreItem xmlns:ds="http://schemas.openxmlformats.org/officeDocument/2006/customXml" ds:itemID="{16D73F9A-A43C-47D9-A7DE-6C8A95E7F863}">
  <ds:schemaRefs>
    <ds:schemaRef ds:uri="http://gemini/pivotcustomization/8793a614-9e07-43b8-8c17-5067b2d43e15"/>
  </ds:schemaRefs>
</ds:datastoreItem>
</file>

<file path=customXml/itemProps24.xml><?xml version="1.0" encoding="utf-8"?>
<ds:datastoreItem xmlns:ds="http://schemas.openxmlformats.org/officeDocument/2006/customXml" ds:itemID="{37B5A11E-E56A-45B4-92F0-3E3263C21EC1}">
  <ds:schemaRefs>
    <ds:schemaRef ds:uri="http://gemini/pivotcustomization/aed8d133-7c92-4e55-b30d-3925a08f2918"/>
  </ds:schemaRefs>
</ds:datastoreItem>
</file>

<file path=customXml/itemProps25.xml><?xml version="1.0" encoding="utf-8"?>
<ds:datastoreItem xmlns:ds="http://schemas.openxmlformats.org/officeDocument/2006/customXml" ds:itemID="{37000FCF-43C0-42F0-9E7B-BB548A34AA8C}">
  <ds:schemaRefs>
    <ds:schemaRef ds:uri="http://gemini/pivotcustomization/TableXML_Revenue_ff8ecd52-114b-42a4-8983-5a75727a01d3"/>
  </ds:schemaRefs>
</ds:datastoreItem>
</file>

<file path=customXml/itemProps26.xml><?xml version="1.0" encoding="utf-8"?>
<ds:datastoreItem xmlns:ds="http://schemas.openxmlformats.org/officeDocument/2006/customXml" ds:itemID="{2565AABD-08AF-43C4-8B46-C3131C43F1F6}">
  <ds:schemaRefs>
    <ds:schemaRef ds:uri="http://gemini/pivotcustomization/976f8c92-5687-48d1-be94-ba700f0a4cb7"/>
  </ds:schemaRefs>
</ds:datastoreItem>
</file>

<file path=customXml/itemProps27.xml><?xml version="1.0" encoding="utf-8"?>
<ds:datastoreItem xmlns:ds="http://schemas.openxmlformats.org/officeDocument/2006/customXml" ds:itemID="{58D868EF-C389-4BCA-BEF7-522EA4F4C850}">
  <ds:schemaRefs>
    <ds:schemaRef ds:uri="http://gemini/pivotcustomization/2dfaf9a3-4f57-45ea-836e-e915fdaa871d"/>
  </ds:schemaRefs>
</ds:datastoreItem>
</file>

<file path=customXml/itemProps28.xml><?xml version="1.0" encoding="utf-8"?>
<ds:datastoreItem xmlns:ds="http://schemas.openxmlformats.org/officeDocument/2006/customXml" ds:itemID="{1E123B3F-225D-4072-A39D-3D76DAB2D5FE}">
  <ds:schemaRefs>
    <ds:schemaRef ds:uri="http://gemini/pivotcustomization/2f398af0-62f2-4149-a823-0736662250e5"/>
  </ds:schemaRefs>
</ds:datastoreItem>
</file>

<file path=customXml/itemProps29.xml><?xml version="1.0" encoding="utf-8"?>
<ds:datastoreItem xmlns:ds="http://schemas.openxmlformats.org/officeDocument/2006/customXml" ds:itemID="{E9BB76C6-220E-49C8-AF22-F0DB986830A1}">
  <ds:schemaRefs>
    <ds:schemaRef ds:uri="http://gemini/pivotcustomization/a9052466-e95e-467f-b753-ed3f757b7b31"/>
  </ds:schemaRefs>
</ds:datastoreItem>
</file>

<file path=customXml/itemProps30.xml><?xml version="1.0" encoding="utf-8"?>
<ds:datastoreItem xmlns:ds="http://schemas.openxmlformats.org/officeDocument/2006/customXml" ds:itemID="{38BF0E09-DAEC-487A-8A82-BEC7D42640A8}">
  <ds:schemaRefs>
    <ds:schemaRef ds:uri="http://gemini/pivotcustomization/53f9329a-86ba-41ec-addf-5b1675d091eb"/>
  </ds:schemaRefs>
</ds:datastoreItem>
</file>

<file path=customXml/itemProps31.xml><?xml version="1.0" encoding="utf-8"?>
<ds:datastoreItem xmlns:ds="http://schemas.openxmlformats.org/officeDocument/2006/customXml" ds:itemID="{00B95282-7241-4451-8642-C4812179AD34}">
  <ds:schemaRefs>
    <ds:schemaRef ds:uri="http://gemini/pivotcustomization/MeasureGridState"/>
  </ds:schemaRefs>
</ds:datastoreItem>
</file>

<file path=customXml/itemProps32.xml><?xml version="1.0" encoding="utf-8"?>
<ds:datastoreItem xmlns:ds="http://schemas.openxmlformats.org/officeDocument/2006/customXml" ds:itemID="{16B4D0D2-D90E-42B7-98A2-E08F5371D8B6}">
  <ds:schemaRefs>
    <ds:schemaRef ds:uri="http://gemini/pivotcustomization/8b081fb4-cae1-41f4-9669-52b2ec2f54a3"/>
  </ds:schemaRefs>
</ds:datastoreItem>
</file>

<file path=customXml/itemProps33.xml><?xml version="1.0" encoding="utf-8"?>
<ds:datastoreItem xmlns:ds="http://schemas.openxmlformats.org/officeDocument/2006/customXml" ds:itemID="{4B27184E-80F5-4550-93F6-1E86BEDBDE33}">
  <ds:schemaRefs>
    <ds:schemaRef ds:uri="http://gemini/pivotcustomization/0caec2e6-58f5-4a3a-a75b-e06dce7ba949"/>
  </ds:schemaRefs>
</ds:datastoreItem>
</file>

<file path=customXml/itemProps34.xml><?xml version="1.0" encoding="utf-8"?>
<ds:datastoreItem xmlns:ds="http://schemas.openxmlformats.org/officeDocument/2006/customXml" ds:itemID="{8F3DB65B-33FA-4DBB-BDDD-D5A9E67B35E9}">
  <ds:schemaRefs>
    <ds:schemaRef ds:uri="http://gemini/pivotcustomization/de95c63b-4e18-4b2d-9f21-5014a5f2f1c4"/>
  </ds:schemaRefs>
</ds:datastoreItem>
</file>

<file path=customXml/itemProps35.xml><?xml version="1.0" encoding="utf-8"?>
<ds:datastoreItem xmlns:ds="http://schemas.openxmlformats.org/officeDocument/2006/customXml" ds:itemID="{4F9E75E6-5081-4C09-AACA-4C8E1E9403C9}">
  <ds:schemaRefs>
    <ds:schemaRef ds:uri="http://gemini/pivotcustomization/1150f5f7-da95-45a5-9d51-eed677676cbf"/>
  </ds:schemaRefs>
</ds:datastoreItem>
</file>

<file path=customXml/itemProps36.xml><?xml version="1.0" encoding="utf-8"?>
<ds:datastoreItem xmlns:ds="http://schemas.openxmlformats.org/officeDocument/2006/customXml" ds:itemID="{D59185FD-2834-4F57-9ABD-771B3BC46C79}">
  <ds:schemaRefs>
    <ds:schemaRef ds:uri="http://gemini/pivotcustomization/PowerPivotVersion"/>
  </ds:schemaRefs>
</ds:datastoreItem>
</file>

<file path=customXml/itemProps37.xml><?xml version="1.0" encoding="utf-8"?>
<ds:datastoreItem xmlns:ds="http://schemas.openxmlformats.org/officeDocument/2006/customXml" ds:itemID="{081F7BE1-0805-410C-A968-BC0A4ED5A428}">
  <ds:schemaRefs>
    <ds:schemaRef ds:uri="http://gemini/pivotcustomization/56e91405-11fe-46c2-8b31-487987b44d4f"/>
  </ds:schemaRefs>
</ds:datastoreItem>
</file>

<file path=customXml/itemProps38.xml><?xml version="1.0" encoding="utf-8"?>
<ds:datastoreItem xmlns:ds="http://schemas.openxmlformats.org/officeDocument/2006/customXml" ds:itemID="{4CE027DB-ED2D-40EC-84B4-46F12B87F84A}">
  <ds:schemaRefs>
    <ds:schemaRef ds:uri="http://gemini/pivotcustomization/4c48141a-3cdd-4f16-bfff-b38e9d61e12c"/>
  </ds:schemaRefs>
</ds:datastoreItem>
</file>

<file path=customXml/itemProps39.xml><?xml version="1.0" encoding="utf-8"?>
<ds:datastoreItem xmlns:ds="http://schemas.openxmlformats.org/officeDocument/2006/customXml" ds:itemID="{77B9FF06-D08D-4D2A-8034-99C7290FEAD1}">
  <ds:schemaRefs>
    <ds:schemaRef ds:uri="http://gemini/pivotcustomization/c3adb32e-b0c4-44e0-a3d7-4de5e3504c19"/>
  </ds:schemaRefs>
</ds:datastoreItem>
</file>

<file path=customXml/itemProps40.xml><?xml version="1.0" encoding="utf-8"?>
<ds:datastoreItem xmlns:ds="http://schemas.openxmlformats.org/officeDocument/2006/customXml" ds:itemID="{A271C0C0-6038-484F-BFA6-6772EE621C59}">
  <ds:schemaRefs>
    <ds:schemaRef ds:uri="http://gemini/pivotcustomization/10a65a77-c23a-44c0-8d8b-ac4d2599bc92"/>
  </ds:schemaRefs>
</ds:datastoreItem>
</file>

<file path=customXml/itemProps41.xml><?xml version="1.0" encoding="utf-8"?>
<ds:datastoreItem xmlns:ds="http://schemas.openxmlformats.org/officeDocument/2006/customXml" ds:itemID="{035A5637-0491-46A9-A6A8-EF5BD5714CEF}">
  <ds:schemaRefs>
    <ds:schemaRef ds:uri="http://gemini/pivotcustomization/35151c93-62e9-4f5c-af74-07b4713c1bc5"/>
  </ds:schemaRefs>
</ds:datastoreItem>
</file>

<file path=customXml/itemProps42.xml><?xml version="1.0" encoding="utf-8"?>
<ds:datastoreItem xmlns:ds="http://schemas.openxmlformats.org/officeDocument/2006/customXml" ds:itemID="{D3569D3C-6136-4F4E-95A6-40E3669E5750}">
  <ds:schemaRefs>
    <ds:schemaRef ds:uri="http://gemini/pivotcustomization/5cc283e3-e1a4-4cea-b776-4b1862c91e46"/>
  </ds:schemaRefs>
</ds:datastoreItem>
</file>

<file path=customXml/itemProps43.xml><?xml version="1.0" encoding="utf-8"?>
<ds:datastoreItem xmlns:ds="http://schemas.openxmlformats.org/officeDocument/2006/customXml" ds:itemID="{3D52C8C4-A688-4BC9-810C-8D278FE57324}">
  <ds:schemaRefs>
    <ds:schemaRef ds:uri="http://gemini/pivotcustomization/RelationshipAutoDetectionEnabled"/>
  </ds:schemaRefs>
</ds:datastoreItem>
</file>

<file path=customXml/itemProps44.xml><?xml version="1.0" encoding="utf-8"?>
<ds:datastoreItem xmlns:ds="http://schemas.openxmlformats.org/officeDocument/2006/customXml" ds:itemID="{C76C8720-9E1C-45BF-B498-5878DC4635DC}">
  <ds:schemaRefs>
    <ds:schemaRef ds:uri="http://gemini/pivotcustomization/c529e9ab-fdd7-4e0f-a0f3-c896d6a20a60"/>
  </ds:schemaRefs>
</ds:datastoreItem>
</file>

<file path=customXml/itemProps45.xml><?xml version="1.0" encoding="utf-8"?>
<ds:datastoreItem xmlns:ds="http://schemas.openxmlformats.org/officeDocument/2006/customXml" ds:itemID="{34F1E132-B2AC-4444-8C8D-C343981D4E1E}">
  <ds:schemaRefs>
    <ds:schemaRef ds:uri="http://gemini/pivotcustomization/LinkedTableUpdateMode"/>
  </ds:schemaRefs>
</ds:datastoreItem>
</file>

<file path=customXml/itemProps46.xml><?xml version="1.0" encoding="utf-8"?>
<ds:datastoreItem xmlns:ds="http://schemas.openxmlformats.org/officeDocument/2006/customXml" ds:itemID="{53FCDD71-633C-4AB0-9357-7C2201EA3A46}">
  <ds:schemaRefs>
    <ds:schemaRef ds:uri="http://gemini/pivotcustomization/baa24f6a-f4b6-4c09-955c-8d23c41b7206"/>
  </ds:schemaRefs>
</ds:datastoreItem>
</file>

<file path=customXml/itemProps47.xml><?xml version="1.0" encoding="utf-8"?>
<ds:datastoreItem xmlns:ds="http://schemas.openxmlformats.org/officeDocument/2006/customXml" ds:itemID="{535D8498-B381-4503-9F81-12AD693C2BF6}">
  <ds:schemaRefs>
    <ds:schemaRef ds:uri="http://gemini/pivotcustomization/fc9de0b7-7d42-41d6-b207-b00bdd5612d0"/>
  </ds:schemaRefs>
</ds:datastoreItem>
</file>

<file path=customXml/itemProps48.xml><?xml version="1.0" encoding="utf-8"?>
<ds:datastoreItem xmlns:ds="http://schemas.openxmlformats.org/officeDocument/2006/customXml" ds:itemID="{758DC4D8-5D19-4B86-B08E-3712D89CF794}">
  <ds:schemaRefs>
    <ds:schemaRef ds:uri="http://gemini/pivotcustomization/36c80072-5940-4931-8c30-14198a7bf926"/>
  </ds:schemaRefs>
</ds:datastoreItem>
</file>

<file path=customXml/itemProps49.xml><?xml version="1.0" encoding="utf-8"?>
<ds:datastoreItem xmlns:ds="http://schemas.openxmlformats.org/officeDocument/2006/customXml" ds:itemID="{9BA3FEF5-4061-4737-BBE4-46762CF685F6}">
  <ds:schemaRefs>
    <ds:schemaRef ds:uri="http://gemini/pivotcustomization/a8a91574-f643-4806-bf13-2834bf385115"/>
  </ds:schemaRefs>
</ds:datastoreItem>
</file>

<file path=customXml/itemProps50.xml><?xml version="1.0" encoding="utf-8"?>
<ds:datastoreItem xmlns:ds="http://schemas.openxmlformats.org/officeDocument/2006/customXml" ds:itemID="{63E32F34-A290-4236-91AF-32A567A21569}">
  <ds:schemaRefs>
    <ds:schemaRef ds:uri="http://gemini/pivotcustomization/626c4a4d-53bc-4226-8c84-e061d3912562"/>
  </ds:schemaRefs>
</ds:datastoreItem>
</file>

<file path=customXml/itemProps51.xml><?xml version="1.0" encoding="utf-8"?>
<ds:datastoreItem xmlns:ds="http://schemas.openxmlformats.org/officeDocument/2006/customXml" ds:itemID="{B05CB8EA-4838-4CE1-9291-9FE04D5C060A}">
  <ds:schemaRefs>
    <ds:schemaRef ds:uri="http://gemini/pivotcustomization/TableOrder"/>
  </ds:schemaRefs>
</ds:datastoreItem>
</file>

<file path=customXml/itemProps52.xml><?xml version="1.0" encoding="utf-8"?>
<ds:datastoreItem xmlns:ds="http://schemas.openxmlformats.org/officeDocument/2006/customXml" ds:itemID="{E5263FC7-9C84-4CF5-AF66-3DA66AFB6E1A}">
  <ds:schemaRefs>
    <ds:schemaRef ds:uri="http://gemini/pivotcustomization/94608166-5b94-4a88-af93-7a3914e0d442"/>
  </ds:schemaRefs>
</ds:datastoreItem>
</file>

<file path=customXml/itemProps53.xml><?xml version="1.0" encoding="utf-8"?>
<ds:datastoreItem xmlns:ds="http://schemas.openxmlformats.org/officeDocument/2006/customXml" ds:itemID="{1FD5A016-B8E8-4879-B12D-8FB6E511CBF0}">
  <ds:schemaRefs>
    <ds:schemaRef ds:uri="http://gemini/pivotcustomization/6650ccb0-34c3-4640-ac23-f70ddd9440cf"/>
  </ds:schemaRefs>
</ds:datastoreItem>
</file>

<file path=customXml/itemProps54.xml><?xml version="1.0" encoding="utf-8"?>
<ds:datastoreItem xmlns:ds="http://schemas.openxmlformats.org/officeDocument/2006/customXml" ds:itemID="{211E3B3D-2F02-4521-9C60-95B62F0C7A0C}">
  <ds:schemaRefs>
    <ds:schemaRef ds:uri="http://gemini/pivotcustomization/95d79fe3-62ae-4f45-80f9-17b0bc203124"/>
  </ds:schemaRefs>
</ds:datastoreItem>
</file>

<file path=customXml/itemProps55.xml><?xml version="1.0" encoding="utf-8"?>
<ds:datastoreItem xmlns:ds="http://schemas.openxmlformats.org/officeDocument/2006/customXml" ds:itemID="{E1415498-3448-4065-8C9D-796EE6C8DC9E}">
  <ds:schemaRefs>
    <ds:schemaRef ds:uri="http://gemini/pivotcustomization/IsSandboxEmbedded"/>
  </ds:schemaRefs>
</ds:datastoreItem>
</file>

<file path=customXml/itemProps56.xml><?xml version="1.0" encoding="utf-8"?>
<ds:datastoreItem xmlns:ds="http://schemas.openxmlformats.org/officeDocument/2006/customXml" ds:itemID="{28491894-014F-4C49-AE94-D7271D0D66A2}">
  <ds:schemaRefs>
    <ds:schemaRef ds:uri="http://gemini/pivotcustomization/0902bd20-e6df-4042-8576-e578db8739d3"/>
  </ds:schemaRefs>
</ds:datastoreItem>
</file>

<file path=customXml/itemProps57.xml><?xml version="1.0" encoding="utf-8"?>
<ds:datastoreItem xmlns:ds="http://schemas.openxmlformats.org/officeDocument/2006/customXml" ds:itemID="{FEDEACA0-11B9-43DE-BBBD-156B4A9D776B}">
  <ds:schemaRefs>
    <ds:schemaRef ds:uri="http://gemini/pivotcustomization/c77d00b5-9598-461e-8bd4-9e24504757ba"/>
  </ds:schemaRefs>
</ds:datastoreItem>
</file>

<file path=customXml/itemProps58.xml><?xml version="1.0" encoding="utf-8"?>
<ds:datastoreItem xmlns:ds="http://schemas.openxmlformats.org/officeDocument/2006/customXml" ds:itemID="{F3F60B4B-843B-4D9F-9A8F-49AF90492F13}">
  <ds:schemaRefs>
    <ds:schemaRef ds:uri="http://gemini/pivotcustomization/FormulaBarState"/>
  </ds:schemaRefs>
</ds:datastoreItem>
</file>

<file path=customXml/itemProps59.xml><?xml version="1.0" encoding="utf-8"?>
<ds:datastoreItem xmlns:ds="http://schemas.openxmlformats.org/officeDocument/2006/customXml" ds:itemID="{48EB8C84-583E-4416-92AE-05A85A3EC1AD}">
  <ds:schemaRefs>
    <ds:schemaRef ds:uri="http://gemini/pivotcustomization/e39149f1-0f57-40af-9de3-29627a46eb24"/>
  </ds:schemaRefs>
</ds:datastoreItem>
</file>

<file path=customXml/itemProps60.xml><?xml version="1.0" encoding="utf-8"?>
<ds:datastoreItem xmlns:ds="http://schemas.openxmlformats.org/officeDocument/2006/customXml" ds:itemID="{B6D28B30-C4B3-4AAF-8A74-47149BE35644}">
  <ds:schemaRefs>
    <ds:schemaRef ds:uri="http://gemini/pivotcustomization/06d81e89-3392-4d14-b2d0-36277ad9cd10"/>
  </ds:schemaRefs>
</ds:datastoreItem>
</file>

<file path=customXml/itemProps61.xml><?xml version="1.0" encoding="utf-8"?>
<ds:datastoreItem xmlns:ds="http://schemas.openxmlformats.org/officeDocument/2006/customXml" ds:itemID="{FF40D961-7E31-4FD5-8BB4-D324B9BA1B89}">
  <ds:schemaRefs>
    <ds:schemaRef ds:uri="http://gemini/pivotcustomization/ManualCalcMode"/>
  </ds:schemaRefs>
</ds:datastoreItem>
</file>

<file path=customXml/itemProps62.xml><?xml version="1.0" encoding="utf-8"?>
<ds:datastoreItem xmlns:ds="http://schemas.openxmlformats.org/officeDocument/2006/customXml" ds:itemID="{7E8350B5-0605-41DF-91AB-D02DAAC3F419}">
  <ds:schemaRefs>
    <ds:schemaRef ds:uri="http://gemini/pivotcustomization/369db26b-29da-4e1b-a9c4-1821f143ff63"/>
  </ds:schemaRefs>
</ds:datastoreItem>
</file>

<file path=customXml/itemProps63.xml><?xml version="1.0" encoding="utf-8"?>
<ds:datastoreItem xmlns:ds="http://schemas.openxmlformats.org/officeDocument/2006/customXml" ds:itemID="{18AF03D6-0357-439C-A050-99C6403A3B1B}">
  <ds:schemaRefs>
    <ds:schemaRef ds:uri="http://gemini/pivotcustomization/d63921bd-f923-458a-ad4c-1316915804da"/>
  </ds:schemaRefs>
</ds:datastoreItem>
</file>

<file path=customXml/itemProps64.xml><?xml version="1.0" encoding="utf-8"?>
<ds:datastoreItem xmlns:ds="http://schemas.openxmlformats.org/officeDocument/2006/customXml" ds:itemID="{42B0E998-7AB0-4EB8-B671-7AF9AEBC802F}">
  <ds:schemaRefs>
    <ds:schemaRef ds:uri="http://gemini/pivotcustomization/d34d45b7-2a3c-481b-a365-5201f572b1ee"/>
  </ds:schemaRefs>
</ds:datastoreItem>
</file>

<file path=customXml/itemProps65.xml><?xml version="1.0" encoding="utf-8"?>
<ds:datastoreItem xmlns:ds="http://schemas.openxmlformats.org/officeDocument/2006/customXml" ds:itemID="{A209C1D3-F596-43E7-A05B-430A0E4A7F87}">
  <ds:schemaRefs>
    <ds:schemaRef ds:uri="http://gemini/pivotcustomization/1f8a8402-5d48-450d-9a19-981563cb6694"/>
  </ds:schemaRefs>
</ds:datastoreItem>
</file>

<file path=customXml/itemProps66.xml><?xml version="1.0" encoding="utf-8"?>
<ds:datastoreItem xmlns:ds="http://schemas.openxmlformats.org/officeDocument/2006/customXml" ds:itemID="{F2A43FD9-A55C-4B98-81E3-E946C5AB4589}">
  <ds:schemaRefs>
    <ds:schemaRef ds:uri="http://gemini/pivotcustomization/e3b7e3dc-d59c-450b-b366-052575bf9c76"/>
  </ds:schemaRefs>
</ds:datastoreItem>
</file>

<file path=customXml/itemProps67.xml><?xml version="1.0" encoding="utf-8"?>
<ds:datastoreItem xmlns:ds="http://schemas.openxmlformats.org/officeDocument/2006/customXml" ds:itemID="{999E03CE-02F2-4FD0-8CDB-078E2AE78C0D}">
  <ds:schemaRefs>
    <ds:schemaRef ds:uri="http://gemini/pivotcustomization/SandboxNonEmpty"/>
  </ds:schemaRefs>
</ds:datastoreItem>
</file>

<file path=customXml/itemProps68.xml><?xml version="1.0" encoding="utf-8"?>
<ds:datastoreItem xmlns:ds="http://schemas.openxmlformats.org/officeDocument/2006/customXml" ds:itemID="{39E9D098-29DD-44A4-A55A-74F37594F9EC}">
  <ds:schemaRefs>
    <ds:schemaRef ds:uri="http://gemini/pivotcustomization/c1441073-23dc-40af-9c48-852627568f33"/>
  </ds:schemaRefs>
</ds:datastoreItem>
</file>

<file path=customXml/itemProps69.xml><?xml version="1.0" encoding="utf-8"?>
<ds:datastoreItem xmlns:ds="http://schemas.openxmlformats.org/officeDocument/2006/customXml" ds:itemID="{965267ED-3DC8-4C2A-BA81-A85916CF3069}">
  <ds:schemaRefs>
    <ds:schemaRef ds:uri="http://gemini/pivotcustomization/ff87d6b5-cebd-43ce-b857-7e3e133efcf5"/>
  </ds:schemaRefs>
</ds:datastoreItem>
</file>

<file path=customXml/itemProps70.xml><?xml version="1.0" encoding="utf-8"?>
<ds:datastoreItem xmlns:ds="http://schemas.openxmlformats.org/officeDocument/2006/customXml" ds:itemID="{7EF580F4-B797-4F9F-B815-66E5557E12CF}">
  <ds:schemaRefs>
    <ds:schemaRef ds:uri="http://gemini/pivotcustomization/Diagrams"/>
  </ds:schemaRefs>
</ds:datastoreItem>
</file>

<file path=customXml/itemProps71.xml><?xml version="1.0" encoding="utf-8"?>
<ds:datastoreItem xmlns:ds="http://schemas.openxmlformats.org/officeDocument/2006/customXml" ds:itemID="{16D6CDEB-77C0-4F5C-B6E0-FC0690914AF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72.xml><?xml version="1.0" encoding="utf-8"?>
<ds:datastoreItem xmlns:ds="http://schemas.openxmlformats.org/officeDocument/2006/customXml" ds:itemID="{E5EFD1D6-39F4-4A1A-A6AB-5FFD8B555B5C}">
  <ds:schemaRefs>
    <ds:schemaRef ds:uri="http://gemini/pivotcustomization/6bb81411-fb3f-417d-a60c-b4e17ef6bb69"/>
  </ds:schemaRefs>
</ds:datastoreItem>
</file>

<file path=customXml/itemProps73.xml><?xml version="1.0" encoding="utf-8"?>
<ds:datastoreItem xmlns:ds="http://schemas.openxmlformats.org/officeDocument/2006/customXml" ds:itemID="{40C2F6BE-3121-4E3A-80EF-5F8A9CC5C12C}">
  <ds:schemaRefs>
    <ds:schemaRef ds:uri="http://gemini/pivotcustomization/TableXML_Invoice Tracker_3c47f1cb-c51d-48b6-806a-c32eee23b7ff"/>
  </ds:schemaRefs>
</ds:datastoreItem>
</file>

<file path=customXml/itemProps74.xml><?xml version="1.0" encoding="utf-8"?>
<ds:datastoreItem xmlns:ds="http://schemas.openxmlformats.org/officeDocument/2006/customXml" ds:itemID="{CE91DB9C-CA11-4487-AB0F-A7DDEFD04460}">
  <ds:schemaRefs>
    <ds:schemaRef ds:uri="http://gemini/pivotcustomization/TableXML_Table1"/>
  </ds:schemaRefs>
</ds:datastoreItem>
</file>

<file path=customXml/itemProps75.xml><?xml version="1.0" encoding="utf-8"?>
<ds:datastoreItem xmlns:ds="http://schemas.openxmlformats.org/officeDocument/2006/customXml" ds:itemID="{01D549B7-7A31-4C65-BFB6-45FA19AF05C8}">
  <ds:schemaRefs>
    <ds:schemaRef ds:uri="http://gemini/pivotcustomization/ShowImplicitMeasures"/>
  </ds:schemaRefs>
</ds:datastoreItem>
</file>

<file path=customXml/itemProps76.xml><?xml version="1.0" encoding="utf-8"?>
<ds:datastoreItem xmlns:ds="http://schemas.openxmlformats.org/officeDocument/2006/customXml" ds:itemID="{F0016113-F98D-4592-9C5F-F318A4809AAB}">
  <ds:schemaRefs>
    <ds:schemaRef ds:uri="http://gemini/pivotcustomization/f7f8b4d9-d50b-4f74-9de3-26ab8ba7cc9b"/>
  </ds:schemaRefs>
</ds:datastoreItem>
</file>

<file path=customXml/itemProps77.xml><?xml version="1.0" encoding="utf-8"?>
<ds:datastoreItem xmlns:ds="http://schemas.openxmlformats.org/officeDocument/2006/customXml" ds:itemID="{5BB73030-1BBD-4D85-86AD-CD05AF5EB4FB}">
  <ds:schemaRefs>
    <ds:schemaRef ds:uri="http://gemini/pivotcustomization/3dc33e4a-3a17-4c6e-a5fb-641eddce03a9"/>
  </ds:schemaRefs>
</ds:datastoreItem>
</file>

<file path=customXml/itemProps78.xml><?xml version="1.0" encoding="utf-8"?>
<ds:datastoreItem xmlns:ds="http://schemas.openxmlformats.org/officeDocument/2006/customXml" ds:itemID="{2BF5714E-3012-46A0-9D49-13CC0FC72177}">
  <ds:schemaRefs>
    <ds:schemaRef ds:uri="http://gemini/pivotcustomization/f4073142-0b13-4f68-b2e6-84263704e83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Sheet2</vt:lpstr>
      <vt:lpstr>DataInput</vt:lpstr>
      <vt:lpstr>Sheet1</vt:lpstr>
      <vt:lpstr>Data</vt:lpstr>
      <vt:lpstr>Sheet8</vt:lpstr>
      <vt:lpstr>Sheet7</vt:lpstr>
      <vt:lpstr>Sheet5</vt:lpstr>
      <vt:lpstr>Sheet6</vt:lpstr>
      <vt:lpstr>Finance</vt:lpstr>
      <vt:lpstr>Production</vt:lpstr>
      <vt:lpstr>PR-X</vt:lpstr>
      <vt:lpstr>Irradiationx</vt:lpstr>
      <vt:lpstr>Availability x</vt:lpstr>
      <vt:lpstr>Sheet3</vt:lpstr>
      <vt:lpstr>Sheet4</vt:lpstr>
      <vt:lpstr>Revenue x</vt:lpstr>
      <vt:lpstr>Sheet5!_Hlk113935639</vt:lpstr>
      <vt:lpstr>Sheet5!_Hlk113937779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pvManDataExport</dc:title>
  <dc:subject/>
  <dc:creator>Unknown Creator</dc:creator>
  <cp:keywords/>
  <dc:description/>
  <cp:lastModifiedBy>mutali</cp:lastModifiedBy>
  <cp:revision/>
  <cp:lastPrinted>2022-08-14T10:29:28Z</cp:lastPrinted>
  <dcterms:created xsi:type="dcterms:W3CDTF">2022-06-04T19:21:37Z</dcterms:created>
  <dcterms:modified xsi:type="dcterms:W3CDTF">2023-05-16T04:58:24Z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0x010100C55F0DA5B799EA40857AA8A11C3B0FA5</vt:lpwstr>
  </property>
</Properties>
</file>