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<sst xmlns="http://schemas.openxmlformats.org/spreadsheetml/2006/main" count="714" uniqueCount="714">
  <si>
    <t>股票名称</t>
  </si>
  <si>
    <t>股票代码</t>
  </si>
  <si>
    <t>最新价</t>
  </si>
  <si>
    <t>跌涨幅</t>
  </si>
  <si>
    <t>成交量</t>
  </si>
  <si>
    <t>成交额</t>
  </si>
  <si>
    <t>振幅</t>
  </si>
  <si>
    <t>换手率</t>
  </si>
  <si>
    <t>市值</t>
  </si>
  <si>
    <t>量比</t>
  </si>
  <si>
    <t>最高</t>
  </si>
  <si>
    <t>最低</t>
  </si>
  <si>
    <t>今开</t>
  </si>
  <si>
    <t>昨收</t>
  </si>
  <si>
    <t>N亚华</t>
  </si>
  <si>
    <t>金冠股份</t>
  </si>
  <si>
    <t>金百泽</t>
  </si>
  <si>
    <t>维宏股份</t>
  </si>
  <si>
    <t>虹软科技</t>
  </si>
  <si>
    <t>深水规院</t>
  </si>
  <si>
    <t>恒烁股份</t>
  </si>
  <si>
    <t>胜宏科技</t>
  </si>
  <si>
    <t>紫天科技</t>
  </si>
  <si>
    <t>步科股份</t>
  </si>
  <si>
    <t>万兴科技</t>
  </si>
  <si>
    <t>寒武纪-U</t>
  </si>
  <si>
    <t>世纪天鸿</t>
  </si>
  <si>
    <t>中富通</t>
  </si>
  <si>
    <t>光库科技</t>
  </si>
  <si>
    <t>果麦文化</t>
  </si>
  <si>
    <t>冠龙节能</t>
  </si>
  <si>
    <t>创业黑马</t>
  </si>
  <si>
    <t>科德教育</t>
  </si>
  <si>
    <t>朗科科技</t>
  </si>
  <si>
    <t>精研科技</t>
  </si>
  <si>
    <t>冠昊生物</t>
  </si>
  <si>
    <t>卡莱特</t>
  </si>
  <si>
    <t>金科股份</t>
  </si>
  <si>
    <t>灿勤科技</t>
  </si>
  <si>
    <t>汉威科技</t>
  </si>
  <si>
    <t>*ST安控</t>
  </si>
  <si>
    <t>凯文教育</t>
  </si>
  <si>
    <t>光洋股份</t>
  </si>
  <si>
    <t>创新医疗</t>
  </si>
  <si>
    <t>国统股份</t>
  </si>
  <si>
    <t>京投发展</t>
  </si>
  <si>
    <t>三和管桩</t>
  </si>
  <si>
    <t>智度股份</t>
  </si>
  <si>
    <t>拓维信息</t>
  </si>
  <si>
    <t>南华生物</t>
  </si>
  <si>
    <t>南方传媒</t>
  </si>
  <si>
    <t>新智认知</t>
  </si>
  <si>
    <t>鸿博股份</t>
  </si>
  <si>
    <t>天地在线</t>
  </si>
  <si>
    <t>日播时尚</t>
  </si>
  <si>
    <t>声迅股份</t>
  </si>
  <si>
    <t>昆药集团</t>
  </si>
  <si>
    <t>浙江建投</t>
  </si>
  <si>
    <t xml:space="preserve">白云山  </t>
  </si>
  <si>
    <t>锐明技术</t>
  </si>
  <si>
    <t>金桥信息</t>
  </si>
  <si>
    <t>健民集团</t>
  </si>
  <si>
    <t>嵘泰股份</t>
  </si>
  <si>
    <t>多利科技</t>
  </si>
  <si>
    <t>太极集团</t>
  </si>
  <si>
    <t>吉大正元</t>
  </si>
  <si>
    <t>德明利</t>
  </si>
  <si>
    <t>超讯通信</t>
  </si>
  <si>
    <t>盛天网络</t>
  </si>
  <si>
    <t>长江传媒</t>
  </si>
  <si>
    <t>名臣健康</t>
  </si>
  <si>
    <t>钱江水利</t>
  </si>
  <si>
    <t>睿能科技</t>
  </si>
  <si>
    <t>航天机电</t>
  </si>
  <si>
    <t>学大教育</t>
  </si>
  <si>
    <t>百联股份</t>
  </si>
  <si>
    <t>联合水务</t>
  </si>
  <si>
    <t>华胜天成</t>
  </si>
  <si>
    <t>恒盛能源</t>
  </si>
  <si>
    <t>韩建河山</t>
  </si>
  <si>
    <t>中公教育</t>
  </si>
  <si>
    <t>汇纳科技</t>
  </si>
  <si>
    <t>香农芯创</t>
  </si>
  <si>
    <t>汉仪股份</t>
  </si>
  <si>
    <t>三诺生物</t>
  </si>
  <si>
    <t>朗玛信息</t>
  </si>
  <si>
    <t xml:space="preserve">达仁堂  </t>
  </si>
  <si>
    <t>宜通世纪</t>
  </si>
  <si>
    <t>恒信东方</t>
  </si>
  <si>
    <t>贝斯特</t>
  </si>
  <si>
    <t>佳发教育</t>
  </si>
  <si>
    <t>景嘉微</t>
  </si>
  <si>
    <t xml:space="preserve">菲沃泰  </t>
  </si>
  <si>
    <t>首都在线</t>
  </si>
  <si>
    <t>宝通科技</t>
  </si>
  <si>
    <t>博汇科技</t>
  </si>
  <si>
    <t>新致软件</t>
  </si>
  <si>
    <t>方直科技</t>
  </si>
  <si>
    <t>深科技</t>
  </si>
  <si>
    <t>新泉股份</t>
  </si>
  <si>
    <t>福昕软件</t>
  </si>
  <si>
    <t>华宇软件</t>
  </si>
  <si>
    <t>太辰光</t>
  </si>
  <si>
    <t>永信至诚</t>
  </si>
  <si>
    <t>金新农</t>
  </si>
  <si>
    <t>中金环境</t>
  </si>
  <si>
    <t>北陆药业</t>
  </si>
  <si>
    <t>万润科技</t>
  </si>
  <si>
    <t>姚记科技</t>
  </si>
  <si>
    <t>天禄科技</t>
  </si>
  <si>
    <t>传音控股</t>
  </si>
  <si>
    <t>同有科技</t>
  </si>
  <si>
    <t>清越科技</t>
  </si>
  <si>
    <t xml:space="preserve">C美芯晟 </t>
  </si>
  <si>
    <t>江中药业</t>
  </si>
  <si>
    <t>软通动力</t>
  </si>
  <si>
    <t>海翔药业</t>
  </si>
  <si>
    <t>立方制药</t>
  </si>
  <si>
    <t>兆龙互连</t>
  </si>
  <si>
    <t>东方通</t>
  </si>
  <si>
    <t>唐德影视</t>
  </si>
  <si>
    <t>博济医药</t>
  </si>
  <si>
    <t>格灵深瞳</t>
  </si>
  <si>
    <t>满坤科技</t>
  </si>
  <si>
    <t>瑞松科技</t>
  </si>
  <si>
    <t>海光信息</t>
  </si>
  <si>
    <t>掌阅科技</t>
  </si>
  <si>
    <t>渤海汽车</t>
  </si>
  <si>
    <t>粤电力Ａ</t>
  </si>
  <si>
    <t>旭升集团</t>
  </si>
  <si>
    <t>赛意信息</t>
  </si>
  <si>
    <t>游族网络</t>
  </si>
  <si>
    <t>中国科传</t>
  </si>
  <si>
    <t xml:space="preserve">爱柯迪  </t>
  </si>
  <si>
    <t>万丰奥威</t>
  </si>
  <si>
    <t>恩华药业</t>
  </si>
  <si>
    <t>能科科技</t>
  </si>
  <si>
    <t>拓尔思</t>
  </si>
  <si>
    <t>拓普集团</t>
  </si>
  <si>
    <t>康缘药业</t>
  </si>
  <si>
    <t>赛轮轮胎</t>
  </si>
  <si>
    <t>当虹科技</t>
  </si>
  <si>
    <t>上海莱士</t>
  </si>
  <si>
    <t>国新健康</t>
  </si>
  <si>
    <t>亚康股份</t>
  </si>
  <si>
    <t>华润三九</t>
  </si>
  <si>
    <t>中科曙光</t>
  </si>
  <si>
    <t>东宏股份</t>
  </si>
  <si>
    <t>润欣科技</t>
  </si>
  <si>
    <t>三友医疗</t>
  </si>
  <si>
    <t>光智科技</t>
  </si>
  <si>
    <t>世运电路</t>
  </si>
  <si>
    <t>荣联科技</t>
  </si>
  <si>
    <t>博创科技</t>
  </si>
  <si>
    <t xml:space="preserve">珍宝岛  </t>
  </si>
  <si>
    <t xml:space="preserve">康恩贝  </t>
  </si>
  <si>
    <t>健麾信息</t>
  </si>
  <si>
    <t>山科智能</t>
  </si>
  <si>
    <t>孩子王</t>
  </si>
  <si>
    <t>鸥玛软件</t>
  </si>
  <si>
    <t>绿城水务</t>
  </si>
  <si>
    <t>巴安水务</t>
  </si>
  <si>
    <t>水羊股份</t>
  </si>
  <si>
    <t>国新文化</t>
  </si>
  <si>
    <t>佰维存储</t>
  </si>
  <si>
    <t>日联科技</t>
  </si>
  <si>
    <t xml:space="preserve">凌云光  </t>
  </si>
  <si>
    <t>海马汽车</t>
  </si>
  <si>
    <t>奥比中光-UW</t>
  </si>
  <si>
    <t>科伦药业</t>
  </si>
  <si>
    <t>新华医疗</t>
  </si>
  <si>
    <t>润泽科技</t>
  </si>
  <si>
    <t>海汽集团</t>
  </si>
  <si>
    <t>创益通</t>
  </si>
  <si>
    <t>峨眉山Ａ</t>
  </si>
  <si>
    <t>兴森科技</t>
  </si>
  <si>
    <t>全通教育</t>
  </si>
  <si>
    <t xml:space="preserve">吉比特  </t>
  </si>
  <si>
    <t>京新药业</t>
  </si>
  <si>
    <t>*ST泛海</t>
  </si>
  <si>
    <t>科翔股份</t>
  </si>
  <si>
    <t>XD税友股</t>
  </si>
  <si>
    <t>皖新传媒</t>
  </si>
  <si>
    <t>千方科技</t>
  </si>
  <si>
    <t>大丰实业</t>
  </si>
  <si>
    <t>丽珠集团</t>
  </si>
  <si>
    <t>三生国健</t>
  </si>
  <si>
    <t>每日互动</t>
  </si>
  <si>
    <t>中国高科</t>
  </si>
  <si>
    <t>绿的谐波</t>
  </si>
  <si>
    <t>机器人</t>
  </si>
  <si>
    <t>华神科技</t>
  </si>
  <si>
    <t>丝路视觉</t>
  </si>
  <si>
    <t>绿能慧充</t>
  </si>
  <si>
    <t>凌志软件</t>
  </si>
  <si>
    <t>山大地纬</t>
  </si>
  <si>
    <t>青龙管业</t>
  </si>
  <si>
    <t>宝莱特</t>
  </si>
  <si>
    <t xml:space="preserve">新华网  </t>
  </si>
  <si>
    <t>卓易信息</t>
  </si>
  <si>
    <t>九 芝 堂</t>
  </si>
  <si>
    <t>科大国创</t>
  </si>
  <si>
    <t>广东鸿图</t>
  </si>
  <si>
    <t>东芯股份</t>
  </si>
  <si>
    <t>华西股份</t>
  </si>
  <si>
    <t>博杰股份</t>
  </si>
  <si>
    <t>诚益通</t>
  </si>
  <si>
    <t>金钟股份</t>
  </si>
  <si>
    <t>尤夫股份</t>
  </si>
  <si>
    <t>*ST新联</t>
  </si>
  <si>
    <t>华凯易佰</t>
  </si>
  <si>
    <t>金山办公</t>
  </si>
  <si>
    <t>人福医药</t>
  </si>
  <si>
    <t>浩瀚深度</t>
  </si>
  <si>
    <t>格尔软件</t>
  </si>
  <si>
    <t>ST国华</t>
  </si>
  <si>
    <t>力源信息</t>
  </si>
  <si>
    <t>*ST日海</t>
  </si>
  <si>
    <t xml:space="preserve">S佳通   </t>
  </si>
  <si>
    <t>一博科技</t>
  </si>
  <si>
    <t>浙版传媒</t>
  </si>
  <si>
    <t>佐力药业</t>
  </si>
  <si>
    <t>正强股份</t>
  </si>
  <si>
    <t>先进数通</t>
  </si>
  <si>
    <t>葵花药业</t>
  </si>
  <si>
    <t>城建发展</t>
  </si>
  <si>
    <t>吉宏股份</t>
  </si>
  <si>
    <t>青云科技-U</t>
  </si>
  <si>
    <t>中富电路</t>
  </si>
  <si>
    <t>汇通能源</t>
  </si>
  <si>
    <t>华电国际</t>
  </si>
  <si>
    <t>保隆科技</t>
  </si>
  <si>
    <t xml:space="preserve">健康元  </t>
  </si>
  <si>
    <t>浙能电力</t>
  </si>
  <si>
    <t>上海新阳</t>
  </si>
  <si>
    <t>方盛制药</t>
  </si>
  <si>
    <t>兆威机电</t>
  </si>
  <si>
    <t>XD合力科</t>
  </si>
  <si>
    <t>普联软件</t>
  </si>
  <si>
    <t>美亚柏科</t>
  </si>
  <si>
    <t>理邦仪器</t>
  </si>
  <si>
    <t>步长制药</t>
  </si>
  <si>
    <t>博世科</t>
  </si>
  <si>
    <t>洪城环境</t>
  </si>
  <si>
    <t>中文在线</t>
  </si>
  <si>
    <t>奥赛康</t>
  </si>
  <si>
    <t>龙泉股份</t>
  </si>
  <si>
    <t>古鳌科技</t>
  </si>
  <si>
    <t>会畅通讯</t>
  </si>
  <si>
    <t>新兴铸管</t>
  </si>
  <si>
    <t>粤 水 电</t>
  </si>
  <si>
    <t>信安世纪</t>
  </si>
  <si>
    <t>信立泰</t>
  </si>
  <si>
    <t>中兴通讯</t>
  </si>
  <si>
    <t xml:space="preserve">唐山港  </t>
  </si>
  <si>
    <t>深水海纳</t>
  </si>
  <si>
    <t>通合科技</t>
  </si>
  <si>
    <t>盛通股份</t>
  </si>
  <si>
    <t>浙江仙通</t>
  </si>
  <si>
    <t>昂立教育</t>
  </si>
  <si>
    <t xml:space="preserve">同仁堂  </t>
  </si>
  <si>
    <t>高澜股份</t>
  </si>
  <si>
    <t>新国都</t>
  </si>
  <si>
    <t xml:space="preserve">马应龙  </t>
  </si>
  <si>
    <t>焦点科技</t>
  </si>
  <si>
    <t>纽威数控</t>
  </si>
  <si>
    <t>金洲管道</t>
  </si>
  <si>
    <t>汉王科技</t>
  </si>
  <si>
    <t>和远气体</t>
  </si>
  <si>
    <t>腾景科技</t>
  </si>
  <si>
    <t>西藏药业</t>
  </si>
  <si>
    <t>安图生物</t>
  </si>
  <si>
    <t>佳禾智能</t>
  </si>
  <si>
    <t>设计总院</t>
  </si>
  <si>
    <t>中 关 村</t>
  </si>
  <si>
    <t>协创数据</t>
  </si>
  <si>
    <t>中科信息</t>
  </si>
  <si>
    <t>鱼跃医疗</t>
  </si>
  <si>
    <t>新点软件</t>
  </si>
  <si>
    <t>上声电子</t>
  </si>
  <si>
    <t>世纪鼎利</t>
  </si>
  <si>
    <t>国盾量子</t>
  </si>
  <si>
    <t>金卡智能</t>
  </si>
  <si>
    <t>国药一致</t>
  </si>
  <si>
    <t>贵州燃气</t>
  </si>
  <si>
    <t>中控技术</t>
  </si>
  <si>
    <t>中科蓝讯</t>
  </si>
  <si>
    <t>农心科技</t>
  </si>
  <si>
    <t>沪电股份</t>
  </si>
  <si>
    <t>浙文互联</t>
  </si>
  <si>
    <t>恒为科技</t>
  </si>
  <si>
    <t>锐科激光</t>
  </si>
  <si>
    <t>久吾高科</t>
  </si>
  <si>
    <t>云天励飞-U</t>
  </si>
  <si>
    <t>通鼎互联</t>
  </si>
  <si>
    <t>龙软科技</t>
  </si>
  <si>
    <t>中石科技</t>
  </si>
  <si>
    <t>金龙汽车</t>
  </si>
  <si>
    <t>万事利</t>
  </si>
  <si>
    <t>川仪股份</t>
  </si>
  <si>
    <t>神州数码</t>
  </si>
  <si>
    <t>力鼎光电</t>
  </si>
  <si>
    <t>清水源</t>
  </si>
  <si>
    <t>羚锐制药</t>
  </si>
  <si>
    <t>汤臣倍健</t>
  </si>
  <si>
    <t>联络互动</t>
  </si>
  <si>
    <t>峰岹科技</t>
  </si>
  <si>
    <t>芯原股份</t>
  </si>
  <si>
    <t>华力创通</t>
  </si>
  <si>
    <t>凤凰传媒</t>
  </si>
  <si>
    <t>中信出版</t>
  </si>
  <si>
    <t xml:space="preserve">新益昌  </t>
  </si>
  <si>
    <t>节能铁汉</t>
  </si>
  <si>
    <t>博俊科技</t>
  </si>
  <si>
    <t>上海沿浦</t>
  </si>
  <si>
    <t>博思软件</t>
  </si>
  <si>
    <t>一品红</t>
  </si>
  <si>
    <t>万达信息</t>
  </si>
  <si>
    <t>宁夏建材</t>
  </si>
  <si>
    <t>赛特新材</t>
  </si>
  <si>
    <t>炬芯科技</t>
  </si>
  <si>
    <t>佳云科技</t>
  </si>
  <si>
    <t>ST鹏博士</t>
  </si>
  <si>
    <t>吉林敖东</t>
  </si>
  <si>
    <t>普门科技</t>
  </si>
  <si>
    <t>剑桥科技</t>
  </si>
  <si>
    <t>永和智控</t>
  </si>
  <si>
    <t xml:space="preserve">天士力  </t>
  </si>
  <si>
    <t>天臣医疗</t>
  </si>
  <si>
    <t>美吉姆</t>
  </si>
  <si>
    <t xml:space="preserve">广誉远  </t>
  </si>
  <si>
    <t>智立方</t>
  </si>
  <si>
    <t>和林微纳</t>
  </si>
  <si>
    <t>复旦复华</t>
  </si>
  <si>
    <t>百亚股份</t>
  </si>
  <si>
    <t>广哈通信</t>
  </si>
  <si>
    <t>华策影视</t>
  </si>
  <si>
    <t>天汽模</t>
  </si>
  <si>
    <t xml:space="preserve">德科立  </t>
  </si>
  <si>
    <t>久远银海</t>
  </si>
  <si>
    <t>豪迈科技</t>
  </si>
  <si>
    <t>北汽蓝谷</t>
  </si>
  <si>
    <t>锐捷网络</t>
  </si>
  <si>
    <t>仁和药业</t>
  </si>
  <si>
    <t>弘信电子</t>
  </si>
  <si>
    <t>威唐工业</t>
  </si>
  <si>
    <t>烽火通信</t>
  </si>
  <si>
    <t>通富微电</t>
  </si>
  <si>
    <t>奥普光电</t>
  </si>
  <si>
    <t>华星创业</t>
  </si>
  <si>
    <t>上海医药</t>
  </si>
  <si>
    <t>山石网科</t>
  </si>
  <si>
    <t>华平股份</t>
  </si>
  <si>
    <t>伊之密</t>
  </si>
  <si>
    <t>荣科科技</t>
  </si>
  <si>
    <t>国光电器</t>
  </si>
  <si>
    <t>吴通控股</t>
  </si>
  <si>
    <t>中远海科</t>
  </si>
  <si>
    <t>宝信软件</t>
  </si>
  <si>
    <t>浪潮信息</t>
  </si>
  <si>
    <t>哈药股份</t>
  </si>
  <si>
    <t>广和通</t>
  </si>
  <si>
    <t>利欧股份</t>
  </si>
  <si>
    <t>拓荆科技</t>
  </si>
  <si>
    <t>荣信文化</t>
  </si>
  <si>
    <t>冠石科技</t>
  </si>
  <si>
    <t xml:space="preserve">ST广珠  </t>
  </si>
  <si>
    <t>力生制药</t>
  </si>
  <si>
    <t>派林生物</t>
  </si>
  <si>
    <t>梅安森</t>
  </si>
  <si>
    <t>光迅科技</t>
  </si>
  <si>
    <t>财富趋势</t>
  </si>
  <si>
    <t>新朋股份</t>
  </si>
  <si>
    <t>晶晨股份</t>
  </si>
  <si>
    <t>江苏雷利</t>
  </si>
  <si>
    <t>长青股份</t>
  </si>
  <si>
    <t>益佰制药</t>
  </si>
  <si>
    <t>测绘股份</t>
  </si>
  <si>
    <t>大唐发电</t>
  </si>
  <si>
    <t>海默科技</t>
  </si>
  <si>
    <t>海南海药</t>
  </si>
  <si>
    <t>顺网科技</t>
  </si>
  <si>
    <t>零点有数</t>
  </si>
  <si>
    <t>双象股份</t>
  </si>
  <si>
    <t>雄塑科技</t>
  </si>
  <si>
    <t>鸣志电器</t>
  </si>
  <si>
    <t>科思股份</t>
  </si>
  <si>
    <t>南京医药</t>
  </si>
  <si>
    <t>东港股份</t>
  </si>
  <si>
    <t>福晶科技</t>
  </si>
  <si>
    <t>四会富仕</t>
  </si>
  <si>
    <t>盛视科技</t>
  </si>
  <si>
    <t>龙版传媒</t>
  </si>
  <si>
    <t>天源迪科</t>
  </si>
  <si>
    <t>春兴精工</t>
  </si>
  <si>
    <t>景旺电子</t>
  </si>
  <si>
    <t>人民同泰</t>
  </si>
  <si>
    <t>奥飞数据</t>
  </si>
  <si>
    <t>众泰汽车</t>
  </si>
  <si>
    <t>纽泰格</t>
  </si>
  <si>
    <t>瑞鹄模具</t>
  </si>
  <si>
    <t>东方智造</t>
  </si>
  <si>
    <t>中原传媒</t>
  </si>
  <si>
    <t>宁波能源</t>
  </si>
  <si>
    <t>同方股份</t>
  </si>
  <si>
    <t>广联航空</t>
  </si>
  <si>
    <t>北京君正</t>
  </si>
  <si>
    <t>哈投股份</t>
  </si>
  <si>
    <t xml:space="preserve">杰普特  </t>
  </si>
  <si>
    <t>沪宁股份</t>
  </si>
  <si>
    <t>中电港</t>
  </si>
  <si>
    <t>华正新材</t>
  </si>
  <si>
    <t>遥望科技</t>
  </si>
  <si>
    <t>中船科技</t>
  </si>
  <si>
    <t>香雪制药</t>
  </si>
  <si>
    <t>浩云科技</t>
  </si>
  <si>
    <t>宝新能源</t>
  </si>
  <si>
    <t>返利科技</t>
  </si>
  <si>
    <t>同花顺</t>
  </si>
  <si>
    <t>浙数文化</t>
  </si>
  <si>
    <t>中科星图</t>
  </si>
  <si>
    <t>远信工业</t>
  </si>
  <si>
    <t>宇环数控</t>
  </si>
  <si>
    <t>青山纸业</t>
  </si>
  <si>
    <t>东山精密</t>
  </si>
  <si>
    <t>力合科技</t>
  </si>
  <si>
    <t>彩讯股份</t>
  </si>
  <si>
    <t>贝达药业</t>
  </si>
  <si>
    <t>汉森制药</t>
  </si>
  <si>
    <t>盟科药业-U</t>
  </si>
  <si>
    <t>松原股份</t>
  </si>
  <si>
    <t>奥士康</t>
  </si>
  <si>
    <t>数字政通</t>
  </si>
  <si>
    <t>臻镭科技</t>
  </si>
  <si>
    <t>ST新研</t>
  </si>
  <si>
    <t>华鲁恒升</t>
  </si>
  <si>
    <t>山东黄金</t>
  </si>
  <si>
    <t>立昂技术</t>
  </si>
  <si>
    <t>兆驰股份</t>
  </si>
  <si>
    <t>申能股份</t>
  </si>
  <si>
    <t>深纺织Ａ</t>
  </si>
  <si>
    <t>华能国际</t>
  </si>
  <si>
    <t>四川长虹</t>
  </si>
  <si>
    <t>万集科技</t>
  </si>
  <si>
    <t>华中数控</t>
  </si>
  <si>
    <t>高新兴</t>
  </si>
  <si>
    <t>易华录</t>
  </si>
  <si>
    <t>农尚环境</t>
  </si>
  <si>
    <t>亿帆医药</t>
  </si>
  <si>
    <t>常熟汽饰</t>
  </si>
  <si>
    <t>常青股份</t>
  </si>
  <si>
    <t>桂林三金</t>
  </si>
  <si>
    <t>赛伦生物</t>
  </si>
  <si>
    <t>神州泰岳</t>
  </si>
  <si>
    <t>云鼎科技</t>
  </si>
  <si>
    <t xml:space="preserve">寿仙谷  </t>
  </si>
  <si>
    <t>亚宝药业</t>
  </si>
  <si>
    <t>宣亚国际</t>
  </si>
  <si>
    <t>永鼎股份</t>
  </si>
  <si>
    <t>铁建重工</t>
  </si>
  <si>
    <t>金禄电子</t>
  </si>
  <si>
    <t>济川药业</t>
  </si>
  <si>
    <t>泉峰汽车</t>
  </si>
  <si>
    <t>云铝股份</t>
  </si>
  <si>
    <t>传智教育</t>
  </si>
  <si>
    <t>安徽建工</t>
  </si>
  <si>
    <t xml:space="preserve">美尔雅  </t>
  </si>
  <si>
    <t>佛慈制药</t>
  </si>
  <si>
    <t>中微公司</t>
  </si>
  <si>
    <t>盈趣科技</t>
  </si>
  <si>
    <t>天益医疗</t>
  </si>
  <si>
    <t>万安科技</t>
  </si>
  <si>
    <t>初灵信息</t>
  </si>
  <si>
    <t>恒誉环保</t>
  </si>
  <si>
    <t>银轮股份</t>
  </si>
  <si>
    <t>山东出版</t>
  </si>
  <si>
    <t>青海华鼎</t>
  </si>
  <si>
    <t>佳缘科技</t>
  </si>
  <si>
    <t>天亿马</t>
  </si>
  <si>
    <t>普元信息</t>
  </si>
  <si>
    <t>九典制药</t>
  </si>
  <si>
    <t>津药药业</t>
  </si>
  <si>
    <t>神通科技</t>
  </si>
  <si>
    <t>金安国纪</t>
  </si>
  <si>
    <t>工业富联</t>
  </si>
  <si>
    <t>福瑞股份</t>
  </si>
  <si>
    <t>本川智能</t>
  </si>
  <si>
    <t>安路科技</t>
  </si>
  <si>
    <t>雷科防务</t>
  </si>
  <si>
    <t>数字认证</t>
  </si>
  <si>
    <t>深康佳Ａ</t>
  </si>
  <si>
    <t>超图软件</t>
  </si>
  <si>
    <t>唯捷创芯</t>
  </si>
  <si>
    <t>仙琚制药</t>
  </si>
  <si>
    <t xml:space="preserve">今世缘  </t>
  </si>
  <si>
    <t>中材国际</t>
  </si>
  <si>
    <t>芯海科技</t>
  </si>
  <si>
    <t>特宝生物</t>
  </si>
  <si>
    <t>重庆百货</t>
  </si>
  <si>
    <t>埃夫特-U</t>
  </si>
  <si>
    <t>宁波建工</t>
  </si>
  <si>
    <t>益丰药房</t>
  </si>
  <si>
    <t>新产业</t>
  </si>
  <si>
    <t>江波龙</t>
  </si>
  <si>
    <t>奇正藏药</t>
  </si>
  <si>
    <t>大元泵业</t>
  </si>
  <si>
    <t>皖能电力</t>
  </si>
  <si>
    <t>润贝航科</t>
  </si>
  <si>
    <t xml:space="preserve">数据港  </t>
  </si>
  <si>
    <t>航天科技</t>
  </si>
  <si>
    <t>胜蓝股份</t>
  </si>
  <si>
    <t xml:space="preserve">*ST方科 </t>
  </si>
  <si>
    <t>海信家电</t>
  </si>
  <si>
    <t>中文传媒</t>
  </si>
  <si>
    <t>强力新材</t>
  </si>
  <si>
    <t xml:space="preserve">中科软  </t>
  </si>
  <si>
    <t>杭州热电</t>
  </si>
  <si>
    <t>华宝股份</t>
  </si>
  <si>
    <t xml:space="preserve">伯特利  </t>
  </si>
  <si>
    <t>兆易创新</t>
  </si>
  <si>
    <t>生益电子</t>
  </si>
  <si>
    <t>蓝色光标</t>
  </si>
  <si>
    <t>重庆水务</t>
  </si>
  <si>
    <t>利和兴</t>
  </si>
  <si>
    <t>常山北明</t>
  </si>
  <si>
    <t>吉大通信</t>
  </si>
  <si>
    <t>中芯国际</t>
  </si>
  <si>
    <t>恒帅股份</t>
  </si>
  <si>
    <t>纽威股份</t>
  </si>
  <si>
    <t>双环传动</t>
  </si>
  <si>
    <t>湖北能源</t>
  </si>
  <si>
    <t>光云科技</t>
  </si>
  <si>
    <t>交通银行</t>
  </si>
  <si>
    <t>迪普科技</t>
  </si>
  <si>
    <t>柯力传感</t>
  </si>
  <si>
    <t>辽宁成大</t>
  </si>
  <si>
    <t>佳电股份</t>
  </si>
  <si>
    <t>富祥药业</t>
  </si>
  <si>
    <t>恩威医药</t>
  </si>
  <si>
    <t>勤上股份</t>
  </si>
  <si>
    <t>中马传动</t>
  </si>
  <si>
    <t>凯格精机</t>
  </si>
  <si>
    <t>大华股份</t>
  </si>
  <si>
    <t>优博讯</t>
  </si>
  <si>
    <t>兆日科技</t>
  </si>
  <si>
    <t>中科飞测-U</t>
  </si>
  <si>
    <t>双鹭药业</t>
  </si>
  <si>
    <t>安集科技</t>
  </si>
  <si>
    <t>祥鑫科技</t>
  </si>
  <si>
    <t>杭州园林</t>
  </si>
  <si>
    <t xml:space="preserve">罗普特  </t>
  </si>
  <si>
    <t>高华科技</t>
  </si>
  <si>
    <t>华兰股份</t>
  </si>
  <si>
    <t>美能能源</t>
  </si>
  <si>
    <t>鼎信通讯</t>
  </si>
  <si>
    <t>仕佳光子</t>
  </si>
  <si>
    <t>翰博高新</t>
  </si>
  <si>
    <t>ST红太阳</t>
  </si>
  <si>
    <t>岱美股份</t>
  </si>
  <si>
    <t>中鼎股份</t>
  </si>
  <si>
    <t>联明股份</t>
  </si>
  <si>
    <t xml:space="preserve">葫芦娃  </t>
  </si>
  <si>
    <t>通达海</t>
  </si>
  <si>
    <t>立华股份</t>
  </si>
  <si>
    <t>岳阳兴长</t>
  </si>
  <si>
    <t>宇信科技</t>
  </si>
  <si>
    <t>城市传媒</t>
  </si>
  <si>
    <t>兴蓉环境</t>
  </si>
  <si>
    <t>神奇制药</t>
  </si>
  <si>
    <t>大禹节水</t>
  </si>
  <si>
    <t>兴业矿业</t>
  </si>
  <si>
    <t>佳创视讯</t>
  </si>
  <si>
    <t>圣泉集团</t>
  </si>
  <si>
    <t>金太阳</t>
  </si>
  <si>
    <t>新疆交建</t>
  </si>
  <si>
    <t xml:space="preserve">宝兰德  </t>
  </si>
  <si>
    <t>均胜电子</t>
  </si>
  <si>
    <t>立中集团</t>
  </si>
  <si>
    <t>亚信安全</t>
  </si>
  <si>
    <t>容大感光</t>
  </si>
  <si>
    <t>江苏北人</t>
  </si>
  <si>
    <t>沃华医药</t>
  </si>
  <si>
    <t>中南传媒</t>
  </si>
  <si>
    <t>康斯特</t>
  </si>
  <si>
    <t>平治信息</t>
  </si>
  <si>
    <t>普冉股份</t>
  </si>
  <si>
    <t>信科移动-U</t>
  </si>
  <si>
    <t>华图山鼎</t>
  </si>
  <si>
    <t>伟思医疗</t>
  </si>
  <si>
    <t>家联科技</t>
  </si>
  <si>
    <t>易明医药</t>
  </si>
  <si>
    <t>正帆科技</t>
  </si>
  <si>
    <t>莱茵体育</t>
  </si>
  <si>
    <t>理工能科</t>
  </si>
  <si>
    <t>紫金矿业</t>
  </si>
  <si>
    <t>长源东谷</t>
  </si>
  <si>
    <t>申昊科技</t>
  </si>
  <si>
    <t>汇金股份</t>
  </si>
  <si>
    <t>贵州三力</t>
  </si>
  <si>
    <t>嘉欣丝绸</t>
  </si>
  <si>
    <t>无锡振华</t>
  </si>
  <si>
    <t>中炬高新</t>
  </si>
  <si>
    <t>清溢光电</t>
  </si>
  <si>
    <t>通源环境</t>
  </si>
  <si>
    <t>天智航-U</t>
  </si>
  <si>
    <t>石基信息</t>
  </si>
  <si>
    <t xml:space="preserve">必易微  </t>
  </si>
  <si>
    <t>鹭燕医药</t>
  </si>
  <si>
    <t>朗科智能</t>
  </si>
  <si>
    <t>创意信息</t>
  </si>
  <si>
    <t>飞科电器</t>
  </si>
  <si>
    <t>国药现代</t>
  </si>
  <si>
    <t>春光科技</t>
  </si>
  <si>
    <t>天玑科技</t>
  </si>
  <si>
    <t>恒而达</t>
  </si>
  <si>
    <t>碧水源</t>
  </si>
  <si>
    <t>润和软件</t>
  </si>
  <si>
    <t>岭南控股</t>
  </si>
  <si>
    <t>铂科新材</t>
  </si>
  <si>
    <t>国药股份</t>
  </si>
  <si>
    <t>龙芯中科</t>
  </si>
  <si>
    <t>昆仑万维</t>
  </si>
  <si>
    <t>复旦微电</t>
  </si>
  <si>
    <t xml:space="preserve">力合微  </t>
  </si>
  <si>
    <t>万顺新材</t>
  </si>
  <si>
    <t>华兴源创</t>
  </si>
  <si>
    <t xml:space="preserve">*ST中安 </t>
  </si>
  <si>
    <t>天域生态</t>
  </si>
  <si>
    <t>东风汽车</t>
  </si>
  <si>
    <t>涪陵电力</t>
  </si>
  <si>
    <t>军信股份</t>
  </si>
  <si>
    <t>鹏欣资源</t>
  </si>
  <si>
    <t>合力泰</t>
  </si>
  <si>
    <t>联创光电</t>
  </si>
  <si>
    <t>中捷精工</t>
  </si>
  <si>
    <t>交建股份</t>
  </si>
  <si>
    <t>三元生物</t>
  </si>
  <si>
    <t>川网传媒</t>
  </si>
  <si>
    <t>陕西金叶</t>
  </si>
  <si>
    <t>千金药业</t>
  </si>
  <si>
    <t>上海电影</t>
  </si>
  <si>
    <t xml:space="preserve">风语筑  </t>
  </si>
  <si>
    <t>天喻信息</t>
  </si>
  <si>
    <t>京能置业</t>
  </si>
  <si>
    <t>金钼股份</t>
  </si>
  <si>
    <t>高乐股份</t>
  </si>
  <si>
    <t>招商公路</t>
  </si>
  <si>
    <t>中国移动</t>
  </si>
  <si>
    <t xml:space="preserve">金诚信  </t>
  </si>
  <si>
    <t>金石亚药</t>
  </si>
  <si>
    <t>冰川网络</t>
  </si>
  <si>
    <t>慧博云通</t>
  </si>
  <si>
    <t>联合光电</t>
  </si>
  <si>
    <t>中海达</t>
  </si>
  <si>
    <t>捷成股份</t>
  </si>
  <si>
    <t>康泰生物</t>
  </si>
  <si>
    <t>雅创电子</t>
  </si>
  <si>
    <t>强瑞技术</t>
  </si>
  <si>
    <t>扬杰科技</t>
  </si>
  <si>
    <t>北大医药</t>
  </si>
  <si>
    <t xml:space="preserve">新坐标  </t>
  </si>
  <si>
    <t>尔康制药</t>
  </si>
  <si>
    <t>国科微</t>
  </si>
  <si>
    <t>浙江世宝</t>
  </si>
  <si>
    <t>南国置业</t>
  </si>
  <si>
    <t>龙迅股份</t>
  </si>
  <si>
    <t>启明星辰</t>
  </si>
  <si>
    <t>铜陵有色</t>
  </si>
  <si>
    <t xml:space="preserve">安必平  </t>
  </si>
  <si>
    <t xml:space="preserve">倍加洁  </t>
  </si>
  <si>
    <t>金溢科技</t>
  </si>
  <si>
    <t>新钢股份</t>
  </si>
  <si>
    <t>迈威生物-U</t>
  </si>
  <si>
    <t>华特达因</t>
  </si>
  <si>
    <t xml:space="preserve">王府井  </t>
  </si>
  <si>
    <t>神宇股份</t>
  </si>
  <si>
    <t>华仁药业</t>
  </si>
  <si>
    <t>电声股份</t>
  </si>
  <si>
    <t>招标股份</t>
  </si>
  <si>
    <t>海南瑞泽</t>
  </si>
  <si>
    <t>捷荣技术</t>
  </si>
  <si>
    <t>德生科技</t>
  </si>
  <si>
    <t>海峡环保</t>
  </si>
  <si>
    <t>文灿股份</t>
  </si>
  <si>
    <t>凤形股份</t>
  </si>
  <si>
    <t>明新旭腾</t>
  </si>
  <si>
    <t>安科生物</t>
  </si>
  <si>
    <t>赛科希德</t>
  </si>
  <si>
    <t>隆鑫通用</t>
  </si>
  <si>
    <t>康拓医疗</t>
  </si>
  <si>
    <t>超达装备</t>
  </si>
  <si>
    <t>华脉科技</t>
  </si>
  <si>
    <t>宏景科技</t>
  </si>
  <si>
    <t>豪美新材</t>
  </si>
  <si>
    <t>XD杭叉集</t>
  </si>
  <si>
    <t>华是科技</t>
  </si>
  <si>
    <t>浙大网新</t>
  </si>
  <si>
    <t>秦安股份</t>
  </si>
  <si>
    <t>华大九天</t>
  </si>
  <si>
    <t>春秋航空</t>
  </si>
  <si>
    <t>花园生物</t>
  </si>
  <si>
    <t>弘讯科技</t>
  </si>
  <si>
    <t>亚普股份</t>
  </si>
  <si>
    <t>海泰科</t>
  </si>
  <si>
    <t>鸿泉物联</t>
  </si>
  <si>
    <t>真视通</t>
  </si>
  <si>
    <t>悦康药业</t>
  </si>
  <si>
    <t xml:space="preserve">*ST莫高 </t>
  </si>
  <si>
    <t>华工科技</t>
  </si>
  <si>
    <t>大理药业</t>
  </si>
  <si>
    <t>三晖电气</t>
  </si>
  <si>
    <t xml:space="preserve">吉贝尔  </t>
  </si>
  <si>
    <t>维力医疗</t>
  </si>
  <si>
    <t>东风科技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</si>
</sst>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01"/>
  <sheetViews>
    <sheetView tabSelected="1" workbookViewId="0"/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f>TEXT(301337,"000000")</f>
        <v>0</v>
      </c>
      <c r="C2">
        <v>50.8</v>
      </c>
      <c r="D2">
        <f>TEXT(0.5583,"0.00%")</f>
        <v>0</v>
      </c>
      <c r="E2">
        <v>17660289</v>
      </c>
      <c r="F2">
        <v>961147253</v>
      </c>
      <c r="G2">
        <f>TEXT(0.2267,"0.00%")</f>
        <v>0</v>
      </c>
      <c r="H2">
        <f>TEXT(0.7148,"0.00%")</f>
        <v>0</v>
      </c>
      <c r="I2">
        <v>5293360000</v>
      </c>
      <c r="J2">
        <v>0</v>
      </c>
      <c r="K2">
        <v>58</v>
      </c>
      <c r="L2">
        <v>50.61</v>
      </c>
      <c r="M2">
        <v>55</v>
      </c>
      <c r="N2">
        <v>32.6</v>
      </c>
    </row>
    <row r="3" spans="1:14">
      <c r="A3" t="s">
        <v>15</v>
      </c>
      <c r="B3">
        <f>TEXT(300510,"000000")</f>
        <v>0</v>
      </c>
      <c r="C3">
        <v>8.33</v>
      </c>
      <c r="D3">
        <f>TEXT(0.2003,"0.00%")</f>
        <v>0</v>
      </c>
      <c r="E3">
        <v>267295612</v>
      </c>
      <c r="F3">
        <v>2110812543</v>
      </c>
      <c r="G3">
        <f>TEXT(0.1542,"0.00%")</f>
        <v>0</v>
      </c>
      <c r="H3">
        <f>TEXT(0.3251,"0.00%")</f>
        <v>0</v>
      </c>
      <c r="I3">
        <v>6902436762</v>
      </c>
      <c r="J3">
        <v>8.539999999999999</v>
      </c>
      <c r="K3">
        <v>8.33</v>
      </c>
      <c r="L3">
        <v>7.26</v>
      </c>
      <c r="M3">
        <v>7.49</v>
      </c>
      <c r="N3">
        <v>6.94</v>
      </c>
    </row>
    <row r="4" spans="1:14">
      <c r="A4" t="s">
        <v>16</v>
      </c>
      <c r="B4">
        <f>TEXT(301041,"000000")</f>
        <v>0</v>
      </c>
      <c r="C4">
        <v>31.66</v>
      </c>
      <c r="D4">
        <f>TEXT(0.2002,"0.00%")</f>
        <v>0</v>
      </c>
      <c r="E4">
        <v>1920228</v>
      </c>
      <c r="F4">
        <v>60794418</v>
      </c>
      <c r="G4">
        <f>TEXT(0.0,"0.00%")</f>
        <v>0</v>
      </c>
      <c r="H4">
        <f>TEXT(0.0313,"0.00%")</f>
        <v>0</v>
      </c>
      <c r="I4">
        <v>3377488800</v>
      </c>
      <c r="J4">
        <v>0.49</v>
      </c>
      <c r="K4">
        <v>31.66</v>
      </c>
      <c r="L4">
        <v>31.66</v>
      </c>
      <c r="M4">
        <v>31.66</v>
      </c>
      <c r="N4">
        <v>26.38</v>
      </c>
    </row>
    <row r="5" spans="1:14">
      <c r="A5" t="s">
        <v>17</v>
      </c>
      <c r="B5">
        <f>TEXT(300508,"000000")</f>
        <v>0</v>
      </c>
      <c r="C5">
        <v>38.87</v>
      </c>
      <c r="D5">
        <f>TEXT(0.20010000000000003,"0.00%")</f>
        <v>0</v>
      </c>
      <c r="E5">
        <v>11248168</v>
      </c>
      <c r="F5">
        <v>396119717</v>
      </c>
      <c r="G5">
        <f>TEXT(0.2118,"0.00%")</f>
        <v>0</v>
      </c>
      <c r="H5">
        <f>TEXT(0.1986,"0.00%")</f>
        <v>0</v>
      </c>
      <c r="I5">
        <v>4240499328</v>
      </c>
      <c r="J5">
        <v>2.13</v>
      </c>
      <c r="K5">
        <v>38.87</v>
      </c>
      <c r="L5">
        <v>32.01</v>
      </c>
      <c r="M5">
        <v>32.43</v>
      </c>
      <c r="N5">
        <v>32.39</v>
      </c>
    </row>
    <row r="6" spans="1:14">
      <c r="A6" t="s">
        <v>18</v>
      </c>
      <c r="B6">
        <f>TEXT(688088,"000000")</f>
        <v>0</v>
      </c>
      <c r="C6">
        <v>43.38</v>
      </c>
      <c r="D6">
        <f>TEXT(0.2,"0.00%")</f>
        <v>0</v>
      </c>
      <c r="E6">
        <v>24606802</v>
      </c>
      <c r="F6">
        <v>996766532</v>
      </c>
      <c r="G6">
        <f>TEXT(0.1942,"0.00%")</f>
        <v>0</v>
      </c>
      <c r="H6">
        <f>TEXT(0.060599999999999994,"0.00%")</f>
        <v>0</v>
      </c>
      <c r="I6">
        <v>17612280000</v>
      </c>
      <c r="J6">
        <v>2.11</v>
      </c>
      <c r="K6">
        <v>43.38</v>
      </c>
      <c r="L6">
        <v>36.36</v>
      </c>
      <c r="M6">
        <v>36.4</v>
      </c>
      <c r="N6">
        <v>36.15</v>
      </c>
    </row>
    <row r="7" spans="1:14">
      <c r="A7" t="s">
        <v>19</v>
      </c>
      <c r="B7">
        <f>TEXT(301038,"000000")</f>
        <v>0</v>
      </c>
      <c r="C7">
        <v>21</v>
      </c>
      <c r="D7">
        <f>TEXT(0.2,"0.00%")</f>
        <v>0</v>
      </c>
      <c r="E7">
        <v>7555897</v>
      </c>
      <c r="F7">
        <v>158673837</v>
      </c>
      <c r="G7">
        <f>TEXT(0.0,"0.00%")</f>
        <v>0</v>
      </c>
      <c r="H7">
        <f>TEXT(0.1761,"0.00%")</f>
        <v>0</v>
      </c>
      <c r="I7">
        <v>3603600000</v>
      </c>
      <c r="J7">
        <v>1.19</v>
      </c>
      <c r="K7">
        <v>21</v>
      </c>
      <c r="L7">
        <v>21</v>
      </c>
      <c r="M7">
        <v>21</v>
      </c>
      <c r="N7">
        <v>17.5</v>
      </c>
    </row>
    <row r="8" spans="1:14">
      <c r="A8" t="s">
        <v>20</v>
      </c>
      <c r="B8">
        <f>TEXT(688416,"000000")</f>
        <v>0</v>
      </c>
      <c r="C8">
        <v>90.72</v>
      </c>
      <c r="D8">
        <f>TEXT(0.2,"0.00%")</f>
        <v>0</v>
      </c>
      <c r="E8">
        <v>7388588</v>
      </c>
      <c r="F8">
        <v>629587068</v>
      </c>
      <c r="G8">
        <f>TEXT(0.21489999999999998,"0.00%")</f>
        <v>0</v>
      </c>
      <c r="H8">
        <f>TEXT(0.3924,"0.00%")</f>
        <v>0</v>
      </c>
      <c r="I8">
        <v>7496853950</v>
      </c>
      <c r="J8">
        <v>1.31</v>
      </c>
      <c r="K8">
        <v>90.72</v>
      </c>
      <c r="L8">
        <v>74.47</v>
      </c>
      <c r="M8">
        <v>75.88</v>
      </c>
      <c r="N8">
        <v>75.59999999999999</v>
      </c>
    </row>
    <row r="9" spans="1:14">
      <c r="A9" t="s">
        <v>21</v>
      </c>
      <c r="B9">
        <f>TEXT(300476,"000000")</f>
        <v>0</v>
      </c>
      <c r="C9">
        <v>24.08</v>
      </c>
      <c r="D9">
        <f>TEXT(0.1998,"0.00%")</f>
        <v>0</v>
      </c>
      <c r="E9">
        <v>169933503</v>
      </c>
      <c r="F9">
        <v>3851336568</v>
      </c>
      <c r="G9">
        <f>TEXT(0.1764,"0.00%")</f>
        <v>0</v>
      </c>
      <c r="H9">
        <f>TEXT(0.1984,"0.00%")</f>
        <v>0</v>
      </c>
      <c r="I9">
        <v>20773542475</v>
      </c>
      <c r="J9">
        <v>2.06</v>
      </c>
      <c r="K9">
        <v>24.08</v>
      </c>
      <c r="L9">
        <v>20.54</v>
      </c>
      <c r="M9">
        <v>20.56</v>
      </c>
      <c r="N9">
        <v>20.07</v>
      </c>
    </row>
    <row r="10" spans="1:14">
      <c r="A10" t="s">
        <v>22</v>
      </c>
      <c r="B10">
        <f>TEXT(300280,"000000")</f>
        <v>0</v>
      </c>
      <c r="C10">
        <v>43.19</v>
      </c>
      <c r="D10">
        <f>TEXT(0.1807,"0.00%")</f>
        <v>0</v>
      </c>
      <c r="E10">
        <v>18518472</v>
      </c>
      <c r="F10">
        <v>751438943</v>
      </c>
      <c r="G10">
        <f>TEXT(0.2089,"0.00%")</f>
        <v>0</v>
      </c>
      <c r="H10">
        <f>TEXT(0.11539999999999999,"0.00%")</f>
        <v>0</v>
      </c>
      <c r="I10">
        <v>6999619483</v>
      </c>
      <c r="J10">
        <v>1.13</v>
      </c>
      <c r="K10">
        <v>43.69</v>
      </c>
      <c r="L10">
        <v>36.05</v>
      </c>
      <c r="M10">
        <v>36.05</v>
      </c>
      <c r="N10">
        <v>36.58</v>
      </c>
    </row>
    <row r="11" spans="1:14">
      <c r="A11" t="s">
        <v>23</v>
      </c>
      <c r="B11">
        <f>TEXT(688160,"000000")</f>
        <v>0</v>
      </c>
      <c r="C11">
        <v>49.29</v>
      </c>
      <c r="D11">
        <f>TEXT(0.1741,"0.00%")</f>
        <v>0</v>
      </c>
      <c r="E11">
        <v>5729569</v>
      </c>
      <c r="F11">
        <v>259357599</v>
      </c>
      <c r="G11">
        <f>TEXT(0.22820000000000001,"0.00%")</f>
        <v>0</v>
      </c>
      <c r="H11">
        <f>TEXT(0.20670000000000002,"0.00%")</f>
        <v>0</v>
      </c>
      <c r="I11">
        <v>4140360000</v>
      </c>
      <c r="J11">
        <v>1.45</v>
      </c>
      <c r="K11">
        <v>50.38</v>
      </c>
      <c r="L11">
        <v>40.8</v>
      </c>
      <c r="M11">
        <v>41.5</v>
      </c>
      <c r="N11">
        <v>41.98</v>
      </c>
    </row>
    <row r="12" spans="1:14">
      <c r="A12" t="s">
        <v>24</v>
      </c>
      <c r="B12">
        <f>TEXT(300624,"000000")</f>
        <v>0</v>
      </c>
      <c r="C12">
        <v>136.6</v>
      </c>
      <c r="D12">
        <f>TEXT(0.16870000000000002,"0.00%")</f>
        <v>0</v>
      </c>
      <c r="E12">
        <v>25320450</v>
      </c>
      <c r="F12">
        <v>3214199466</v>
      </c>
      <c r="G12">
        <f>TEXT(0.2159,"0.00%")</f>
        <v>0</v>
      </c>
      <c r="H12">
        <f>TEXT(0.2104,"0.00%")</f>
        <v>0</v>
      </c>
      <c r="I12">
        <v>18809349686</v>
      </c>
      <c r="J12">
        <v>1.68</v>
      </c>
      <c r="K12">
        <v>140.26</v>
      </c>
      <c r="L12">
        <v>115.03</v>
      </c>
      <c r="M12">
        <v>115.12</v>
      </c>
      <c r="N12">
        <v>116.88</v>
      </c>
    </row>
    <row r="13" spans="1:14">
      <c r="A13" t="s">
        <v>25</v>
      </c>
      <c r="B13">
        <f>TEXT(688256,"000000")</f>
        <v>0</v>
      </c>
      <c r="C13">
        <v>224</v>
      </c>
      <c r="D13">
        <f>TEXT(0.1517,"0.00%")</f>
        <v>0</v>
      </c>
      <c r="E13">
        <v>19349292</v>
      </c>
      <c r="F13">
        <v>4155578951</v>
      </c>
      <c r="G13">
        <f>TEXT(0.2076,"0.00%")</f>
        <v>0</v>
      </c>
      <c r="H13">
        <f>TEXT(0.0799,"0.00%")</f>
        <v>0</v>
      </c>
      <c r="I13">
        <v>92875035008</v>
      </c>
      <c r="J13">
        <v>1.66</v>
      </c>
      <c r="K13">
        <v>233.4</v>
      </c>
      <c r="L13">
        <v>193.03</v>
      </c>
      <c r="M13">
        <v>194</v>
      </c>
      <c r="N13">
        <v>194.5</v>
      </c>
    </row>
    <row r="14" spans="1:14">
      <c r="A14" t="s">
        <v>26</v>
      </c>
      <c r="B14">
        <f>TEXT(300654,"000000")</f>
        <v>0</v>
      </c>
      <c r="C14">
        <v>16.35</v>
      </c>
      <c r="D14">
        <f>TEXT(0.1458,"0.00%")</f>
        <v>0</v>
      </c>
      <c r="E14">
        <v>57845218</v>
      </c>
      <c r="F14">
        <v>903935504</v>
      </c>
      <c r="G14">
        <f>TEXT(0.18989999999999999,"0.00%")</f>
        <v>0</v>
      </c>
      <c r="H14">
        <f>TEXT(0.18109999999999998,"0.00%")</f>
        <v>0</v>
      </c>
      <c r="I14">
        <v>5889081746</v>
      </c>
      <c r="J14">
        <v>1.75</v>
      </c>
      <c r="K14">
        <v>16.81</v>
      </c>
      <c r="L14">
        <v>14.1</v>
      </c>
      <c r="M14">
        <v>14.15</v>
      </c>
      <c r="N14">
        <v>14.27</v>
      </c>
    </row>
    <row r="15" spans="1:14">
      <c r="A15" t="s">
        <v>27</v>
      </c>
      <c r="B15">
        <f>TEXT(300560,"000000")</f>
        <v>0</v>
      </c>
      <c r="C15">
        <v>19</v>
      </c>
      <c r="D15">
        <f>TEXT(0.1446,"0.00%")</f>
        <v>0</v>
      </c>
      <c r="E15">
        <v>40027549</v>
      </c>
      <c r="F15">
        <v>737260760</v>
      </c>
      <c r="G15">
        <f>TEXT(0.2114,"0.00%")</f>
        <v>0</v>
      </c>
      <c r="H15">
        <f>TEXT(0.23440000000000003,"0.00%")</f>
        <v>0</v>
      </c>
      <c r="I15">
        <v>4328473448</v>
      </c>
      <c r="J15">
        <v>3.94</v>
      </c>
      <c r="K15">
        <v>19.92</v>
      </c>
      <c r="L15">
        <v>16.41</v>
      </c>
      <c r="M15">
        <v>16.41</v>
      </c>
      <c r="N15">
        <v>16.6</v>
      </c>
    </row>
    <row r="16" spans="1:14">
      <c r="A16" t="s">
        <v>28</v>
      </c>
      <c r="B16">
        <f>TEXT(300620,"000000")</f>
        <v>0</v>
      </c>
      <c r="C16">
        <v>51.99</v>
      </c>
      <c r="D16">
        <f>TEXT(0.1426,"0.00%")</f>
        <v>0</v>
      </c>
      <c r="E16">
        <v>48456015</v>
      </c>
      <c r="F16">
        <v>2488089732</v>
      </c>
      <c r="G16">
        <f>TEXT(0.2057,"0.00%")</f>
        <v>0</v>
      </c>
      <c r="H16">
        <f>TEXT(0.2011,"0.00%")</f>
        <v>0</v>
      </c>
      <c r="I16">
        <v>12795873525</v>
      </c>
      <c r="J16">
        <v>1.7</v>
      </c>
      <c r="K16">
        <v>54.6</v>
      </c>
      <c r="L16">
        <v>45.24</v>
      </c>
      <c r="M16">
        <v>45.4</v>
      </c>
      <c r="N16">
        <v>45.5</v>
      </c>
    </row>
    <row r="17" spans="1:14">
      <c r="A17" t="s">
        <v>29</v>
      </c>
      <c r="B17">
        <f>TEXT(301052,"000000")</f>
        <v>0</v>
      </c>
      <c r="C17">
        <v>63.68</v>
      </c>
      <c r="D17">
        <f>TEXT(0.12390000000000001,"0.00%")</f>
        <v>0</v>
      </c>
      <c r="E17">
        <v>6169143</v>
      </c>
      <c r="F17">
        <v>372002300</v>
      </c>
      <c r="G17">
        <f>TEXT(0.1412,"0.00%")</f>
        <v>0</v>
      </c>
      <c r="H17">
        <f>TEXT(0.11199999999999999,"0.00%")</f>
        <v>0</v>
      </c>
      <c r="I17">
        <v>4630887098</v>
      </c>
      <c r="J17">
        <v>1.54</v>
      </c>
      <c r="K17">
        <v>63.87</v>
      </c>
      <c r="L17">
        <v>55.87</v>
      </c>
      <c r="M17">
        <v>56.66</v>
      </c>
      <c r="N17">
        <v>56.66</v>
      </c>
    </row>
    <row r="18" spans="1:14">
      <c r="A18" t="s">
        <v>30</v>
      </c>
      <c r="B18">
        <f>TEXT(301151,"000000")</f>
        <v>0</v>
      </c>
      <c r="C18">
        <v>19.51</v>
      </c>
      <c r="D18">
        <f>TEXT(0.1226,"0.00%")</f>
        <v>0</v>
      </c>
      <c r="E18">
        <v>10757729</v>
      </c>
      <c r="F18">
        <v>217047876</v>
      </c>
      <c r="G18">
        <f>TEXT(0.1013,"0.00%")</f>
        <v>0</v>
      </c>
      <c r="H18">
        <f>TEXT(0.1971,"0.00%")</f>
        <v>0</v>
      </c>
      <c r="I18">
        <v>3271325397</v>
      </c>
      <c r="J18">
        <v>18.47</v>
      </c>
      <c r="K18">
        <v>20.86</v>
      </c>
      <c r="L18">
        <v>19.1</v>
      </c>
      <c r="M18">
        <v>19.18</v>
      </c>
      <c r="N18">
        <v>17.38</v>
      </c>
    </row>
    <row r="19" spans="1:14">
      <c r="A19" t="s">
        <v>31</v>
      </c>
      <c r="B19">
        <f>TEXT(300688,"000000")</f>
        <v>0</v>
      </c>
      <c r="C19">
        <v>33.22</v>
      </c>
      <c r="D19">
        <f>TEXT(0.1223,"0.00%")</f>
        <v>0</v>
      </c>
      <c r="E19">
        <v>32602373</v>
      </c>
      <c r="F19">
        <v>1049416763</v>
      </c>
      <c r="G19">
        <f>TEXT(0.1949,"0.00%")</f>
        <v>0</v>
      </c>
      <c r="H19">
        <f>TEXT(0.2404,"0.00%")</f>
        <v>0</v>
      </c>
      <c r="I19">
        <v>5560345794</v>
      </c>
      <c r="J19">
        <v>1.82</v>
      </c>
      <c r="K19">
        <v>35.47</v>
      </c>
      <c r="L19">
        <v>29.7</v>
      </c>
      <c r="M19">
        <v>30.01</v>
      </c>
      <c r="N19">
        <v>29.6</v>
      </c>
    </row>
    <row r="20" spans="1:14">
      <c r="A20" t="s">
        <v>32</v>
      </c>
      <c r="B20">
        <f>TEXT(300192,"000000")</f>
        <v>0</v>
      </c>
      <c r="C20">
        <v>14.16</v>
      </c>
      <c r="D20">
        <f>TEXT(0.11230000000000001,"0.00%")</f>
        <v>0</v>
      </c>
      <c r="E20">
        <v>41636221</v>
      </c>
      <c r="F20">
        <v>575093347</v>
      </c>
      <c r="G20">
        <f>TEXT(0.1603,"0.00%")</f>
        <v>0</v>
      </c>
      <c r="H20">
        <f>TEXT(0.1931,"0.00%")</f>
        <v>0</v>
      </c>
      <c r="I20">
        <v>4660669538</v>
      </c>
      <c r="J20">
        <v>2.12</v>
      </c>
      <c r="K20">
        <v>14.57</v>
      </c>
      <c r="L20">
        <v>12.53</v>
      </c>
      <c r="M20">
        <v>12.69</v>
      </c>
      <c r="N20">
        <v>12.73</v>
      </c>
    </row>
    <row r="21" spans="1:14">
      <c r="A21" t="s">
        <v>33</v>
      </c>
      <c r="B21">
        <f>TEXT(300042,"000000")</f>
        <v>0</v>
      </c>
      <c r="C21">
        <v>38.85</v>
      </c>
      <c r="D21">
        <f>TEXT(0.11220000000000001,"0.00%")</f>
        <v>0</v>
      </c>
      <c r="E21">
        <v>33200378</v>
      </c>
      <c r="F21">
        <v>1271227347</v>
      </c>
      <c r="G21">
        <f>TEXT(0.20329999999999998,"0.00%")</f>
        <v>0</v>
      </c>
      <c r="H21">
        <f>TEXT(0.18489999999999998,"0.00%")</f>
        <v>0</v>
      </c>
      <c r="I21">
        <v>7785540000</v>
      </c>
      <c r="J21">
        <v>1.38</v>
      </c>
      <c r="K21">
        <v>41</v>
      </c>
      <c r="L21">
        <v>33.9</v>
      </c>
      <c r="M21">
        <v>34.74</v>
      </c>
      <c r="N21">
        <v>34.93</v>
      </c>
    </row>
    <row r="22" spans="1:14">
      <c r="A22" t="s">
        <v>34</v>
      </c>
      <c r="B22">
        <f>TEXT(300709,"000000")</f>
        <v>0</v>
      </c>
      <c r="C22">
        <v>25.33</v>
      </c>
      <c r="D22">
        <f>TEXT(0.111,"0.00%")</f>
        <v>0</v>
      </c>
      <c r="E22">
        <v>35291525</v>
      </c>
      <c r="F22">
        <v>881732752</v>
      </c>
      <c r="G22">
        <f>TEXT(0.1474,"0.00%")</f>
        <v>0</v>
      </c>
      <c r="H22">
        <f>TEXT(0.237,"0.00%")</f>
        <v>0</v>
      </c>
      <c r="I22">
        <v>4715639163</v>
      </c>
      <c r="J22">
        <v>2.91</v>
      </c>
      <c r="K22">
        <v>26.36</v>
      </c>
      <c r="L22">
        <v>23</v>
      </c>
      <c r="M22">
        <v>23</v>
      </c>
      <c r="N22">
        <v>22.8</v>
      </c>
    </row>
    <row r="23" spans="1:14">
      <c r="A23" t="s">
        <v>35</v>
      </c>
      <c r="B23">
        <f>TEXT(300238,"000000")</f>
        <v>0</v>
      </c>
      <c r="C23">
        <v>14.76</v>
      </c>
      <c r="D23">
        <f>TEXT(0.1106,"0.00%")</f>
        <v>0</v>
      </c>
      <c r="E23">
        <v>23742188</v>
      </c>
      <c r="F23">
        <v>342209987</v>
      </c>
      <c r="G23">
        <f>TEXT(0.12789999999999999,"0.00%")</f>
        <v>0</v>
      </c>
      <c r="H23">
        <f>TEXT(0.0895,"0.00%")</f>
        <v>0</v>
      </c>
      <c r="I23">
        <v>3913698146</v>
      </c>
      <c r="J23">
        <v>2.25</v>
      </c>
      <c r="K23">
        <v>14.88</v>
      </c>
      <c r="L23">
        <v>13.18</v>
      </c>
      <c r="M23">
        <v>13.2</v>
      </c>
      <c r="N23">
        <v>13.29</v>
      </c>
    </row>
    <row r="24" spans="1:14">
      <c r="A24" t="s">
        <v>36</v>
      </c>
      <c r="B24">
        <f>TEXT(301391,"000000")</f>
        <v>0</v>
      </c>
      <c r="C24">
        <v>117</v>
      </c>
      <c r="D24">
        <f>TEXT(0.10859999999999999,"0.00%")</f>
        <v>0</v>
      </c>
      <c r="E24">
        <v>2544763</v>
      </c>
      <c r="F24">
        <v>300466157</v>
      </c>
      <c r="G24">
        <f>TEXT(0.1338,"0.00%")</f>
        <v>0</v>
      </c>
      <c r="H24">
        <f>TEXT(0.1685,"0.00%")</f>
        <v>0</v>
      </c>
      <c r="I24">
        <v>7956000000</v>
      </c>
      <c r="J24">
        <v>1.95</v>
      </c>
      <c r="K24">
        <v>125.99</v>
      </c>
      <c r="L24">
        <v>111.87</v>
      </c>
      <c r="M24">
        <v>113.78</v>
      </c>
      <c r="N24">
        <v>105.54</v>
      </c>
    </row>
    <row r="25" spans="1:14">
      <c r="A25" t="s">
        <v>37</v>
      </c>
      <c r="B25">
        <f>TEXT(000656,"000000")</f>
        <v>0</v>
      </c>
      <c r="C25">
        <v>0.95</v>
      </c>
      <c r="D25">
        <f>TEXT(0.1047,"0.00%")</f>
        <v>0</v>
      </c>
      <c r="E25">
        <v>903742809</v>
      </c>
      <c r="F25">
        <v>744736859</v>
      </c>
      <c r="G25">
        <f>TEXT(0.20929999999999999,"0.00%")</f>
        <v>0</v>
      </c>
      <c r="H25">
        <f>TEXT(0.1702,"0.00%")</f>
        <v>0</v>
      </c>
      <c r="I25">
        <v>5072730025</v>
      </c>
      <c r="J25">
        <v>4.47</v>
      </c>
      <c r="K25">
        <v>0.95</v>
      </c>
      <c r="L25">
        <v>0.77</v>
      </c>
      <c r="M25">
        <v>0.77</v>
      </c>
      <c r="N25">
        <v>0.86</v>
      </c>
    </row>
    <row r="26" spans="1:14">
      <c r="A26" t="s">
        <v>38</v>
      </c>
      <c r="B26">
        <f>TEXT(688182,"000000")</f>
        <v>0</v>
      </c>
      <c r="C26">
        <v>23.03</v>
      </c>
      <c r="D26">
        <f>TEXT(0.10460000000000001,"0.00%")</f>
        <v>0</v>
      </c>
      <c r="E26">
        <v>11639410</v>
      </c>
      <c r="F26">
        <v>274440296</v>
      </c>
      <c r="G26">
        <f>TEXT(0.1986,"0.00%")</f>
        <v>0</v>
      </c>
      <c r="H26">
        <f>TEXT(0.1211,"0.00%")</f>
        <v>0</v>
      </c>
      <c r="I26">
        <v>9212000000</v>
      </c>
      <c r="J26">
        <v>2.72</v>
      </c>
      <c r="K26">
        <v>24.99</v>
      </c>
      <c r="L26">
        <v>20.85</v>
      </c>
      <c r="M26">
        <v>21.07</v>
      </c>
      <c r="N26">
        <v>20.85</v>
      </c>
    </row>
    <row r="27" spans="1:14">
      <c r="A27" t="s">
        <v>39</v>
      </c>
      <c r="B27">
        <f>TEXT(300007,"000000")</f>
        <v>0</v>
      </c>
      <c r="C27">
        <v>17.97</v>
      </c>
      <c r="D27">
        <f>TEXT(0.1045,"0.00%")</f>
        <v>0</v>
      </c>
      <c r="E27">
        <v>28763019</v>
      </c>
      <c r="F27">
        <v>498375339</v>
      </c>
      <c r="G27">
        <f>TEXT(0.0965,"0.00%")</f>
        <v>0</v>
      </c>
      <c r="H27">
        <f>TEXT(0.102,"0.00%")</f>
        <v>0</v>
      </c>
      <c r="I27">
        <v>5863121407</v>
      </c>
      <c r="J27">
        <v>2.09</v>
      </c>
      <c r="K27">
        <v>18.07</v>
      </c>
      <c r="L27">
        <v>16.5</v>
      </c>
      <c r="M27">
        <v>16.6</v>
      </c>
      <c r="N27">
        <v>16.27</v>
      </c>
    </row>
    <row r="28" spans="1:14">
      <c r="A28" t="s">
        <v>40</v>
      </c>
      <c r="B28">
        <f>TEXT(300370,"000000")</f>
        <v>0</v>
      </c>
      <c r="C28">
        <v>3.15</v>
      </c>
      <c r="D28">
        <f>TEXT(0.1014,"0.00%")</f>
        <v>0</v>
      </c>
      <c r="E28">
        <v>38118196</v>
      </c>
      <c r="F28">
        <v>116418071</v>
      </c>
      <c r="G28">
        <f>TEXT(0.0944,"0.00%")</f>
        <v>0</v>
      </c>
      <c r="H28">
        <f>TEXT(0.0339,"0.00%")</f>
        <v>0</v>
      </c>
      <c r="I28">
        <v>4969208156</v>
      </c>
      <c r="J28">
        <v>3.96</v>
      </c>
      <c r="K28">
        <v>3.18</v>
      </c>
      <c r="L28">
        <v>2.91</v>
      </c>
      <c r="M28">
        <v>2.93</v>
      </c>
      <c r="N28">
        <v>2.86</v>
      </c>
    </row>
    <row r="29" spans="1:14">
      <c r="A29" t="s">
        <v>41</v>
      </c>
      <c r="B29">
        <f>TEXT(002659,"000000")</f>
        <v>0</v>
      </c>
      <c r="C29">
        <v>4.92</v>
      </c>
      <c r="D29">
        <f>TEXT(0.1007,"0.00%")</f>
        <v>0</v>
      </c>
      <c r="E29">
        <v>33465700</v>
      </c>
      <c r="F29">
        <v>158429159</v>
      </c>
      <c r="G29">
        <f>TEXT(0.1051,"0.00%")</f>
        <v>0</v>
      </c>
      <c r="H29">
        <f>TEXT(0.056900000000000006,"0.00%")</f>
        <v>0</v>
      </c>
      <c r="I29">
        <v>2943539489</v>
      </c>
      <c r="J29">
        <v>2.03</v>
      </c>
      <c r="K29">
        <v>4.92</v>
      </c>
      <c r="L29">
        <v>4.45</v>
      </c>
      <c r="M29">
        <v>4.46</v>
      </c>
      <c r="N29">
        <v>4.47</v>
      </c>
    </row>
    <row r="30" spans="1:14">
      <c r="A30" t="s">
        <v>42</v>
      </c>
      <c r="B30">
        <f>TEXT(002708,"000000")</f>
        <v>0</v>
      </c>
      <c r="C30">
        <v>6.78</v>
      </c>
      <c r="D30">
        <f>TEXT(0.10060000000000001,"0.00%")</f>
        <v>0</v>
      </c>
      <c r="E30">
        <v>28302669</v>
      </c>
      <c r="F30">
        <v>182686778</v>
      </c>
      <c r="G30">
        <f>TEXT(0.125,"0.00%")</f>
        <v>0</v>
      </c>
      <c r="H30">
        <f>TEXT(0.0716,"0.00%")</f>
        <v>0</v>
      </c>
      <c r="I30">
        <v>3335835095</v>
      </c>
      <c r="J30">
        <v>1.4</v>
      </c>
      <c r="K30">
        <v>6.78</v>
      </c>
      <c r="L30">
        <v>6.01</v>
      </c>
      <c r="M30">
        <v>6.2</v>
      </c>
      <c r="N30">
        <v>6.16</v>
      </c>
    </row>
    <row r="31" spans="1:14">
      <c r="A31" t="s">
        <v>43</v>
      </c>
      <c r="B31">
        <f>TEXT(002173,"000000")</f>
        <v>0</v>
      </c>
      <c r="C31">
        <v>7.88</v>
      </c>
      <c r="D31">
        <f>TEXT(0.10060000000000001,"0.00%")</f>
        <v>0</v>
      </c>
      <c r="E31">
        <v>94100291</v>
      </c>
      <c r="F31">
        <v>730813621</v>
      </c>
      <c r="G31">
        <f>TEXT(0.0712,"0.00%")</f>
        <v>0</v>
      </c>
      <c r="H31">
        <f>TEXT(0.2507,"0.00%")</f>
        <v>0</v>
      </c>
      <c r="I31">
        <v>3570267114</v>
      </c>
      <c r="J31">
        <v>6.33</v>
      </c>
      <c r="K31">
        <v>7.88</v>
      </c>
      <c r="L31">
        <v>7.37</v>
      </c>
      <c r="M31">
        <v>7.46</v>
      </c>
      <c r="N31">
        <v>7.16</v>
      </c>
    </row>
    <row r="32" spans="1:14">
      <c r="A32" t="s">
        <v>44</v>
      </c>
      <c r="B32">
        <f>TEXT(002205,"000000")</f>
        <v>0</v>
      </c>
      <c r="C32">
        <v>12.06</v>
      </c>
      <c r="D32">
        <f>TEXT(0.10039999999999999,"0.00%")</f>
        <v>0</v>
      </c>
      <c r="E32">
        <v>31739484</v>
      </c>
      <c r="F32">
        <v>376951590</v>
      </c>
      <c r="G32">
        <f>TEXT(0.0693,"0.00%")</f>
        <v>0</v>
      </c>
      <c r="H32">
        <f>TEXT(0.17079999999999998,"0.00%")</f>
        <v>0</v>
      </c>
      <c r="I32">
        <v>2241269329</v>
      </c>
      <c r="J32">
        <v>2.95</v>
      </c>
      <c r="K32">
        <v>12.06</v>
      </c>
      <c r="L32">
        <v>11.3</v>
      </c>
      <c r="M32">
        <v>11.6</v>
      </c>
      <c r="N32">
        <v>10.96</v>
      </c>
    </row>
    <row r="33" spans="1:14">
      <c r="A33" t="s">
        <v>45</v>
      </c>
      <c r="B33">
        <f>TEXT(600683,"000000")</f>
        <v>0</v>
      </c>
      <c r="C33">
        <v>5.04</v>
      </c>
      <c r="D33">
        <f>TEXT(0.10039999999999999,"0.00%")</f>
        <v>0</v>
      </c>
      <c r="E33">
        <v>18295600</v>
      </c>
      <c r="F33">
        <v>89817160</v>
      </c>
      <c r="G33">
        <f>TEXT(0.1092,"0.00%")</f>
        <v>0</v>
      </c>
      <c r="H33">
        <f>TEXT(0.024700000000000003,"0.00%")</f>
        <v>0</v>
      </c>
      <c r="I33">
        <v>3733519088</v>
      </c>
      <c r="J33">
        <v>2.42</v>
      </c>
      <c r="K33">
        <v>5.04</v>
      </c>
      <c r="L33">
        <v>4.54</v>
      </c>
      <c r="M33">
        <v>4.62</v>
      </c>
      <c r="N33">
        <v>4.58</v>
      </c>
    </row>
    <row r="34" spans="1:14">
      <c r="A34" t="s">
        <v>46</v>
      </c>
      <c r="B34">
        <f>TEXT(003037,"000000")</f>
        <v>0</v>
      </c>
      <c r="C34">
        <v>13.06</v>
      </c>
      <c r="D34">
        <f>TEXT(0.1003,"0.00%")</f>
        <v>0</v>
      </c>
      <c r="E34">
        <v>19675220</v>
      </c>
      <c r="F34">
        <v>253530531</v>
      </c>
      <c r="G34">
        <f>TEXT(0.06570000000000001,"0.00%")</f>
        <v>0</v>
      </c>
      <c r="H34">
        <f>TEXT(0.2162,"0.00%")</f>
        <v>0</v>
      </c>
      <c r="I34">
        <v>6580105773</v>
      </c>
      <c r="J34">
        <v>9.449999999999999</v>
      </c>
      <c r="K34">
        <v>13.06</v>
      </c>
      <c r="L34">
        <v>12.28</v>
      </c>
      <c r="M34">
        <v>12.46</v>
      </c>
      <c r="N34">
        <v>11.87</v>
      </c>
    </row>
    <row r="35" spans="1:14">
      <c r="A35" t="s">
        <v>47</v>
      </c>
      <c r="B35">
        <f>TEXT(000676,"000000")</f>
        <v>0</v>
      </c>
      <c r="C35">
        <v>7.24</v>
      </c>
      <c r="D35">
        <f>TEXT(0.1003,"0.00%")</f>
        <v>0</v>
      </c>
      <c r="E35">
        <v>141438858</v>
      </c>
      <c r="F35">
        <v>984478686</v>
      </c>
      <c r="G35">
        <f>TEXT(0.1322,"0.00%")</f>
        <v>0</v>
      </c>
      <c r="H35">
        <f>TEXT(0.1121,"0.00%")</f>
        <v>0</v>
      </c>
      <c r="I35">
        <v>9241910477</v>
      </c>
      <c r="J35">
        <v>0.93</v>
      </c>
      <c r="K35">
        <v>7.24</v>
      </c>
      <c r="L35">
        <v>6.37</v>
      </c>
      <c r="M35">
        <v>6.53</v>
      </c>
      <c r="N35">
        <v>6.58</v>
      </c>
    </row>
    <row r="36" spans="1:14">
      <c r="A36" t="s">
        <v>48</v>
      </c>
      <c r="B36">
        <f>TEXT(002261,"000000")</f>
        <v>0</v>
      </c>
      <c r="C36">
        <v>13.39</v>
      </c>
      <c r="D36">
        <f>TEXT(0.1002,"0.00%")</f>
        <v>0</v>
      </c>
      <c r="E36">
        <v>181240103</v>
      </c>
      <c r="F36">
        <v>2328029938</v>
      </c>
      <c r="G36">
        <f>TEXT(0.12,"0.00%")</f>
        <v>0</v>
      </c>
      <c r="H36">
        <f>TEXT(0.1616,"0.00%")</f>
        <v>0</v>
      </c>
      <c r="I36">
        <v>16815532554</v>
      </c>
      <c r="J36">
        <v>1.76</v>
      </c>
      <c r="K36">
        <v>13.39</v>
      </c>
      <c r="L36">
        <v>11.93</v>
      </c>
      <c r="M36">
        <v>12.09</v>
      </c>
      <c r="N36">
        <v>12.17</v>
      </c>
    </row>
    <row r="37" spans="1:14">
      <c r="A37" t="s">
        <v>49</v>
      </c>
      <c r="B37">
        <f>TEXT(000504,"000000")</f>
        <v>0</v>
      </c>
      <c r="C37">
        <v>11.97</v>
      </c>
      <c r="D37">
        <f>TEXT(0.1002,"0.00%")</f>
        <v>0</v>
      </c>
      <c r="E37">
        <v>5032558</v>
      </c>
      <c r="F37">
        <v>58423903</v>
      </c>
      <c r="G37">
        <f>TEXT(0.1103,"0.00%")</f>
        <v>0</v>
      </c>
      <c r="H37">
        <f>TEXT(0.016200000000000003,"0.00%")</f>
        <v>0</v>
      </c>
      <c r="I37">
        <v>3729539594</v>
      </c>
      <c r="J37">
        <v>4.72</v>
      </c>
      <c r="K37">
        <v>11.97</v>
      </c>
      <c r="L37">
        <v>10.77</v>
      </c>
      <c r="M37">
        <v>10.77</v>
      </c>
      <c r="N37">
        <v>10.88</v>
      </c>
    </row>
    <row r="38" spans="1:14">
      <c r="A38" t="s">
        <v>50</v>
      </c>
      <c r="B38">
        <f>TEXT(601900,"000000")</f>
        <v>0</v>
      </c>
      <c r="C38">
        <v>19.88</v>
      </c>
      <c r="D38">
        <f>TEXT(0.1002,"0.00%")</f>
        <v>0</v>
      </c>
      <c r="E38">
        <v>27780306</v>
      </c>
      <c r="F38">
        <v>534539572</v>
      </c>
      <c r="G38">
        <f>TEXT(0.1195,"0.00%")</f>
        <v>0</v>
      </c>
      <c r="H38">
        <f>TEXT(0.031,"0.00%")</f>
        <v>0</v>
      </c>
      <c r="I38">
        <v>17810026132</v>
      </c>
      <c r="J38">
        <v>0.9</v>
      </c>
      <c r="K38">
        <v>19.88</v>
      </c>
      <c r="L38">
        <v>17.72</v>
      </c>
      <c r="M38">
        <v>17.92</v>
      </c>
      <c r="N38">
        <v>18.07</v>
      </c>
    </row>
    <row r="39" spans="1:14">
      <c r="A39" t="s">
        <v>51</v>
      </c>
      <c r="B39">
        <f>TEXT(603869,"000000")</f>
        <v>0</v>
      </c>
      <c r="C39">
        <v>10.1</v>
      </c>
      <c r="D39">
        <f>TEXT(0.1002,"0.00%")</f>
        <v>0</v>
      </c>
      <c r="E39">
        <v>5520286</v>
      </c>
      <c r="F39">
        <v>54430199</v>
      </c>
      <c r="G39">
        <f>TEXT(0.0926,"0.00%")</f>
        <v>0</v>
      </c>
      <c r="H39">
        <f>TEXT(0.0109,"0.00%")</f>
        <v>0</v>
      </c>
      <c r="I39">
        <v>5095455130</v>
      </c>
      <c r="J39">
        <v>0.84</v>
      </c>
      <c r="K39">
        <v>10.1</v>
      </c>
      <c r="L39">
        <v>9.25</v>
      </c>
      <c r="M39">
        <v>9.25</v>
      </c>
      <c r="N39">
        <v>9.18</v>
      </c>
    </row>
    <row r="40" spans="1:14">
      <c r="A40" t="s">
        <v>52</v>
      </c>
      <c r="B40">
        <f>TEXT(002229,"000000")</f>
        <v>0</v>
      </c>
      <c r="C40">
        <v>25.94</v>
      </c>
      <c r="D40">
        <f>TEXT(0.1001,"0.00%")</f>
        <v>0</v>
      </c>
      <c r="E40">
        <v>90791377</v>
      </c>
      <c r="F40">
        <v>2322259716</v>
      </c>
      <c r="G40">
        <f>TEXT(0.0611,"0.00%")</f>
        <v>0</v>
      </c>
      <c r="H40">
        <f>TEXT(0.1841,"0.00%")</f>
        <v>0</v>
      </c>
      <c r="I40">
        <v>12927050182</v>
      </c>
      <c r="J40">
        <v>0.68</v>
      </c>
      <c r="K40">
        <v>25.94</v>
      </c>
      <c r="L40">
        <v>24.5</v>
      </c>
      <c r="M40">
        <v>24.9</v>
      </c>
      <c r="N40">
        <v>23.58</v>
      </c>
    </row>
    <row r="41" spans="1:14">
      <c r="A41" t="s">
        <v>53</v>
      </c>
      <c r="B41">
        <f>TEXT(002995,"000000")</f>
        <v>0</v>
      </c>
      <c r="C41">
        <v>31.31</v>
      </c>
      <c r="D41">
        <f>TEXT(0.1001,"0.00%")</f>
        <v>0</v>
      </c>
      <c r="E41">
        <v>8915751</v>
      </c>
      <c r="F41">
        <v>267609798</v>
      </c>
      <c r="G41">
        <f>TEXT(0.1103,"0.00%")</f>
        <v>0</v>
      </c>
      <c r="H41">
        <f>TEXT(0.15439999999999998,"0.00%")</f>
        <v>0</v>
      </c>
      <c r="I41">
        <v>3968642692</v>
      </c>
      <c r="J41">
        <v>1.02</v>
      </c>
      <c r="K41">
        <v>31.31</v>
      </c>
      <c r="L41">
        <v>28.17</v>
      </c>
      <c r="M41">
        <v>28.7</v>
      </c>
      <c r="N41">
        <v>28.46</v>
      </c>
    </row>
    <row r="42" spans="1:14">
      <c r="A42" t="s">
        <v>54</v>
      </c>
      <c r="B42">
        <f>TEXT(603196,"000000")</f>
        <v>0</v>
      </c>
      <c r="C42">
        <v>26.16</v>
      </c>
      <c r="D42">
        <f>TEXT(0.1001,"0.00%")</f>
        <v>0</v>
      </c>
      <c r="E42">
        <v>10065380</v>
      </c>
      <c r="F42">
        <v>260160074</v>
      </c>
      <c r="G42">
        <f>TEXT(0.0622,"0.00%")</f>
        <v>0</v>
      </c>
      <c r="H42">
        <f>TEXT(0.042300000000000004,"0.00%")</f>
        <v>0</v>
      </c>
      <c r="I42">
        <v>6269048113</v>
      </c>
      <c r="J42">
        <v>1.58</v>
      </c>
      <c r="K42">
        <v>26.16</v>
      </c>
      <c r="L42">
        <v>24.68</v>
      </c>
      <c r="M42">
        <v>26.16</v>
      </c>
      <c r="N42">
        <v>23.78</v>
      </c>
    </row>
    <row r="43" spans="1:14">
      <c r="A43" t="s">
        <v>55</v>
      </c>
      <c r="B43">
        <f>TEXT(003004,"000000")</f>
        <v>0</v>
      </c>
      <c r="C43">
        <v>31.1</v>
      </c>
      <c r="D43">
        <f>TEXT(0.1001,"0.00%")</f>
        <v>0</v>
      </c>
      <c r="E43">
        <v>3924800</v>
      </c>
      <c r="F43">
        <v>118007723</v>
      </c>
      <c r="G43">
        <f>TEXT(0.1097,"0.00%")</f>
        <v>0</v>
      </c>
      <c r="H43">
        <f>TEXT(0.11630000000000001,"0.00%")</f>
        <v>0</v>
      </c>
      <c r="I43">
        <v>2545224000</v>
      </c>
      <c r="J43">
        <v>1.23</v>
      </c>
      <c r="K43">
        <v>31.1</v>
      </c>
      <c r="L43">
        <v>28</v>
      </c>
      <c r="M43">
        <v>28.14</v>
      </c>
      <c r="N43">
        <v>28.27</v>
      </c>
    </row>
    <row r="44" spans="1:14">
      <c r="A44" t="s">
        <v>56</v>
      </c>
      <c r="B44">
        <f>TEXT(600422,"000000")</f>
        <v>0</v>
      </c>
      <c r="C44">
        <v>24.83</v>
      </c>
      <c r="D44">
        <f>TEXT(0.1001,"0.00%")</f>
        <v>0</v>
      </c>
      <c r="E44">
        <v>21936808</v>
      </c>
      <c r="F44">
        <v>530914194</v>
      </c>
      <c r="G44">
        <f>TEXT(0.1059,"0.00%")</f>
        <v>0</v>
      </c>
      <c r="H44">
        <f>TEXT(0.028999999999999998,"0.00%")</f>
        <v>0</v>
      </c>
      <c r="I44">
        <v>18824312504</v>
      </c>
      <c r="J44">
        <v>2.01</v>
      </c>
      <c r="K44">
        <v>24.83</v>
      </c>
      <c r="L44">
        <v>22.44</v>
      </c>
      <c r="M44">
        <v>22.48</v>
      </c>
      <c r="N44">
        <v>22.57</v>
      </c>
    </row>
    <row r="45" spans="1:14">
      <c r="A45" t="s">
        <v>57</v>
      </c>
      <c r="B45">
        <f>TEXT(002761,"000000")</f>
        <v>0</v>
      </c>
      <c r="C45">
        <v>18.02</v>
      </c>
      <c r="D45">
        <f>TEXT(0.1001,"0.00%")</f>
        <v>0</v>
      </c>
      <c r="E45">
        <v>49749998</v>
      </c>
      <c r="F45">
        <v>881078012</v>
      </c>
      <c r="G45">
        <f>TEXT(0.0513,"0.00%")</f>
        <v>0</v>
      </c>
      <c r="H45">
        <f>TEXT(0.046,"0.00%")</f>
        <v>0</v>
      </c>
      <c r="I45">
        <v>19485748565</v>
      </c>
      <c r="J45">
        <v>3.37</v>
      </c>
      <c r="K45">
        <v>18.02</v>
      </c>
      <c r="L45">
        <v>17.18</v>
      </c>
      <c r="M45">
        <v>17.34</v>
      </c>
      <c r="N45">
        <v>16.38</v>
      </c>
    </row>
    <row r="46" spans="1:14">
      <c r="A46" t="s">
        <v>58</v>
      </c>
      <c r="B46">
        <f>TEXT(600332,"000000")</f>
        <v>0</v>
      </c>
      <c r="C46">
        <v>35.93</v>
      </c>
      <c r="D46">
        <f>TEXT(0.1001,"0.00%")</f>
        <v>0</v>
      </c>
      <c r="E46">
        <v>36050042</v>
      </c>
      <c r="F46">
        <v>1260836536</v>
      </c>
      <c r="G46">
        <f>TEXT(0.1026,"0.00%")</f>
        <v>0</v>
      </c>
      <c r="H46">
        <f>TEXT(0.0256,"0.00%")</f>
        <v>0</v>
      </c>
      <c r="I46">
        <v>58414668797</v>
      </c>
      <c r="J46">
        <v>4.12</v>
      </c>
      <c r="K46">
        <v>35.93</v>
      </c>
      <c r="L46">
        <v>32.58</v>
      </c>
      <c r="M46">
        <v>32.58</v>
      </c>
      <c r="N46">
        <v>32.66</v>
      </c>
    </row>
    <row r="47" spans="1:14">
      <c r="A47" t="s">
        <v>59</v>
      </c>
      <c r="B47">
        <f>TEXT(002970,"000000")</f>
        <v>0</v>
      </c>
      <c r="C47">
        <v>29.9</v>
      </c>
      <c r="D47">
        <f>TEXT(0.1001,"0.00%")</f>
        <v>0</v>
      </c>
      <c r="E47">
        <v>6491484</v>
      </c>
      <c r="F47">
        <v>187035373</v>
      </c>
      <c r="G47">
        <f>TEXT(0.1096,"0.00%")</f>
        <v>0</v>
      </c>
      <c r="H47">
        <f>TEXT(0.0602,"0.00%")</f>
        <v>0</v>
      </c>
      <c r="I47">
        <v>5172580400</v>
      </c>
      <c r="J47">
        <v>2.52</v>
      </c>
      <c r="K47">
        <v>29.9</v>
      </c>
      <c r="L47">
        <v>26.92</v>
      </c>
      <c r="M47">
        <v>27.15</v>
      </c>
      <c r="N47">
        <v>27.18</v>
      </c>
    </row>
    <row r="48" spans="1:14">
      <c r="A48" t="s">
        <v>60</v>
      </c>
      <c r="B48">
        <f>TEXT(603918,"000000")</f>
        <v>0</v>
      </c>
      <c r="C48">
        <v>24.83</v>
      </c>
      <c r="D48">
        <f>TEXT(0.1001,"0.00%")</f>
        <v>0</v>
      </c>
      <c r="E48">
        <v>56739850</v>
      </c>
      <c r="F48">
        <v>1360900770</v>
      </c>
      <c r="G48">
        <f>TEXT(0.0767,"0.00%")</f>
        <v>0</v>
      </c>
      <c r="H48">
        <f>TEXT(0.1552,"0.00%")</f>
        <v>0</v>
      </c>
      <c r="I48">
        <v>9131456913</v>
      </c>
      <c r="J48">
        <v>0.6899999999999999</v>
      </c>
      <c r="K48">
        <v>24.83</v>
      </c>
      <c r="L48">
        <v>23.1</v>
      </c>
      <c r="M48">
        <v>23.48</v>
      </c>
      <c r="N48">
        <v>22.57</v>
      </c>
    </row>
    <row r="49" spans="1:14">
      <c r="A49" t="s">
        <v>61</v>
      </c>
      <c r="B49">
        <f>TEXT(600976,"000000")</f>
        <v>0</v>
      </c>
      <c r="C49">
        <v>73.89</v>
      </c>
      <c r="D49">
        <f>TEXT(0.1,"0.00%")</f>
        <v>0</v>
      </c>
      <c r="E49">
        <v>4434072</v>
      </c>
      <c r="F49">
        <v>319155661</v>
      </c>
      <c r="G49">
        <f>TEXT(0.1017,"0.00%")</f>
        <v>0</v>
      </c>
      <c r="H49">
        <f>TEXT(0.0291,"0.00%")</f>
        <v>0</v>
      </c>
      <c r="I49">
        <v>11334622554</v>
      </c>
      <c r="J49">
        <v>1.71</v>
      </c>
      <c r="K49">
        <v>73.89</v>
      </c>
      <c r="L49">
        <v>67.06</v>
      </c>
      <c r="M49">
        <v>67.5</v>
      </c>
      <c r="N49">
        <v>67.17</v>
      </c>
    </row>
    <row r="50" spans="1:14">
      <c r="A50" t="s">
        <v>62</v>
      </c>
      <c r="B50">
        <f>TEXT(605133,"000000")</f>
        <v>0</v>
      </c>
      <c r="C50">
        <v>35.08</v>
      </c>
      <c r="D50">
        <f>TEXT(0.1,"0.00%")</f>
        <v>0</v>
      </c>
      <c r="E50">
        <v>8211868</v>
      </c>
      <c r="F50">
        <v>276391071</v>
      </c>
      <c r="G50">
        <f>TEXT(0.12140000000000001,"0.00%")</f>
        <v>0</v>
      </c>
      <c r="H50">
        <f>TEXT(0.1295,"0.00%")</f>
        <v>0</v>
      </c>
      <c r="I50">
        <v>6531679065</v>
      </c>
      <c r="J50">
        <v>1.61</v>
      </c>
      <c r="K50">
        <v>35.08</v>
      </c>
      <c r="L50">
        <v>31.21</v>
      </c>
      <c r="M50">
        <v>31.89</v>
      </c>
      <c r="N50">
        <v>31.89</v>
      </c>
    </row>
    <row r="51" spans="1:14">
      <c r="A51" t="s">
        <v>63</v>
      </c>
      <c r="B51">
        <f>TEXT(001311,"000000")</f>
        <v>0</v>
      </c>
      <c r="C51">
        <v>80.41</v>
      </c>
      <c r="D51">
        <f>TEXT(0.1,"0.00%")</f>
        <v>0</v>
      </c>
      <c r="E51">
        <v>3961759</v>
      </c>
      <c r="F51">
        <v>307503009</v>
      </c>
      <c r="G51">
        <f>TEXT(0.09449999999999999,"0.00%")</f>
        <v>0</v>
      </c>
      <c r="H51">
        <f>TEXT(0.1121,"0.00%")</f>
        <v>0</v>
      </c>
      <c r="I51">
        <v>11364613386</v>
      </c>
      <c r="J51">
        <v>2.77</v>
      </c>
      <c r="K51">
        <v>80.41</v>
      </c>
      <c r="L51">
        <v>73.5</v>
      </c>
      <c r="M51">
        <v>74</v>
      </c>
      <c r="N51">
        <v>73.09999999999999</v>
      </c>
    </row>
    <row r="52" spans="1:14">
      <c r="A52" t="s">
        <v>64</v>
      </c>
      <c r="B52">
        <f>TEXT(600129,"000000")</f>
        <v>0</v>
      </c>
      <c r="C52">
        <v>67.29000000000001</v>
      </c>
      <c r="D52">
        <f>TEXT(0.1,"0.00%")</f>
        <v>0</v>
      </c>
      <c r="E52">
        <v>17400541</v>
      </c>
      <c r="F52">
        <v>1140920870</v>
      </c>
      <c r="G52">
        <f>TEXT(0.10279999999999999,"0.00%")</f>
        <v>0</v>
      </c>
      <c r="H52">
        <f>TEXT(0.031200000000000002,"0.00%")</f>
        <v>0</v>
      </c>
      <c r="I52">
        <v>37473178163</v>
      </c>
      <c r="J52">
        <v>1.41</v>
      </c>
      <c r="K52">
        <v>67.29000000000001</v>
      </c>
      <c r="L52">
        <v>61</v>
      </c>
      <c r="M52">
        <v>61.18</v>
      </c>
      <c r="N52">
        <v>61.17</v>
      </c>
    </row>
    <row r="53" spans="1:14">
      <c r="A53" t="s">
        <v>65</v>
      </c>
      <c r="B53">
        <f>TEXT(003029,"000000")</f>
        <v>0</v>
      </c>
      <c r="C53">
        <v>31.24</v>
      </c>
      <c r="D53">
        <f>TEXT(0.1,"0.00%")</f>
        <v>0</v>
      </c>
      <c r="E53">
        <v>6703804</v>
      </c>
      <c r="F53">
        <v>201968604</v>
      </c>
      <c r="G53">
        <f>TEXT(0.11410000000000001,"0.00%")</f>
        <v>0</v>
      </c>
      <c r="H53">
        <f>TEXT(0.0591,"0.00%")</f>
        <v>0</v>
      </c>
      <c r="I53">
        <v>5821480280</v>
      </c>
      <c r="J53">
        <v>2.07</v>
      </c>
      <c r="K53">
        <v>31.24</v>
      </c>
      <c r="L53">
        <v>28</v>
      </c>
      <c r="M53">
        <v>28.38</v>
      </c>
      <c r="N53">
        <v>28.4</v>
      </c>
    </row>
    <row r="54" spans="1:14">
      <c r="A54" t="s">
        <v>66</v>
      </c>
      <c r="B54">
        <f>TEXT(001309,"000000")</f>
        <v>0</v>
      </c>
      <c r="C54">
        <v>91.84999999999999</v>
      </c>
      <c r="D54">
        <f>TEXT(0.1,"0.00%")</f>
        <v>0</v>
      </c>
      <c r="E54">
        <v>5140201</v>
      </c>
      <c r="F54">
        <v>463940881</v>
      </c>
      <c r="G54">
        <f>TEXT(0.1,"0.00%")</f>
        <v>0</v>
      </c>
      <c r="H54">
        <f>TEXT(0.257,"0.00%")</f>
        <v>0</v>
      </c>
      <c r="I54">
        <v>7364239080</v>
      </c>
      <c r="J54">
        <v>1.03</v>
      </c>
      <c r="K54">
        <v>91.84999999999999</v>
      </c>
      <c r="L54">
        <v>83.5</v>
      </c>
      <c r="M54">
        <v>83.53</v>
      </c>
      <c r="N54">
        <v>83.5</v>
      </c>
    </row>
    <row r="55" spans="1:14">
      <c r="A55" t="s">
        <v>67</v>
      </c>
      <c r="B55">
        <f>TEXT(603322,"000000")</f>
        <v>0</v>
      </c>
      <c r="C55">
        <v>32.11</v>
      </c>
      <c r="D55">
        <f>TEXT(0.1,"0.00%")</f>
        <v>0</v>
      </c>
      <c r="E55">
        <v>15486941</v>
      </c>
      <c r="F55">
        <v>477188225</v>
      </c>
      <c r="G55">
        <f>TEXT(0.1244,"0.00%")</f>
        <v>0</v>
      </c>
      <c r="H55">
        <f>TEXT(0.09949999999999999,"0.00%")</f>
        <v>0</v>
      </c>
      <c r="I55">
        <v>5064357090</v>
      </c>
      <c r="J55">
        <v>1.14</v>
      </c>
      <c r="K55">
        <v>32.11</v>
      </c>
      <c r="L55">
        <v>28.48</v>
      </c>
      <c r="M55">
        <v>29.1</v>
      </c>
      <c r="N55">
        <v>29.19</v>
      </c>
    </row>
    <row r="56" spans="1:14">
      <c r="A56" t="s">
        <v>68</v>
      </c>
      <c r="B56">
        <f>TEXT(300494,"000000")</f>
        <v>0</v>
      </c>
      <c r="C56">
        <v>37.51</v>
      </c>
      <c r="D56">
        <f>TEXT(0.1,"0.00%")</f>
        <v>0</v>
      </c>
      <c r="E56">
        <v>21448006</v>
      </c>
      <c r="F56">
        <v>769491865</v>
      </c>
      <c r="G56">
        <f>TEXT(0.11289999999999999,"0.00%")</f>
        <v>0</v>
      </c>
      <c r="H56">
        <f>TEXT(0.1015,"0.00%")</f>
        <v>0</v>
      </c>
      <c r="I56">
        <v>10190176580</v>
      </c>
      <c r="J56">
        <v>1.15</v>
      </c>
      <c r="K56">
        <v>37.66</v>
      </c>
      <c r="L56">
        <v>33.81</v>
      </c>
      <c r="M56">
        <v>33.81</v>
      </c>
      <c r="N56">
        <v>34.1</v>
      </c>
    </row>
    <row r="57" spans="1:14">
      <c r="A57" t="s">
        <v>69</v>
      </c>
      <c r="B57">
        <f>TEXT(600757,"000000")</f>
        <v>0</v>
      </c>
      <c r="C57">
        <v>9.91</v>
      </c>
      <c r="D57">
        <f>TEXT(0.0999,"0.00%")</f>
        <v>0</v>
      </c>
      <c r="E57">
        <v>74964073</v>
      </c>
      <c r="F57">
        <v>706837188</v>
      </c>
      <c r="G57">
        <f>TEXT(0.1176,"0.00%")</f>
        <v>0</v>
      </c>
      <c r="H57">
        <f>TEXT(0.061799999999999994,"0.00%")</f>
        <v>0</v>
      </c>
      <c r="I57">
        <v>12027274205</v>
      </c>
      <c r="J57">
        <v>1.53</v>
      </c>
      <c r="K57">
        <v>9.91</v>
      </c>
      <c r="L57">
        <v>8.85</v>
      </c>
      <c r="M57">
        <v>9</v>
      </c>
      <c r="N57">
        <v>9.01</v>
      </c>
    </row>
    <row r="58" spans="1:14">
      <c r="A58" t="s">
        <v>70</v>
      </c>
      <c r="B58">
        <f>TEXT(002919,"000000")</f>
        <v>0</v>
      </c>
      <c r="C58">
        <v>41.06</v>
      </c>
      <c r="D58">
        <f>TEXT(0.0999,"0.00%")</f>
        <v>0</v>
      </c>
      <c r="E58">
        <v>6322057</v>
      </c>
      <c r="F58">
        <v>251694692</v>
      </c>
      <c r="G58">
        <f>TEXT(0.09480000000000001,"0.00%")</f>
        <v>0</v>
      </c>
      <c r="H58">
        <f>TEXT(0.0374,"0.00%")</f>
        <v>0</v>
      </c>
      <c r="I58">
        <v>7020851165</v>
      </c>
      <c r="J58">
        <v>0.63</v>
      </c>
      <c r="K58">
        <v>41.06</v>
      </c>
      <c r="L58">
        <v>37.52</v>
      </c>
      <c r="M58">
        <v>37.97</v>
      </c>
      <c r="N58">
        <v>37.33</v>
      </c>
    </row>
    <row r="59" spans="1:14">
      <c r="A59" t="s">
        <v>71</v>
      </c>
      <c r="B59">
        <f>TEXT(600283,"000000")</f>
        <v>0</v>
      </c>
      <c r="C59">
        <v>15.09</v>
      </c>
      <c r="D59">
        <f>TEXT(0.0999,"0.00%")</f>
        <v>0</v>
      </c>
      <c r="E59">
        <v>7198820</v>
      </c>
      <c r="F59">
        <v>108630194</v>
      </c>
      <c r="G59">
        <f>TEXT(0.0,"0.00%")</f>
        <v>0</v>
      </c>
      <c r="H59">
        <f>TEXT(0.0204,"0.00%")</f>
        <v>0</v>
      </c>
      <c r="I59">
        <v>5326705988</v>
      </c>
      <c r="J59">
        <v>2.05</v>
      </c>
      <c r="K59">
        <v>15.09</v>
      </c>
      <c r="L59">
        <v>15.09</v>
      </c>
      <c r="M59">
        <v>15.09</v>
      </c>
      <c r="N59">
        <v>13.72</v>
      </c>
    </row>
    <row r="60" spans="1:14">
      <c r="A60" t="s">
        <v>72</v>
      </c>
      <c r="B60">
        <f>TEXT(603933,"000000")</f>
        <v>0</v>
      </c>
      <c r="C60">
        <v>21.57</v>
      </c>
      <c r="D60">
        <f>TEXT(0.0999,"0.00%")</f>
        <v>0</v>
      </c>
      <c r="E60">
        <v>26240916</v>
      </c>
      <c r="F60">
        <v>556389743</v>
      </c>
      <c r="G60">
        <f>TEXT(0.052000000000000005,"0.00%")</f>
        <v>0</v>
      </c>
      <c r="H60">
        <f>TEXT(0.1281,"0.00%")</f>
        <v>0</v>
      </c>
      <c r="I60">
        <v>4540661874</v>
      </c>
      <c r="J60">
        <v>4.71</v>
      </c>
      <c r="K60">
        <v>21.57</v>
      </c>
      <c r="L60">
        <v>20.55</v>
      </c>
      <c r="M60">
        <v>20.98</v>
      </c>
      <c r="N60">
        <v>19.61</v>
      </c>
    </row>
    <row r="61" spans="1:14">
      <c r="A61" t="s">
        <v>73</v>
      </c>
      <c r="B61">
        <f>TEXT(600151,"000000")</f>
        <v>0</v>
      </c>
      <c r="C61">
        <v>9.359999999999999</v>
      </c>
      <c r="D61">
        <f>TEXT(0.0999,"0.00%")</f>
        <v>0</v>
      </c>
      <c r="E61">
        <v>39697114</v>
      </c>
      <c r="F61">
        <v>362305179</v>
      </c>
      <c r="G61">
        <f>TEXT(0.1152,"0.00%")</f>
        <v>0</v>
      </c>
      <c r="H61">
        <f>TEXT(0.0277,"0.00%")</f>
        <v>0</v>
      </c>
      <c r="I61">
        <v>13424601406</v>
      </c>
      <c r="J61">
        <v>5.32</v>
      </c>
      <c r="K61">
        <v>9.359999999999999</v>
      </c>
      <c r="L61">
        <v>8.380000000000001</v>
      </c>
      <c r="M61">
        <v>8.52</v>
      </c>
      <c r="N61">
        <v>8.51</v>
      </c>
    </row>
    <row r="62" spans="1:14">
      <c r="A62" t="s">
        <v>74</v>
      </c>
      <c r="B62">
        <f>TEXT(000526,"000000")</f>
        <v>0</v>
      </c>
      <c r="C62">
        <v>26.86</v>
      </c>
      <c r="D62">
        <f>TEXT(0.0999,"0.00%")</f>
        <v>0</v>
      </c>
      <c r="E62">
        <v>10769165</v>
      </c>
      <c r="F62">
        <v>277699561</v>
      </c>
      <c r="G62">
        <f>TEXT(0.12119999999999999,"0.00%")</f>
        <v>0</v>
      </c>
      <c r="H62">
        <f>TEXT(0.09140000000000001,"0.00%")</f>
        <v>0</v>
      </c>
      <c r="I62">
        <v>3163106363</v>
      </c>
      <c r="J62">
        <v>1.38</v>
      </c>
      <c r="K62">
        <v>26.86</v>
      </c>
      <c r="L62">
        <v>23.9</v>
      </c>
      <c r="M62">
        <v>24.25</v>
      </c>
      <c r="N62">
        <v>24.42</v>
      </c>
    </row>
    <row r="63" spans="1:14">
      <c r="A63" t="s">
        <v>75</v>
      </c>
      <c r="B63">
        <f>TEXT(600827,"000000")</f>
        <v>0</v>
      </c>
      <c r="C63">
        <v>14.42</v>
      </c>
      <c r="D63">
        <f>TEXT(0.0999,"0.00%")</f>
        <v>0</v>
      </c>
      <c r="E63">
        <v>32716371</v>
      </c>
      <c r="F63">
        <v>462183472</v>
      </c>
      <c r="G63">
        <f>TEXT(0.1076,"0.00%")</f>
        <v>0</v>
      </c>
      <c r="H63">
        <f>TEXT(0.0204,"0.00%")</f>
        <v>0</v>
      </c>
      <c r="I63">
        <v>25727704247</v>
      </c>
      <c r="J63">
        <v>3.38</v>
      </c>
      <c r="K63">
        <v>14.42</v>
      </c>
      <c r="L63">
        <v>13.01</v>
      </c>
      <c r="M63">
        <v>13.12</v>
      </c>
      <c r="N63">
        <v>13.11</v>
      </c>
    </row>
    <row r="64" spans="1:14">
      <c r="A64" t="s">
        <v>76</v>
      </c>
      <c r="B64">
        <f>TEXT(603291,"000000")</f>
        <v>0</v>
      </c>
      <c r="C64">
        <v>15.41</v>
      </c>
      <c r="D64">
        <f>TEXT(0.0999,"0.00%")</f>
        <v>0</v>
      </c>
      <c r="E64">
        <v>12141076</v>
      </c>
      <c r="F64">
        <v>184907172</v>
      </c>
      <c r="G64">
        <f>TEXT(0.06,"0.00%")</f>
        <v>0</v>
      </c>
      <c r="H64">
        <f>TEXT(0.2869,"0.00%")</f>
        <v>0</v>
      </c>
      <c r="I64">
        <v>6521829507</v>
      </c>
      <c r="J64">
        <v>1.19</v>
      </c>
      <c r="K64">
        <v>15.41</v>
      </c>
      <c r="L64">
        <v>14.57</v>
      </c>
      <c r="M64">
        <v>15</v>
      </c>
      <c r="N64">
        <v>14.01</v>
      </c>
    </row>
    <row r="65" spans="1:14">
      <c r="A65" t="s">
        <v>77</v>
      </c>
      <c r="B65">
        <f>TEXT(600410,"000000")</f>
        <v>0</v>
      </c>
      <c r="C65">
        <v>6.83</v>
      </c>
      <c r="D65">
        <f>TEXT(0.0998,"0.00%")</f>
        <v>0</v>
      </c>
      <c r="E65">
        <v>56435562</v>
      </c>
      <c r="F65">
        <v>368866014</v>
      </c>
      <c r="G65">
        <f>TEXT(0.1079,"0.00%")</f>
        <v>0</v>
      </c>
      <c r="H65">
        <f>TEXT(0.051500000000000004,"0.00%")</f>
        <v>0</v>
      </c>
      <c r="I65">
        <v>7489058684</v>
      </c>
      <c r="J65">
        <v>2.05</v>
      </c>
      <c r="K65">
        <v>6.83</v>
      </c>
      <c r="L65">
        <v>6.16</v>
      </c>
      <c r="M65">
        <v>6.21</v>
      </c>
      <c r="N65">
        <v>6.21</v>
      </c>
    </row>
    <row r="66" spans="1:14">
      <c r="A66" t="s">
        <v>78</v>
      </c>
      <c r="B66">
        <f>TEXT(605580,"000000")</f>
        <v>0</v>
      </c>
      <c r="C66">
        <v>14.65</v>
      </c>
      <c r="D66">
        <f>TEXT(0.0998,"0.00%")</f>
        <v>0</v>
      </c>
      <c r="E66">
        <v>39612734</v>
      </c>
      <c r="F66">
        <v>552739902</v>
      </c>
      <c r="G66">
        <f>TEXT(0.11410000000000001,"0.00%")</f>
        <v>0</v>
      </c>
      <c r="H66">
        <f>TEXT(0.5536,"0.00%")</f>
        <v>0</v>
      </c>
      <c r="I66">
        <v>4102000000</v>
      </c>
      <c r="J66">
        <v>7.33</v>
      </c>
      <c r="K66">
        <v>14.65</v>
      </c>
      <c r="L66">
        <v>13.13</v>
      </c>
      <c r="M66">
        <v>14.65</v>
      </c>
      <c r="N66">
        <v>13.32</v>
      </c>
    </row>
    <row r="67" spans="1:14">
      <c r="A67" t="s">
        <v>79</v>
      </c>
      <c r="B67">
        <f>TEXT(603616,"000000")</f>
        <v>0</v>
      </c>
      <c r="C67">
        <v>5.75</v>
      </c>
      <c r="D67">
        <f>TEXT(0.09939999999999999,"0.00%")</f>
        <v>0</v>
      </c>
      <c r="E67">
        <v>11027575</v>
      </c>
      <c r="F67">
        <v>63408556</v>
      </c>
      <c r="G67">
        <f>TEXT(0.0,"0.00%")</f>
        <v>0</v>
      </c>
      <c r="H67">
        <f>TEXT(0.028900000000000002,"0.00%")</f>
        <v>0</v>
      </c>
      <c r="I67">
        <v>2192866000</v>
      </c>
      <c r="J67">
        <v>2.31</v>
      </c>
      <c r="K67">
        <v>5.75</v>
      </c>
      <c r="L67">
        <v>5.75</v>
      </c>
      <c r="M67">
        <v>5.75</v>
      </c>
      <c r="N67">
        <v>5.23</v>
      </c>
    </row>
    <row r="68" spans="1:14">
      <c r="A68" t="s">
        <v>80</v>
      </c>
      <c r="B68">
        <f>TEXT(002607,"000000")</f>
        <v>0</v>
      </c>
      <c r="C68">
        <v>5.1</v>
      </c>
      <c r="D68">
        <f>TEXT(0.09910000000000001,"0.00%")</f>
        <v>0</v>
      </c>
      <c r="E68">
        <v>370019927</v>
      </c>
      <c r="F68">
        <v>1827970908</v>
      </c>
      <c r="G68">
        <f>TEXT(0.1121,"0.00%")</f>
        <v>0</v>
      </c>
      <c r="H68">
        <f>TEXT(0.0791,"0.00%")</f>
        <v>0</v>
      </c>
      <c r="I68">
        <v>31453736883</v>
      </c>
      <c r="J68">
        <v>2.52</v>
      </c>
      <c r="K68">
        <v>5.1</v>
      </c>
      <c r="L68">
        <v>4.58</v>
      </c>
      <c r="M68">
        <v>4.6</v>
      </c>
      <c r="N68">
        <v>4.64</v>
      </c>
    </row>
    <row r="69" spans="1:14">
      <c r="A69" t="s">
        <v>81</v>
      </c>
      <c r="B69">
        <f>TEXT(300609,"000000")</f>
        <v>0</v>
      </c>
      <c r="C69">
        <v>23.15</v>
      </c>
      <c r="D69">
        <f>TEXT(0.09720000000000001,"0.00%")</f>
        <v>0</v>
      </c>
      <c r="E69">
        <v>13622399</v>
      </c>
      <c r="F69">
        <v>310428272</v>
      </c>
      <c r="G69">
        <f>TEXT(0.1313,"0.00%")</f>
        <v>0</v>
      </c>
      <c r="H69">
        <f>TEXT(0.134,"0.00%")</f>
        <v>0</v>
      </c>
      <c r="I69">
        <v>2834474193</v>
      </c>
      <c r="J69">
        <v>1.84</v>
      </c>
      <c r="K69">
        <v>23.65</v>
      </c>
      <c r="L69">
        <v>20.88</v>
      </c>
      <c r="M69">
        <v>21.2</v>
      </c>
      <c r="N69">
        <v>21.1</v>
      </c>
    </row>
    <row r="70" spans="1:14">
      <c r="A70" t="s">
        <v>82</v>
      </c>
      <c r="B70">
        <f>TEXT(300475,"000000")</f>
        <v>0</v>
      </c>
      <c r="C70">
        <v>24.77</v>
      </c>
      <c r="D70">
        <f>TEXT(0.0965,"0.00%")</f>
        <v>0</v>
      </c>
      <c r="E70">
        <v>13140402</v>
      </c>
      <c r="F70">
        <v>317596376</v>
      </c>
      <c r="G70">
        <f>TEXT(0.1036,"0.00%")</f>
        <v>0</v>
      </c>
      <c r="H70">
        <f>TEXT(0.0298,"0.00%")</f>
        <v>0</v>
      </c>
      <c r="I70">
        <v>11333904048</v>
      </c>
      <c r="J70">
        <v>1.38</v>
      </c>
      <c r="K70">
        <v>24.98</v>
      </c>
      <c r="L70">
        <v>22.64</v>
      </c>
      <c r="M70">
        <v>22.81</v>
      </c>
      <c r="N70">
        <v>22.59</v>
      </c>
    </row>
    <row r="71" spans="1:14">
      <c r="A71" t="s">
        <v>83</v>
      </c>
      <c r="B71">
        <f>TEXT(301270,"000000")</f>
        <v>0</v>
      </c>
      <c r="C71">
        <v>61.91</v>
      </c>
      <c r="D71">
        <f>TEXT(0.0958,"0.00%")</f>
        <v>0</v>
      </c>
      <c r="E71">
        <v>5931101</v>
      </c>
      <c r="F71">
        <v>366400773</v>
      </c>
      <c r="G71">
        <f>TEXT(0.1582,"0.00%")</f>
        <v>0</v>
      </c>
      <c r="H71">
        <f>TEXT(0.2956,"0.00%")</f>
        <v>0</v>
      </c>
      <c r="I71">
        <v>6191000000</v>
      </c>
      <c r="J71">
        <v>1.55</v>
      </c>
      <c r="K71">
        <v>66.90000000000001</v>
      </c>
      <c r="L71">
        <v>57.96</v>
      </c>
      <c r="M71">
        <v>58</v>
      </c>
      <c r="N71">
        <v>56.5</v>
      </c>
    </row>
    <row r="72" spans="1:14">
      <c r="A72" t="s">
        <v>84</v>
      </c>
      <c r="B72">
        <f>TEXT(300298,"000000")</f>
        <v>0</v>
      </c>
      <c r="C72">
        <v>32.73</v>
      </c>
      <c r="D72">
        <f>TEXT(0.09570000000000001,"0.00%")</f>
        <v>0</v>
      </c>
      <c r="E72">
        <v>8512700</v>
      </c>
      <c r="F72">
        <v>273233472</v>
      </c>
      <c r="G72">
        <f>TEXT(0.11320000000000001,"0.00%")</f>
        <v>0</v>
      </c>
      <c r="H72">
        <f>TEXT(0.0187,"0.00%")</f>
        <v>0</v>
      </c>
      <c r="I72">
        <v>18468405658</v>
      </c>
      <c r="J72">
        <v>2.92</v>
      </c>
      <c r="K72">
        <v>33.15</v>
      </c>
      <c r="L72">
        <v>29.77</v>
      </c>
      <c r="M72">
        <v>29.82</v>
      </c>
      <c r="N72">
        <v>29.87</v>
      </c>
    </row>
    <row r="73" spans="1:14">
      <c r="A73" t="s">
        <v>85</v>
      </c>
      <c r="B73">
        <f>TEXT(300288,"000000")</f>
        <v>0</v>
      </c>
      <c r="C73">
        <v>21.34</v>
      </c>
      <c r="D73">
        <f>TEXT(0.0916,"0.00%")</f>
        <v>0</v>
      </c>
      <c r="E73">
        <v>48396049</v>
      </c>
      <c r="F73">
        <v>988013550</v>
      </c>
      <c r="G73">
        <f>TEXT(0.13449999999999998,"0.00%")</f>
        <v>0</v>
      </c>
      <c r="H73">
        <f>TEXT(0.1924,"0.00%")</f>
        <v>0</v>
      </c>
      <c r="I73">
        <v>7211669518</v>
      </c>
      <c r="J73">
        <v>0.95</v>
      </c>
      <c r="K73">
        <v>21.68</v>
      </c>
      <c r="L73">
        <v>19.05</v>
      </c>
      <c r="M73">
        <v>19.3</v>
      </c>
      <c r="N73">
        <v>19.55</v>
      </c>
    </row>
    <row r="74" spans="1:14">
      <c r="A74" t="s">
        <v>86</v>
      </c>
      <c r="B74">
        <f>TEXT(600329,"000000")</f>
        <v>0</v>
      </c>
      <c r="C74">
        <v>55.3</v>
      </c>
      <c r="D74">
        <f>TEXT(0.0901,"0.00%")</f>
        <v>0</v>
      </c>
      <c r="E74">
        <v>12276748</v>
      </c>
      <c r="F74">
        <v>667350087</v>
      </c>
      <c r="G74">
        <f>TEXT(0.1173,"0.00%")</f>
        <v>0</v>
      </c>
      <c r="H74">
        <f>TEXT(0.0217,"0.00%")</f>
        <v>0</v>
      </c>
      <c r="I74">
        <v>42594829202</v>
      </c>
      <c r="J74">
        <v>1.55</v>
      </c>
      <c r="K74">
        <v>55.8</v>
      </c>
      <c r="L74">
        <v>49.85</v>
      </c>
      <c r="M74">
        <v>50.64</v>
      </c>
      <c r="N74">
        <v>50.73</v>
      </c>
    </row>
    <row r="75" spans="1:14">
      <c r="A75" t="s">
        <v>87</v>
      </c>
      <c r="B75">
        <f>TEXT(300310,"000000")</f>
        <v>0</v>
      </c>
      <c r="C75">
        <v>4.68</v>
      </c>
      <c r="D75">
        <f>TEXT(0.08839999999999999,"0.00%")</f>
        <v>0</v>
      </c>
      <c r="E75">
        <v>123703620</v>
      </c>
      <c r="F75">
        <v>585905802</v>
      </c>
      <c r="G75">
        <f>TEXT(0.1953,"0.00%")</f>
        <v>0</v>
      </c>
      <c r="H75">
        <f>TEXT(0.1788,"0.00%")</f>
        <v>0</v>
      </c>
      <c r="I75">
        <v>4126161925</v>
      </c>
      <c r="J75">
        <v>3.62</v>
      </c>
      <c r="K75">
        <v>5.1</v>
      </c>
      <c r="L75">
        <v>4.26</v>
      </c>
      <c r="M75">
        <v>4.31</v>
      </c>
      <c r="N75">
        <v>4.3</v>
      </c>
    </row>
    <row r="76" spans="1:14">
      <c r="A76" t="s">
        <v>88</v>
      </c>
      <c r="B76">
        <f>TEXT(300081,"000000")</f>
        <v>0</v>
      </c>
      <c r="C76">
        <v>7.55</v>
      </c>
      <c r="D76">
        <f>TEXT(0.08789999999999999,"0.00%")</f>
        <v>0</v>
      </c>
      <c r="E76">
        <v>45929259</v>
      </c>
      <c r="F76">
        <v>336578736</v>
      </c>
      <c r="G76">
        <f>TEXT(0.1369,"0.00%")</f>
        <v>0</v>
      </c>
      <c r="H76">
        <f>TEXT(0.0934,"0.00%")</f>
        <v>0</v>
      </c>
      <c r="I76">
        <v>4566205398</v>
      </c>
      <c r="J76">
        <v>2.68</v>
      </c>
      <c r="K76">
        <v>7.78</v>
      </c>
      <c r="L76">
        <v>6.83</v>
      </c>
      <c r="M76">
        <v>6.99</v>
      </c>
      <c r="N76">
        <v>6.94</v>
      </c>
    </row>
    <row r="77" spans="1:14">
      <c r="A77" t="s">
        <v>89</v>
      </c>
      <c r="B77">
        <f>TEXT(300580,"000000")</f>
        <v>0</v>
      </c>
      <c r="C77">
        <v>27.36</v>
      </c>
      <c r="D77">
        <f>TEXT(0.0836,"0.00%")</f>
        <v>0</v>
      </c>
      <c r="E77">
        <v>4934505</v>
      </c>
      <c r="F77">
        <v>131385857</v>
      </c>
      <c r="G77">
        <f>TEXT(0.1097,"0.00%")</f>
        <v>0</v>
      </c>
      <c r="H77">
        <f>TEXT(0.0265,"0.00%")</f>
        <v>0</v>
      </c>
      <c r="I77">
        <v>5472457185</v>
      </c>
      <c r="J77">
        <v>2.33</v>
      </c>
      <c r="K77">
        <v>27.69</v>
      </c>
      <c r="L77">
        <v>24.92</v>
      </c>
      <c r="M77">
        <v>25.58</v>
      </c>
      <c r="N77">
        <v>25.25</v>
      </c>
    </row>
    <row r="78" spans="1:14">
      <c r="A78" t="s">
        <v>90</v>
      </c>
      <c r="B78">
        <f>TEXT(300559,"000000")</f>
        <v>0</v>
      </c>
      <c r="C78">
        <v>16.95</v>
      </c>
      <c r="D78">
        <f>TEXT(0.0824,"0.00%")</f>
        <v>0</v>
      </c>
      <c r="E78">
        <v>12095428</v>
      </c>
      <c r="F78">
        <v>200927894</v>
      </c>
      <c r="G78">
        <f>TEXT(0.0932,"0.00%")</f>
        <v>0</v>
      </c>
      <c r="H78">
        <f>TEXT(0.0401,"0.00%")</f>
        <v>0</v>
      </c>
      <c r="I78">
        <v>6771771910</v>
      </c>
      <c r="J78">
        <v>1.18</v>
      </c>
      <c r="K78">
        <v>17.15</v>
      </c>
      <c r="L78">
        <v>15.69</v>
      </c>
      <c r="M78">
        <v>15.89</v>
      </c>
      <c r="N78">
        <v>15.66</v>
      </c>
    </row>
    <row r="79" spans="1:14">
      <c r="A79" t="s">
        <v>91</v>
      </c>
      <c r="B79">
        <f>TEXT(300474,"000000")</f>
        <v>0</v>
      </c>
      <c r="C79">
        <v>89.64</v>
      </c>
      <c r="D79">
        <f>TEXT(0.0823,"0.00%")</f>
        <v>0</v>
      </c>
      <c r="E79">
        <v>31410161</v>
      </c>
      <c r="F79">
        <v>2772152166</v>
      </c>
      <c r="G79">
        <f>TEXT(0.1023,"0.00%")</f>
        <v>0</v>
      </c>
      <c r="H79">
        <f>TEXT(0.0989,"0.00%")</f>
        <v>0</v>
      </c>
      <c r="I79">
        <v>40801681186</v>
      </c>
      <c r="J79">
        <v>1.89</v>
      </c>
      <c r="K79">
        <v>91.97</v>
      </c>
      <c r="L79">
        <v>83.5</v>
      </c>
      <c r="M79">
        <v>83.61</v>
      </c>
      <c r="N79">
        <v>82.81999999999999</v>
      </c>
    </row>
    <row r="80" spans="1:14">
      <c r="A80" t="s">
        <v>92</v>
      </c>
      <c r="B80">
        <f>TEXT(688371,"000000")</f>
        <v>0</v>
      </c>
      <c r="C80">
        <v>19.89</v>
      </c>
      <c r="D80">
        <f>TEXT(0.08220000000000001,"0.00%")</f>
        <v>0</v>
      </c>
      <c r="E80">
        <v>4346703</v>
      </c>
      <c r="F80">
        <v>84938991</v>
      </c>
      <c r="G80">
        <f>TEXT(0.1159,"0.00%")</f>
        <v>0</v>
      </c>
      <c r="H80">
        <f>TEXT(0.0555,"0.00%")</f>
        <v>0</v>
      </c>
      <c r="I80">
        <v>6672545160</v>
      </c>
      <c r="J80">
        <v>4.05</v>
      </c>
      <c r="K80">
        <v>20.4</v>
      </c>
      <c r="L80">
        <v>18.27</v>
      </c>
      <c r="M80">
        <v>18.36</v>
      </c>
      <c r="N80">
        <v>18.38</v>
      </c>
    </row>
    <row r="81" spans="1:14">
      <c r="A81" t="s">
        <v>93</v>
      </c>
      <c r="B81">
        <f>TEXT(300846,"000000")</f>
        <v>0</v>
      </c>
      <c r="C81">
        <v>15.42</v>
      </c>
      <c r="D81">
        <f>TEXT(0.0821,"0.00%")</f>
        <v>0</v>
      </c>
      <c r="E81">
        <v>60060370</v>
      </c>
      <c r="F81">
        <v>919762001</v>
      </c>
      <c r="G81">
        <f>TEXT(0.1011,"0.00%")</f>
        <v>0</v>
      </c>
      <c r="H81">
        <f>TEXT(0.18710000000000002,"0.00%")</f>
        <v>0</v>
      </c>
      <c r="I81">
        <v>7198408131</v>
      </c>
      <c r="J81">
        <v>2.15</v>
      </c>
      <c r="K81">
        <v>15.9</v>
      </c>
      <c r="L81">
        <v>14.46</v>
      </c>
      <c r="M81">
        <v>14.55</v>
      </c>
      <c r="N81">
        <v>14.25</v>
      </c>
    </row>
    <row r="82" spans="1:14">
      <c r="A82" t="s">
        <v>94</v>
      </c>
      <c r="B82">
        <f>TEXT(300031,"000000")</f>
        <v>0</v>
      </c>
      <c r="C82">
        <v>26.23</v>
      </c>
      <c r="D82">
        <f>TEXT(0.0816,"0.00%")</f>
        <v>0</v>
      </c>
      <c r="E82">
        <v>42251478</v>
      </c>
      <c r="F82">
        <v>1086738516</v>
      </c>
      <c r="G82">
        <f>TEXT(0.1093,"0.00%")</f>
        <v>0</v>
      </c>
      <c r="H82">
        <f>TEXT(0.1223,"0.00%")</f>
        <v>0</v>
      </c>
      <c r="I82">
        <v>10809733065</v>
      </c>
      <c r="J82">
        <v>1.14</v>
      </c>
      <c r="K82">
        <v>26.66</v>
      </c>
      <c r="L82">
        <v>24.01</v>
      </c>
      <c r="M82">
        <v>24.01</v>
      </c>
      <c r="N82">
        <v>24.25</v>
      </c>
    </row>
    <row r="83" spans="1:14">
      <c r="A83" t="s">
        <v>95</v>
      </c>
      <c r="B83">
        <f>TEXT(688004,"000000")</f>
        <v>0</v>
      </c>
      <c r="C83">
        <v>37.82</v>
      </c>
      <c r="D83">
        <f>TEXT(0.0815,"0.00%")</f>
        <v>0</v>
      </c>
      <c r="E83">
        <v>5184325</v>
      </c>
      <c r="F83">
        <v>193649885</v>
      </c>
      <c r="G83">
        <f>TEXT(0.1484,"0.00%")</f>
        <v>0</v>
      </c>
      <c r="H83">
        <f>TEXT(0.1301,"0.00%")</f>
        <v>0</v>
      </c>
      <c r="I83">
        <v>2148176000</v>
      </c>
      <c r="J83">
        <v>1.76</v>
      </c>
      <c r="K83">
        <v>39.5</v>
      </c>
      <c r="L83">
        <v>34.31</v>
      </c>
      <c r="M83">
        <v>34.8</v>
      </c>
      <c r="N83">
        <v>34.97</v>
      </c>
    </row>
    <row r="84" spans="1:14">
      <c r="A84" t="s">
        <v>96</v>
      </c>
      <c r="B84">
        <f>TEXT(688590,"000000")</f>
        <v>0</v>
      </c>
      <c r="C84">
        <v>16.06</v>
      </c>
      <c r="D84">
        <f>TEXT(0.0815,"0.00%")</f>
        <v>0</v>
      </c>
      <c r="E84">
        <v>17585321</v>
      </c>
      <c r="F84">
        <v>282176629</v>
      </c>
      <c r="G84">
        <f>TEXT(0.12789999999999999,"0.00%")</f>
        <v>0</v>
      </c>
      <c r="H84">
        <f>TEXT(0.1093,"0.00%")</f>
        <v>0</v>
      </c>
      <c r="I84">
        <v>3833903649</v>
      </c>
      <c r="J84">
        <v>1.5</v>
      </c>
      <c r="K84">
        <v>16.78</v>
      </c>
      <c r="L84">
        <v>14.88</v>
      </c>
      <c r="M84">
        <v>14.97</v>
      </c>
      <c r="N84">
        <v>14.85</v>
      </c>
    </row>
    <row r="85" spans="1:14">
      <c r="A85" t="s">
        <v>97</v>
      </c>
      <c r="B85">
        <f>TEXT(300235,"000000")</f>
        <v>0</v>
      </c>
      <c r="C85">
        <v>12.79</v>
      </c>
      <c r="D85">
        <f>TEXT(0.08109999999999999,"0.00%")</f>
        <v>0</v>
      </c>
      <c r="E85">
        <v>34090258</v>
      </c>
      <c r="F85">
        <v>424033753</v>
      </c>
      <c r="G85">
        <f>TEXT(0.1107,"0.00%")</f>
        <v>0</v>
      </c>
      <c r="H85">
        <f>TEXT(0.1678,"0.00%")</f>
        <v>0</v>
      </c>
      <c r="I85">
        <v>3219839461</v>
      </c>
      <c r="J85">
        <v>1.04</v>
      </c>
      <c r="K85">
        <v>12.94</v>
      </c>
      <c r="L85">
        <v>11.63</v>
      </c>
      <c r="M85">
        <v>11.83</v>
      </c>
      <c r="N85">
        <v>11.83</v>
      </c>
    </row>
    <row r="86" spans="1:14">
      <c r="A86" t="s">
        <v>98</v>
      </c>
      <c r="B86">
        <f>TEXT(000021,"000000")</f>
        <v>0</v>
      </c>
      <c r="C86">
        <v>20.7</v>
      </c>
      <c r="D86">
        <f>TEXT(0.08039999999999999,"0.00%")</f>
        <v>0</v>
      </c>
      <c r="E86">
        <v>197882186</v>
      </c>
      <c r="F86">
        <v>4051163079</v>
      </c>
      <c r="G86">
        <f>TEXT(0.1331,"0.00%")</f>
        <v>0</v>
      </c>
      <c r="H86">
        <f>TEXT(0.1268,"0.00%")</f>
        <v>0</v>
      </c>
      <c r="I86">
        <v>32304163071</v>
      </c>
      <c r="J86">
        <v>1.57</v>
      </c>
      <c r="K86">
        <v>21.08</v>
      </c>
      <c r="L86">
        <v>18.53</v>
      </c>
      <c r="M86">
        <v>18.65</v>
      </c>
      <c r="N86">
        <v>19.16</v>
      </c>
    </row>
    <row r="87" spans="1:14">
      <c r="A87" t="s">
        <v>99</v>
      </c>
      <c r="B87">
        <f>TEXT(603179,"000000")</f>
        <v>0</v>
      </c>
      <c r="C87">
        <v>42.53</v>
      </c>
      <c r="D87">
        <f>TEXT(0.0803,"0.00%")</f>
        <v>0</v>
      </c>
      <c r="E87">
        <v>6835809</v>
      </c>
      <c r="F87">
        <v>285958042</v>
      </c>
      <c r="G87">
        <f>TEXT(0.1115,"0.00%")</f>
        <v>0</v>
      </c>
      <c r="H87">
        <f>TEXT(0.013999999999999999,"0.00%")</f>
        <v>0</v>
      </c>
      <c r="I87">
        <v>20724952826</v>
      </c>
      <c r="J87">
        <v>3.81</v>
      </c>
      <c r="K87">
        <v>43.28</v>
      </c>
      <c r="L87">
        <v>38.89</v>
      </c>
      <c r="M87">
        <v>39.2</v>
      </c>
      <c r="N87">
        <v>39.37</v>
      </c>
    </row>
    <row r="88" spans="1:14">
      <c r="A88" t="s">
        <v>100</v>
      </c>
      <c r="B88">
        <f>TEXT(688095,"000000")</f>
        <v>0</v>
      </c>
      <c r="C88">
        <v>148</v>
      </c>
      <c r="D88">
        <f>TEXT(0.0803,"0.00%")</f>
        <v>0</v>
      </c>
      <c r="E88">
        <v>2085995</v>
      </c>
      <c r="F88">
        <v>303712287</v>
      </c>
      <c r="G88">
        <f>TEXT(0.12789999999999999,"0.00%")</f>
        <v>0</v>
      </c>
      <c r="H88">
        <f>TEXT(0.052300000000000006,"0.00%")</f>
        <v>0</v>
      </c>
      <c r="I88">
        <v>9797940696</v>
      </c>
      <c r="J88">
        <v>1.16</v>
      </c>
      <c r="K88">
        <v>151.62</v>
      </c>
      <c r="L88">
        <v>134.1</v>
      </c>
      <c r="M88">
        <v>135.03</v>
      </c>
      <c r="N88">
        <v>137</v>
      </c>
    </row>
    <row r="89" spans="1:14">
      <c r="A89" t="s">
        <v>101</v>
      </c>
      <c r="B89">
        <f>TEXT(300271,"000000")</f>
        <v>0</v>
      </c>
      <c r="C89">
        <v>9.609999999999999</v>
      </c>
      <c r="D89">
        <f>TEXT(0.0786,"0.00%")</f>
        <v>0</v>
      </c>
      <c r="E89">
        <v>26613567</v>
      </c>
      <c r="F89">
        <v>248265098</v>
      </c>
      <c r="G89">
        <f>TEXT(0.09539999999999998,"0.00%")</f>
        <v>0</v>
      </c>
      <c r="H89">
        <f>TEXT(0.0332,"0.00%")</f>
        <v>0</v>
      </c>
      <c r="I89">
        <v>7924031431</v>
      </c>
      <c r="J89">
        <v>1.65</v>
      </c>
      <c r="K89">
        <v>9.67</v>
      </c>
      <c r="L89">
        <v>8.82</v>
      </c>
      <c r="M89">
        <v>8.890000000000001</v>
      </c>
      <c r="N89">
        <v>8.91</v>
      </c>
    </row>
    <row r="90" spans="1:14">
      <c r="A90" t="s">
        <v>102</v>
      </c>
      <c r="B90">
        <f>TEXT(300570,"000000")</f>
        <v>0</v>
      </c>
      <c r="C90">
        <v>28.85</v>
      </c>
      <c r="D90">
        <f>TEXT(0.0785,"0.00%")</f>
        <v>0</v>
      </c>
      <c r="E90">
        <v>35807993</v>
      </c>
      <c r="F90">
        <v>1018839729</v>
      </c>
      <c r="G90">
        <f>TEXT(0.13419999999999999,"0.00%")</f>
        <v>0</v>
      </c>
      <c r="H90">
        <f>TEXT(0.18469999999999998,"0.00%")</f>
        <v>0</v>
      </c>
      <c r="I90">
        <v>6635407680</v>
      </c>
      <c r="J90">
        <v>1.44</v>
      </c>
      <c r="K90">
        <v>29.59</v>
      </c>
      <c r="L90">
        <v>26</v>
      </c>
      <c r="M90">
        <v>26</v>
      </c>
      <c r="N90">
        <v>26.75</v>
      </c>
    </row>
    <row r="91" spans="1:14">
      <c r="A91" t="s">
        <v>103</v>
      </c>
      <c r="B91">
        <f>TEXT(688244,"000000")</f>
        <v>0</v>
      </c>
      <c r="C91">
        <v>102.09</v>
      </c>
      <c r="D91">
        <f>TEXT(0.078,"0.00%")</f>
        <v>0</v>
      </c>
      <c r="E91">
        <v>1645085</v>
      </c>
      <c r="F91">
        <v>165370185</v>
      </c>
      <c r="G91">
        <f>TEXT(0.10039999999999999,"0.00%")</f>
        <v>0</v>
      </c>
      <c r="H91">
        <f>TEXT(0.1653,"0.00%")</f>
        <v>0</v>
      </c>
      <c r="I91">
        <v>4781007723</v>
      </c>
      <c r="J91">
        <v>1.72</v>
      </c>
      <c r="K91">
        <v>104.77</v>
      </c>
      <c r="L91">
        <v>95.26000000000001</v>
      </c>
      <c r="M91">
        <v>97</v>
      </c>
      <c r="N91">
        <v>94.7</v>
      </c>
    </row>
    <row r="92" spans="1:14">
      <c r="A92" t="s">
        <v>104</v>
      </c>
      <c r="B92">
        <f>TEXT(002548,"000000")</f>
        <v>0</v>
      </c>
      <c r="C92">
        <v>5.45</v>
      </c>
      <c r="D92">
        <f>TEXT(0.0771,"0.00%")</f>
        <v>0</v>
      </c>
      <c r="E92">
        <v>46425938</v>
      </c>
      <c r="F92">
        <v>248412872</v>
      </c>
      <c r="G92">
        <f>TEXT(0.1008,"0.00%")</f>
        <v>0</v>
      </c>
      <c r="H92">
        <f>TEXT(0.0699,"0.00%")</f>
        <v>0</v>
      </c>
      <c r="I92">
        <v>4393287308</v>
      </c>
      <c r="J92">
        <v>1.6</v>
      </c>
      <c r="K92">
        <v>5.54</v>
      </c>
      <c r="L92">
        <v>5.03</v>
      </c>
      <c r="M92">
        <v>5.07</v>
      </c>
      <c r="N92">
        <v>5.06</v>
      </c>
    </row>
    <row r="93" spans="1:14">
      <c r="A93" t="s">
        <v>105</v>
      </c>
      <c r="B93">
        <f>TEXT(300145,"000000")</f>
        <v>0</v>
      </c>
      <c r="C93">
        <v>3.11</v>
      </c>
      <c r="D93">
        <f>TEXT(0.0761,"0.00%")</f>
        <v>0</v>
      </c>
      <c r="E93">
        <v>104721089</v>
      </c>
      <c r="F93">
        <v>321354368</v>
      </c>
      <c r="G93">
        <f>TEXT(0.0796,"0.00%")</f>
        <v>0</v>
      </c>
      <c r="H93">
        <f>TEXT(0.0553,"0.00%")</f>
        <v>0</v>
      </c>
      <c r="I93">
        <v>5980804413</v>
      </c>
      <c r="J93">
        <v>5.53</v>
      </c>
      <c r="K93">
        <v>3.15</v>
      </c>
      <c r="L93">
        <v>2.92</v>
      </c>
      <c r="M93">
        <v>2.94</v>
      </c>
      <c r="N93">
        <v>2.89</v>
      </c>
    </row>
    <row r="94" spans="1:14">
      <c r="A94" t="s">
        <v>106</v>
      </c>
      <c r="B94">
        <f>TEXT(300016,"000000")</f>
        <v>0</v>
      </c>
      <c r="C94">
        <v>7.09</v>
      </c>
      <c r="D94">
        <f>TEXT(0.0759,"0.00%")</f>
        <v>0</v>
      </c>
      <c r="E94">
        <v>24118130</v>
      </c>
      <c r="F94">
        <v>170885642</v>
      </c>
      <c r="G94">
        <f>TEXT(0.1351,"0.00%")</f>
        <v>0</v>
      </c>
      <c r="H94">
        <f>TEXT(0.049100000000000005,"0.00%")</f>
        <v>0</v>
      </c>
      <c r="I94">
        <v>3487813137</v>
      </c>
      <c r="J94">
        <v>4.85</v>
      </c>
      <c r="K94">
        <v>7.41</v>
      </c>
      <c r="L94">
        <v>6.52</v>
      </c>
      <c r="M94">
        <v>6.59</v>
      </c>
      <c r="N94">
        <v>6.59</v>
      </c>
    </row>
    <row r="95" spans="1:14">
      <c r="A95" t="s">
        <v>107</v>
      </c>
      <c r="B95">
        <f>TEXT(002654,"000000")</f>
        <v>0</v>
      </c>
      <c r="C95">
        <v>7.59</v>
      </c>
      <c r="D95">
        <f>TEXT(0.0751,"0.00%")</f>
        <v>0</v>
      </c>
      <c r="E95">
        <v>113621145</v>
      </c>
      <c r="F95">
        <v>839429227</v>
      </c>
      <c r="G95">
        <f>TEXT(0.1161,"0.00%")</f>
        <v>0</v>
      </c>
      <c r="H95">
        <f>TEXT(0.1449,"0.00%")</f>
        <v>0</v>
      </c>
      <c r="I95">
        <v>6415846308</v>
      </c>
      <c r="J95">
        <v>1.91</v>
      </c>
      <c r="K95">
        <v>7.76</v>
      </c>
      <c r="L95">
        <v>6.94</v>
      </c>
      <c r="M95">
        <v>6.98</v>
      </c>
      <c r="N95">
        <v>7.06</v>
      </c>
    </row>
    <row r="96" spans="1:14">
      <c r="A96" t="s">
        <v>108</v>
      </c>
      <c r="B96">
        <f>TEXT(002605,"000000")</f>
        <v>0</v>
      </c>
      <c r="C96">
        <v>32.08</v>
      </c>
      <c r="D96">
        <f>TEXT(0.0751,"0.00%")</f>
        <v>0</v>
      </c>
      <c r="E96">
        <v>17350161</v>
      </c>
      <c r="F96">
        <v>541275608</v>
      </c>
      <c r="G96">
        <f>TEXT(0.0989,"0.00%")</f>
        <v>0</v>
      </c>
      <c r="H96">
        <f>TEXT(0.0527,"0.00%")</f>
        <v>0</v>
      </c>
      <c r="I96">
        <v>13208336575</v>
      </c>
      <c r="J96">
        <v>1.26</v>
      </c>
      <c r="K96">
        <v>32.5</v>
      </c>
      <c r="L96">
        <v>29.55</v>
      </c>
      <c r="M96">
        <v>29.73</v>
      </c>
      <c r="N96">
        <v>29.84</v>
      </c>
    </row>
    <row r="97" spans="1:14">
      <c r="A97" t="s">
        <v>109</v>
      </c>
      <c r="B97">
        <f>TEXT(301045,"000000")</f>
        <v>0</v>
      </c>
      <c r="C97">
        <v>26.28</v>
      </c>
      <c r="D97">
        <f>TEXT(0.0748,"0.00%")</f>
        <v>0</v>
      </c>
      <c r="E97">
        <v>7753975</v>
      </c>
      <c r="F97">
        <v>203422274</v>
      </c>
      <c r="G97">
        <f>TEXT(0.1186,"0.00%")</f>
        <v>0</v>
      </c>
      <c r="H97">
        <f>TEXT(0.1501,"0.00%")</f>
        <v>0</v>
      </c>
      <c r="I97">
        <v>2710896160</v>
      </c>
      <c r="J97">
        <v>1.7</v>
      </c>
      <c r="K97">
        <v>27.18</v>
      </c>
      <c r="L97">
        <v>24.28</v>
      </c>
      <c r="M97">
        <v>24.28</v>
      </c>
      <c r="N97">
        <v>24.45</v>
      </c>
    </row>
    <row r="98" spans="1:14">
      <c r="A98" t="s">
        <v>110</v>
      </c>
      <c r="B98">
        <f>TEXT(688036,"000000")</f>
        <v>0</v>
      </c>
      <c r="C98">
        <v>123.61</v>
      </c>
      <c r="D98">
        <f>TEXT(0.07440000000000001,"0.00%")</f>
        <v>0</v>
      </c>
      <c r="E98">
        <v>7371705</v>
      </c>
      <c r="F98">
        <v>893973641</v>
      </c>
      <c r="G98">
        <f>TEXT(0.0783,"0.00%")</f>
        <v>0</v>
      </c>
      <c r="H98">
        <f>TEXT(0.0092,"0.00%")</f>
        <v>0</v>
      </c>
      <c r="I98">
        <v>99376302763</v>
      </c>
      <c r="J98">
        <v>1.56</v>
      </c>
      <c r="K98">
        <v>124.65</v>
      </c>
      <c r="L98">
        <v>115.64</v>
      </c>
      <c r="M98">
        <v>115.99</v>
      </c>
      <c r="N98">
        <v>115.05</v>
      </c>
    </row>
    <row r="99" spans="1:14">
      <c r="A99" t="s">
        <v>111</v>
      </c>
      <c r="B99">
        <f>TEXT(300302,"000000")</f>
        <v>0</v>
      </c>
      <c r="C99">
        <v>12.74</v>
      </c>
      <c r="D99">
        <f>TEXT(0.0742,"0.00%")</f>
        <v>0</v>
      </c>
      <c r="E99">
        <v>76212568</v>
      </c>
      <c r="F99">
        <v>962355719</v>
      </c>
      <c r="G99">
        <f>TEXT(0.1349,"0.00%")</f>
        <v>0</v>
      </c>
      <c r="H99">
        <f>TEXT(0.2078,"0.00%")</f>
        <v>0</v>
      </c>
      <c r="I99">
        <v>6172858666</v>
      </c>
      <c r="J99">
        <v>1.14</v>
      </c>
      <c r="K99">
        <v>13.25</v>
      </c>
      <c r="L99">
        <v>11.65</v>
      </c>
      <c r="M99">
        <v>11.74</v>
      </c>
      <c r="N99">
        <v>11.86</v>
      </c>
    </row>
    <row r="100" spans="1:14">
      <c r="A100" t="s">
        <v>112</v>
      </c>
      <c r="B100">
        <f>TEXT(688496,"000000")</f>
        <v>0</v>
      </c>
      <c r="C100">
        <v>17.82</v>
      </c>
      <c r="D100">
        <f>TEXT(0.0735,"0.00%")</f>
        <v>0</v>
      </c>
      <c r="E100">
        <v>13403967</v>
      </c>
      <c r="F100">
        <v>234295275</v>
      </c>
      <c r="G100">
        <f>TEXT(0.1157,"0.00%")</f>
        <v>0</v>
      </c>
      <c r="H100">
        <f>TEXT(0.1563,"0.00%")</f>
        <v>0</v>
      </c>
      <c r="I100">
        <v>8019000000</v>
      </c>
      <c r="J100">
        <v>0.75</v>
      </c>
      <c r="K100">
        <v>18.32</v>
      </c>
      <c r="L100">
        <v>16.4</v>
      </c>
      <c r="M100">
        <v>16.4</v>
      </c>
      <c r="N100">
        <v>16.6</v>
      </c>
    </row>
    <row r="101" spans="1:14">
      <c r="A101" t="s">
        <v>113</v>
      </c>
      <c r="B101">
        <f>TEXT(688458,"000000")</f>
        <v>0</v>
      </c>
      <c r="C101">
        <v>78.89</v>
      </c>
      <c r="D101">
        <f>TEXT(0.0733,"0.00%")</f>
        <v>0</v>
      </c>
      <c r="E101">
        <v>6362753</v>
      </c>
      <c r="F101">
        <v>479419802</v>
      </c>
      <c r="G101">
        <f>TEXT(0.11779999999999999,"0.00%")</f>
        <v>0</v>
      </c>
      <c r="H101">
        <f>TEXT(0.3525,"0.00%")</f>
        <v>0</v>
      </c>
      <c r="I101">
        <v>6311988900</v>
      </c>
      <c r="J101">
        <v>1.28</v>
      </c>
      <c r="K101">
        <v>80.01000000000001</v>
      </c>
      <c r="L101">
        <v>71.34999999999999</v>
      </c>
      <c r="M101">
        <v>73.44</v>
      </c>
      <c r="N101">
        <v>73.5</v>
      </c>
    </row>
    <row r="102" spans="1:14">
      <c r="A102" t="s">
        <v>114</v>
      </c>
      <c r="B102">
        <f>TEXT(600750,"000000")</f>
        <v>0</v>
      </c>
      <c r="C102">
        <v>23.99</v>
      </c>
      <c r="D102">
        <f>TEXT(0.0729,"0.00%")</f>
        <v>0</v>
      </c>
      <c r="E102">
        <v>15876482</v>
      </c>
      <c r="F102">
        <v>372521058</v>
      </c>
      <c r="G102">
        <f>TEXT(0.08810000000000001,"0.00%")</f>
        <v>0</v>
      </c>
      <c r="H102">
        <f>TEXT(0.0255,"0.00%")</f>
        <v>0</v>
      </c>
      <c r="I102">
        <v>15102879502</v>
      </c>
      <c r="J102">
        <v>1.55</v>
      </c>
      <c r="K102">
        <v>24.24</v>
      </c>
      <c r="L102">
        <v>22.27</v>
      </c>
      <c r="M102">
        <v>22.5</v>
      </c>
      <c r="N102">
        <v>22.36</v>
      </c>
    </row>
    <row r="103" spans="1:14">
      <c r="A103" t="s">
        <v>115</v>
      </c>
      <c r="B103">
        <f>TEXT(301236,"000000")</f>
        <v>0</v>
      </c>
      <c r="C103">
        <v>38.66</v>
      </c>
      <c r="D103">
        <f>TEXT(0.0727,"0.00%")</f>
        <v>0</v>
      </c>
      <c r="E103">
        <v>18898489</v>
      </c>
      <c r="F103">
        <v>714484658</v>
      </c>
      <c r="G103">
        <f>TEXT(0.0852,"0.00%")</f>
        <v>0</v>
      </c>
      <c r="H103">
        <f>TEXT(0.05,"0.00%")</f>
        <v>0</v>
      </c>
      <c r="I103">
        <v>24560470601</v>
      </c>
      <c r="J103">
        <v>1.78</v>
      </c>
      <c r="K103">
        <v>38.92</v>
      </c>
      <c r="L103">
        <v>35.85</v>
      </c>
      <c r="M103">
        <v>36.54</v>
      </c>
      <c r="N103">
        <v>36.04</v>
      </c>
    </row>
    <row r="104" spans="1:14">
      <c r="A104" t="s">
        <v>116</v>
      </c>
      <c r="B104">
        <f>TEXT(002099,"000000")</f>
        <v>0</v>
      </c>
      <c r="C104">
        <v>9.300000000000001</v>
      </c>
      <c r="D104">
        <f>TEXT(0.0727,"0.00%")</f>
        <v>0</v>
      </c>
      <c r="E104">
        <v>39543408</v>
      </c>
      <c r="F104">
        <v>364747144</v>
      </c>
      <c r="G104">
        <f>TEXT(0.0911,"0.00%")</f>
        <v>0</v>
      </c>
      <c r="H104">
        <f>TEXT(0.0246,"0.00%")</f>
        <v>0</v>
      </c>
      <c r="I104">
        <v>15054051852</v>
      </c>
      <c r="J104">
        <v>2.23</v>
      </c>
      <c r="K104">
        <v>9.42</v>
      </c>
      <c r="L104">
        <v>8.630000000000001</v>
      </c>
      <c r="M104">
        <v>8.67</v>
      </c>
      <c r="N104">
        <v>8.67</v>
      </c>
    </row>
    <row r="105" spans="1:14">
      <c r="A105" t="s">
        <v>117</v>
      </c>
      <c r="B105">
        <f>TEXT(003020,"000000")</f>
        <v>0</v>
      </c>
      <c r="C105">
        <v>40.56</v>
      </c>
      <c r="D105">
        <f>TEXT(0.0727,"0.00%")</f>
        <v>0</v>
      </c>
      <c r="E105">
        <v>1344534</v>
      </c>
      <c r="F105">
        <v>53038261</v>
      </c>
      <c r="G105">
        <f>TEXT(0.08990000000000001,"0.00%")</f>
        <v>0</v>
      </c>
      <c r="H105">
        <f>TEXT(0.0189,"0.00%")</f>
        <v>0</v>
      </c>
      <c r="I105">
        <v>6457439976</v>
      </c>
      <c r="J105">
        <v>1.8</v>
      </c>
      <c r="K105">
        <v>40.81</v>
      </c>
      <c r="L105">
        <v>37.41</v>
      </c>
      <c r="M105">
        <v>37.8</v>
      </c>
      <c r="N105">
        <v>37.81</v>
      </c>
    </row>
    <row r="106" spans="1:14">
      <c r="A106" t="s">
        <v>118</v>
      </c>
      <c r="B106">
        <f>TEXT(300913,"000000")</f>
        <v>0</v>
      </c>
      <c r="C106">
        <v>32.53</v>
      </c>
      <c r="D106">
        <f>TEXT(0.0725,"0.00%")</f>
        <v>0</v>
      </c>
      <c r="E106">
        <v>17900755</v>
      </c>
      <c r="F106">
        <v>585412816</v>
      </c>
      <c r="G106">
        <f>TEXT(0.1678,"0.00%")</f>
        <v>0</v>
      </c>
      <c r="H106">
        <f>TEXT(0.3897,"0.00%")</f>
        <v>0</v>
      </c>
      <c r="I106">
        <v>5977387500</v>
      </c>
      <c r="J106">
        <v>1.66</v>
      </c>
      <c r="K106">
        <v>35.1</v>
      </c>
      <c r="L106">
        <v>30.01</v>
      </c>
      <c r="M106">
        <v>30.01</v>
      </c>
      <c r="N106">
        <v>30.33</v>
      </c>
    </row>
    <row r="107" spans="1:14">
      <c r="A107" t="s">
        <v>119</v>
      </c>
      <c r="B107">
        <f>TEXT(300379,"000000")</f>
        <v>0</v>
      </c>
      <c r="C107">
        <v>26.47</v>
      </c>
      <c r="D107">
        <f>TEXT(0.0717,"0.00%")</f>
        <v>0</v>
      </c>
      <c r="E107">
        <v>23700532</v>
      </c>
      <c r="F107">
        <v>618557561</v>
      </c>
      <c r="G107">
        <f>TEXT(0.0745,"0.00%")</f>
        <v>0</v>
      </c>
      <c r="H107">
        <f>TEXT(0.0548,"0.00%")</f>
        <v>0</v>
      </c>
      <c r="I107">
        <v>12194695436</v>
      </c>
      <c r="J107">
        <v>1.98</v>
      </c>
      <c r="K107">
        <v>26.66</v>
      </c>
      <c r="L107">
        <v>24.82</v>
      </c>
      <c r="M107">
        <v>24.82</v>
      </c>
      <c r="N107">
        <v>24.7</v>
      </c>
    </row>
    <row r="108" spans="1:14">
      <c r="A108" t="s">
        <v>120</v>
      </c>
      <c r="B108">
        <f>TEXT(300426,"000000")</f>
        <v>0</v>
      </c>
      <c r="C108">
        <v>12.8</v>
      </c>
      <c r="D108">
        <f>TEXT(0.0702,"0.00%")</f>
        <v>0</v>
      </c>
      <c r="E108">
        <v>24301057</v>
      </c>
      <c r="F108">
        <v>305154213</v>
      </c>
      <c r="G108">
        <f>TEXT(0.0836,"0.00%")</f>
        <v>0</v>
      </c>
      <c r="H108">
        <f>TEXT(0.061200000000000004,"0.00%")</f>
        <v>0</v>
      </c>
      <c r="I108">
        <v>5235258880</v>
      </c>
      <c r="J108">
        <v>1.11</v>
      </c>
      <c r="K108">
        <v>12.97</v>
      </c>
      <c r="L108">
        <v>11.97</v>
      </c>
      <c r="M108">
        <v>12.1</v>
      </c>
      <c r="N108">
        <v>11.96</v>
      </c>
    </row>
    <row r="109" spans="1:14">
      <c r="A109" t="s">
        <v>121</v>
      </c>
      <c r="B109">
        <f>TEXT(300404,"000000")</f>
        <v>0</v>
      </c>
      <c r="C109">
        <v>10.28</v>
      </c>
      <c r="D109">
        <f>TEXT(0.0697,"0.00%")</f>
        <v>0</v>
      </c>
      <c r="E109">
        <v>11115888</v>
      </c>
      <c r="F109">
        <v>111701783</v>
      </c>
      <c r="G109">
        <f>TEXT(0.076,"0.00%")</f>
        <v>0</v>
      </c>
      <c r="H109">
        <f>TEXT(0.041100000000000005,"0.00%")</f>
        <v>0</v>
      </c>
      <c r="I109">
        <v>3790576710</v>
      </c>
      <c r="J109">
        <v>1.64</v>
      </c>
      <c r="K109">
        <v>10.34</v>
      </c>
      <c r="L109">
        <v>9.609999999999999</v>
      </c>
      <c r="M109">
        <v>9.640000000000001</v>
      </c>
      <c r="N109">
        <v>9.609999999999999</v>
      </c>
    </row>
    <row r="110" spans="1:14">
      <c r="A110" t="s">
        <v>122</v>
      </c>
      <c r="B110">
        <f>TEXT(688207,"000000")</f>
        <v>0</v>
      </c>
      <c r="C110">
        <v>35.7</v>
      </c>
      <c r="D110">
        <f>TEXT(0.0695,"0.00%")</f>
        <v>0</v>
      </c>
      <c r="E110">
        <v>5070219</v>
      </c>
      <c r="F110">
        <v>175106175</v>
      </c>
      <c r="G110">
        <f>TEXT(0.08839999999999999,"0.00%")</f>
        <v>0</v>
      </c>
      <c r="H110">
        <f>TEXT(0.0406,"0.00%")</f>
        <v>0</v>
      </c>
      <c r="I110">
        <v>6603815238</v>
      </c>
      <c r="J110">
        <v>0.75</v>
      </c>
      <c r="K110">
        <v>35.95</v>
      </c>
      <c r="L110">
        <v>33</v>
      </c>
      <c r="M110">
        <v>33.39</v>
      </c>
      <c r="N110">
        <v>33.38</v>
      </c>
    </row>
    <row r="111" spans="1:14">
      <c r="A111" t="s">
        <v>123</v>
      </c>
      <c r="B111">
        <f>TEXT(301132,"000000")</f>
        <v>0</v>
      </c>
      <c r="C111">
        <v>29.48</v>
      </c>
      <c r="D111">
        <f>TEXT(0.0689,"0.00%")</f>
        <v>0</v>
      </c>
      <c r="E111">
        <v>10127736</v>
      </c>
      <c r="F111">
        <v>298528320</v>
      </c>
      <c r="G111">
        <f>TEXT(0.1226,"0.00%")</f>
        <v>0</v>
      </c>
      <c r="H111">
        <f>TEXT(0.2747,"0.00%")</f>
        <v>0</v>
      </c>
      <c r="I111">
        <v>4347415600</v>
      </c>
      <c r="J111">
        <v>3.82</v>
      </c>
      <c r="K111">
        <v>31.04</v>
      </c>
      <c r="L111">
        <v>27.66</v>
      </c>
      <c r="M111">
        <v>27.66</v>
      </c>
      <c r="N111">
        <v>27.58</v>
      </c>
    </row>
    <row r="112" spans="1:14">
      <c r="A112" t="s">
        <v>124</v>
      </c>
      <c r="B112">
        <f>TEXT(688090,"000000")</f>
        <v>0</v>
      </c>
      <c r="C112">
        <v>37.48</v>
      </c>
      <c r="D112">
        <f>TEXT(0.0684,"0.00%")</f>
        <v>0</v>
      </c>
      <c r="E112">
        <v>5750754</v>
      </c>
      <c r="F112">
        <v>205805463</v>
      </c>
      <c r="G112">
        <f>TEXT(0.16219999999999998,"0.00%")</f>
        <v>0</v>
      </c>
      <c r="H112">
        <f>TEXT(0.08539999999999999,"0.00%")</f>
        <v>0</v>
      </c>
      <c r="I112">
        <v>2524674838</v>
      </c>
      <c r="J112">
        <v>1.07</v>
      </c>
      <c r="K112">
        <v>38.2</v>
      </c>
      <c r="L112">
        <v>32.51</v>
      </c>
      <c r="M112">
        <v>33.95</v>
      </c>
      <c r="N112">
        <v>35.08</v>
      </c>
    </row>
    <row r="113" spans="1:14">
      <c r="A113" t="s">
        <v>125</v>
      </c>
      <c r="B113">
        <f>TEXT(688041,"000000")</f>
        <v>0</v>
      </c>
      <c r="C113">
        <v>86.51000000000001</v>
      </c>
      <c r="D113">
        <f>TEXT(0.068,"0.00%")</f>
        <v>0</v>
      </c>
      <c r="E113">
        <v>25016389</v>
      </c>
      <c r="F113">
        <v>2130863973</v>
      </c>
      <c r="G113">
        <f>TEXT(0.09880000000000001,"0.00%")</f>
        <v>0</v>
      </c>
      <c r="H113">
        <f>TEXT(0.11810000000000001,"0.00%")</f>
        <v>0</v>
      </c>
      <c r="I113">
        <v>201078488252</v>
      </c>
      <c r="J113">
        <v>1.68</v>
      </c>
      <c r="K113">
        <v>87.90000000000001</v>
      </c>
      <c r="L113">
        <v>79.90000000000001</v>
      </c>
      <c r="M113">
        <v>80.38</v>
      </c>
      <c r="N113">
        <v>81</v>
      </c>
    </row>
    <row r="114" spans="1:14">
      <c r="A114" t="s">
        <v>126</v>
      </c>
      <c r="B114">
        <f>TEXT(603533,"000000")</f>
        <v>0</v>
      </c>
      <c r="C114">
        <v>23.89</v>
      </c>
      <c r="D114">
        <f>TEXT(0.0679,"0.00%")</f>
        <v>0</v>
      </c>
      <c r="E114">
        <v>26392096</v>
      </c>
      <c r="F114">
        <v>619288365</v>
      </c>
      <c r="G114">
        <f>TEXT(0.0992,"0.00%")</f>
        <v>0</v>
      </c>
      <c r="H114">
        <f>TEXT(0.0601,"0.00%")</f>
        <v>0</v>
      </c>
      <c r="I114">
        <v>10485245388</v>
      </c>
      <c r="J114">
        <v>1.5</v>
      </c>
      <c r="K114">
        <v>24.28</v>
      </c>
      <c r="L114">
        <v>22.06</v>
      </c>
      <c r="M114">
        <v>22.58</v>
      </c>
      <c r="N114">
        <v>22.37</v>
      </c>
    </row>
    <row r="115" spans="1:14">
      <c r="A115" t="s">
        <v>127</v>
      </c>
      <c r="B115">
        <f>TEXT(600960,"000000")</f>
        <v>0</v>
      </c>
      <c r="C115">
        <v>3.63</v>
      </c>
      <c r="D115">
        <f>TEXT(0.0676,"0.00%")</f>
        <v>0</v>
      </c>
      <c r="E115">
        <v>41256184</v>
      </c>
      <c r="F115">
        <v>150203153</v>
      </c>
      <c r="G115">
        <f>TEXT(0.1206,"0.00%")</f>
        <v>0</v>
      </c>
      <c r="H115">
        <f>TEXT(0.0434,"0.00%")</f>
        <v>0</v>
      </c>
      <c r="I115">
        <v>3450371330</v>
      </c>
      <c r="J115">
        <v>7.1</v>
      </c>
      <c r="K115">
        <v>3.74</v>
      </c>
      <c r="L115">
        <v>3.33</v>
      </c>
      <c r="M115">
        <v>3.4</v>
      </c>
      <c r="N115">
        <v>3.4</v>
      </c>
    </row>
    <row r="116" spans="1:14">
      <c r="A116" t="s">
        <v>128</v>
      </c>
      <c r="B116">
        <f>TEXT(000539,"000000")</f>
        <v>0</v>
      </c>
      <c r="C116">
        <v>7.36</v>
      </c>
      <c r="D116">
        <f>TEXT(0.0667,"0.00%")</f>
        <v>0</v>
      </c>
      <c r="E116">
        <v>123117506</v>
      </c>
      <c r="F116">
        <v>904891034</v>
      </c>
      <c r="G116">
        <f>TEXT(0.0928,"0.00%")</f>
        <v>0</v>
      </c>
      <c r="H116">
        <f>TEXT(0.0482,"0.00%")</f>
        <v>0</v>
      </c>
      <c r="I116">
        <v>38642090136</v>
      </c>
      <c r="J116">
        <v>1.44</v>
      </c>
      <c r="K116">
        <v>7.59</v>
      </c>
      <c r="L116">
        <v>6.95</v>
      </c>
      <c r="M116">
        <v>6.95</v>
      </c>
      <c r="N116">
        <v>6.9</v>
      </c>
    </row>
    <row r="117" spans="1:14">
      <c r="A117" t="s">
        <v>129</v>
      </c>
      <c r="B117">
        <f>TEXT(603305,"000000")</f>
        <v>0</v>
      </c>
      <c r="C117">
        <v>27.45</v>
      </c>
      <c r="D117">
        <f>TEXT(0.0664,"0.00%")</f>
        <v>0</v>
      </c>
      <c r="E117">
        <v>15265361</v>
      </c>
      <c r="F117">
        <v>406635456</v>
      </c>
      <c r="G117">
        <f>TEXT(0.0967,"0.00%")</f>
        <v>0</v>
      </c>
      <c r="H117">
        <f>TEXT(0.016399999999999998,"0.00%")</f>
        <v>0</v>
      </c>
      <c r="I117">
        <v>25616749910</v>
      </c>
      <c r="J117">
        <v>2.53</v>
      </c>
      <c r="K117">
        <v>27.58</v>
      </c>
      <c r="L117">
        <v>25.09</v>
      </c>
      <c r="M117">
        <v>25.7</v>
      </c>
      <c r="N117">
        <v>25.74</v>
      </c>
    </row>
    <row r="118" spans="1:14">
      <c r="A118" t="s">
        <v>130</v>
      </c>
      <c r="B118">
        <f>TEXT(300687,"000000")</f>
        <v>0</v>
      </c>
      <c r="C118">
        <v>27.22</v>
      </c>
      <c r="D118">
        <f>TEXT(0.0662,"0.00%")</f>
        <v>0</v>
      </c>
      <c r="E118">
        <v>11808181</v>
      </c>
      <c r="F118">
        <v>314229719</v>
      </c>
      <c r="G118">
        <f>TEXT(0.0924,"0.00%")</f>
        <v>0</v>
      </c>
      <c r="H118">
        <f>TEXT(0.0373,"0.00%")</f>
        <v>0</v>
      </c>
      <c r="I118">
        <v>10993173969</v>
      </c>
      <c r="J118">
        <v>1.76</v>
      </c>
      <c r="K118">
        <v>27.77</v>
      </c>
      <c r="L118">
        <v>25.41</v>
      </c>
      <c r="M118">
        <v>25.41</v>
      </c>
      <c r="N118">
        <v>25.53</v>
      </c>
    </row>
    <row r="119" spans="1:14">
      <c r="A119" t="s">
        <v>131</v>
      </c>
      <c r="B119">
        <f>TEXT(002174,"000000")</f>
        <v>0</v>
      </c>
      <c r="C119">
        <v>19.17</v>
      </c>
      <c r="D119">
        <f>TEXT(0.0662,"0.00%")</f>
        <v>0</v>
      </c>
      <c r="E119">
        <v>65080227</v>
      </c>
      <c r="F119">
        <v>1222007896</v>
      </c>
      <c r="G119">
        <f>TEXT(0.1018,"0.00%")</f>
        <v>0</v>
      </c>
      <c r="H119">
        <f>TEXT(0.0712,"0.00%")</f>
        <v>0</v>
      </c>
      <c r="I119">
        <v>17557254718</v>
      </c>
      <c r="J119">
        <v>1.03</v>
      </c>
      <c r="K119">
        <v>19.49</v>
      </c>
      <c r="L119">
        <v>17.66</v>
      </c>
      <c r="M119">
        <v>17.86</v>
      </c>
      <c r="N119">
        <v>17.98</v>
      </c>
    </row>
    <row r="120" spans="1:14">
      <c r="A120" t="s">
        <v>132</v>
      </c>
      <c r="B120">
        <f>TEXT(601858,"000000")</f>
        <v>0</v>
      </c>
      <c r="C120">
        <v>36.91</v>
      </c>
      <c r="D120">
        <f>TEXT(0.0661,"0.00%")</f>
        <v>0</v>
      </c>
      <c r="E120">
        <v>39266681</v>
      </c>
      <c r="F120">
        <v>1430853213</v>
      </c>
      <c r="G120">
        <f>TEXT(0.1115,"0.00%")</f>
        <v>0</v>
      </c>
      <c r="H120">
        <f>TEXT(0.049699999999999994,"0.00%")</f>
        <v>0</v>
      </c>
      <c r="I120">
        <v>29177355000</v>
      </c>
      <c r="J120">
        <v>1.52</v>
      </c>
      <c r="K120">
        <v>37.99</v>
      </c>
      <c r="L120">
        <v>34.13</v>
      </c>
      <c r="M120">
        <v>34.66</v>
      </c>
      <c r="N120">
        <v>34.62</v>
      </c>
    </row>
    <row r="121" spans="1:14">
      <c r="A121" t="s">
        <v>133</v>
      </c>
      <c r="B121">
        <f>TEXT(600933,"000000")</f>
        <v>0</v>
      </c>
      <c r="C121">
        <v>22.01</v>
      </c>
      <c r="D121">
        <f>TEXT(0.0659,"0.00%")</f>
        <v>0</v>
      </c>
      <c r="E121">
        <v>13082138</v>
      </c>
      <c r="F121">
        <v>284124466</v>
      </c>
      <c r="G121">
        <f>TEXT(0.1007,"0.00%")</f>
        <v>0</v>
      </c>
      <c r="H121">
        <f>TEXT(0.0148,"0.00%")</f>
        <v>0</v>
      </c>
      <c r="I121">
        <v>19440643193</v>
      </c>
      <c r="J121">
        <v>2.26</v>
      </c>
      <c r="K121">
        <v>22.5</v>
      </c>
      <c r="L121">
        <v>20.42</v>
      </c>
      <c r="M121">
        <v>20.79</v>
      </c>
      <c r="N121">
        <v>20.65</v>
      </c>
    </row>
    <row r="122" spans="1:14">
      <c r="A122" t="s">
        <v>134</v>
      </c>
      <c r="B122">
        <f>TEXT(002085,"000000")</f>
        <v>0</v>
      </c>
      <c r="C122">
        <v>6.47</v>
      </c>
      <c r="D122">
        <f>TEXT(0.0659,"0.00%")</f>
        <v>0</v>
      </c>
      <c r="E122">
        <v>44390576</v>
      </c>
      <c r="F122">
        <v>279578004</v>
      </c>
      <c r="G122">
        <f>TEXT(0.1005,"0.00%")</f>
        <v>0</v>
      </c>
      <c r="H122">
        <f>TEXT(0.0207,"0.00%")</f>
        <v>0</v>
      </c>
      <c r="I122">
        <v>13855941259</v>
      </c>
      <c r="J122">
        <v>3.2</v>
      </c>
      <c r="K122">
        <v>6.52</v>
      </c>
      <c r="L122">
        <v>5.91</v>
      </c>
      <c r="M122">
        <v>6.04</v>
      </c>
      <c r="N122">
        <v>6.07</v>
      </c>
    </row>
    <row r="123" spans="1:14">
      <c r="A123" t="s">
        <v>135</v>
      </c>
      <c r="B123">
        <f>TEXT(002262,"000000")</f>
        <v>0</v>
      </c>
      <c r="C123">
        <v>30.45</v>
      </c>
      <c r="D123">
        <f>TEXT(0.0658,"0.00%")</f>
        <v>0</v>
      </c>
      <c r="E123">
        <v>7283365</v>
      </c>
      <c r="F123">
        <v>217238830</v>
      </c>
      <c r="G123">
        <f>TEXT(0.07769999999999999,"0.00%")</f>
        <v>0</v>
      </c>
      <c r="H123">
        <f>TEXT(0.0083,"0.00%")</f>
        <v>0</v>
      </c>
      <c r="I123">
        <v>30681057401</v>
      </c>
      <c r="J123">
        <v>1.54</v>
      </c>
      <c r="K123">
        <v>30.48</v>
      </c>
      <c r="L123">
        <v>28.26</v>
      </c>
      <c r="M123">
        <v>28.5</v>
      </c>
      <c r="N123">
        <v>28.57</v>
      </c>
    </row>
    <row r="124" spans="1:14">
      <c r="A124" t="s">
        <v>136</v>
      </c>
      <c r="B124">
        <f>TEXT(603859,"000000")</f>
        <v>0</v>
      </c>
      <c r="C124">
        <v>46.39</v>
      </c>
      <c r="D124">
        <f>TEXT(0.06570000000000001,"0.00%")</f>
        <v>0</v>
      </c>
      <c r="E124">
        <v>3437624</v>
      </c>
      <c r="F124">
        <v>156194461</v>
      </c>
      <c r="G124">
        <f>TEXT(0.0951,"0.00%")</f>
        <v>0</v>
      </c>
      <c r="H124">
        <f>TEXT(0.0206,"0.00%")</f>
        <v>0</v>
      </c>
      <c r="I124">
        <v>7727104967</v>
      </c>
      <c r="J124">
        <v>3.07</v>
      </c>
      <c r="K124">
        <v>46.94</v>
      </c>
      <c r="L124">
        <v>42.8</v>
      </c>
      <c r="M124">
        <v>43.55</v>
      </c>
      <c r="N124">
        <v>43.53</v>
      </c>
    </row>
    <row r="125" spans="1:14">
      <c r="A125" t="s">
        <v>137</v>
      </c>
      <c r="B125">
        <f>TEXT(300229,"000000")</f>
        <v>0</v>
      </c>
      <c r="C125">
        <v>29.98</v>
      </c>
      <c r="D125">
        <f>TEXT(0.065,"0.00%")</f>
        <v>0</v>
      </c>
      <c r="E125">
        <v>139309860</v>
      </c>
      <c r="F125">
        <v>4186192422</v>
      </c>
      <c r="G125">
        <f>TEXT(0.102,"0.00%")</f>
        <v>0</v>
      </c>
      <c r="H125">
        <f>TEXT(0.1753,"0.00%")</f>
        <v>0</v>
      </c>
      <c r="I125">
        <v>23842852690</v>
      </c>
      <c r="J125">
        <v>1.24</v>
      </c>
      <c r="K125">
        <v>31.3</v>
      </c>
      <c r="L125">
        <v>28.43</v>
      </c>
      <c r="M125">
        <v>28.51</v>
      </c>
      <c r="N125">
        <v>28.15</v>
      </c>
    </row>
    <row r="126" spans="1:14">
      <c r="A126" t="s">
        <v>138</v>
      </c>
      <c r="B126">
        <f>TEXT(601689,"000000")</f>
        <v>0</v>
      </c>
      <c r="C126">
        <v>59.74</v>
      </c>
      <c r="D126">
        <f>TEXT(0.0649,"0.00%")</f>
        <v>0</v>
      </c>
      <c r="E126">
        <v>17849220</v>
      </c>
      <c r="F126">
        <v>1044960051</v>
      </c>
      <c r="G126">
        <f>TEXT(0.0891,"0.00%")</f>
        <v>0</v>
      </c>
      <c r="H126">
        <f>TEXT(0.016200000000000003,"0.00%")</f>
        <v>0</v>
      </c>
      <c r="I126">
        <v>65836357556</v>
      </c>
      <c r="J126">
        <v>1.71</v>
      </c>
      <c r="K126">
        <v>60.83</v>
      </c>
      <c r="L126">
        <v>55.83</v>
      </c>
      <c r="M126">
        <v>57.39</v>
      </c>
      <c r="N126">
        <v>56.1</v>
      </c>
    </row>
    <row r="127" spans="1:14">
      <c r="A127" t="s">
        <v>139</v>
      </c>
      <c r="B127">
        <f>TEXT(600557,"000000")</f>
        <v>0</v>
      </c>
      <c r="C127">
        <v>28.64</v>
      </c>
      <c r="D127">
        <f>TEXT(0.0647,"0.00%")</f>
        <v>0</v>
      </c>
      <c r="E127">
        <v>12645924</v>
      </c>
      <c r="F127">
        <v>355210026</v>
      </c>
      <c r="G127">
        <f>TEXT(0.0814,"0.00%")</f>
        <v>0</v>
      </c>
      <c r="H127">
        <f>TEXT(0.0219,"0.00%")</f>
        <v>0</v>
      </c>
      <c r="I127">
        <v>16742885345</v>
      </c>
      <c r="J127">
        <v>1.25</v>
      </c>
      <c r="K127">
        <v>29.11</v>
      </c>
      <c r="L127">
        <v>26.92</v>
      </c>
      <c r="M127">
        <v>27.11</v>
      </c>
      <c r="N127">
        <v>26.9</v>
      </c>
    </row>
    <row r="128" spans="1:14">
      <c r="A128" t="s">
        <v>140</v>
      </c>
      <c r="B128">
        <f>TEXT(601058,"000000")</f>
        <v>0</v>
      </c>
      <c r="C128">
        <v>10.29</v>
      </c>
      <c r="D128">
        <f>TEXT(0.0641,"0.00%")</f>
        <v>0</v>
      </c>
      <c r="E128">
        <v>42812578</v>
      </c>
      <c r="F128">
        <v>430906649</v>
      </c>
      <c r="G128">
        <f>TEXT(0.0786,"0.00%")</f>
        <v>0</v>
      </c>
      <c r="H128">
        <f>TEXT(0.013999999999999999,"0.00%")</f>
        <v>0</v>
      </c>
      <c r="I128">
        <v>31513997303</v>
      </c>
      <c r="J128">
        <v>2.45</v>
      </c>
      <c r="K128">
        <v>10.35</v>
      </c>
      <c r="L128">
        <v>9.59</v>
      </c>
      <c r="M128">
        <v>9.630000000000001</v>
      </c>
      <c r="N128">
        <v>9.67</v>
      </c>
    </row>
    <row r="129" spans="1:14">
      <c r="A129" t="s">
        <v>141</v>
      </c>
      <c r="B129">
        <f>TEXT(688039,"000000")</f>
        <v>0</v>
      </c>
      <c r="C129">
        <v>57</v>
      </c>
      <c r="D129">
        <f>TEXT(0.0638,"0.00%")</f>
        <v>0</v>
      </c>
      <c r="E129">
        <v>2860987</v>
      </c>
      <c r="F129">
        <v>159566151</v>
      </c>
      <c r="G129">
        <f>TEXT(0.0808,"0.00%")</f>
        <v>0</v>
      </c>
      <c r="H129">
        <f>TEXT(0.0356,"0.00%")</f>
        <v>0</v>
      </c>
      <c r="I129">
        <v>4578040500</v>
      </c>
      <c r="J129">
        <v>1.42</v>
      </c>
      <c r="K129">
        <v>57.28</v>
      </c>
      <c r="L129">
        <v>52.95</v>
      </c>
      <c r="M129">
        <v>53.58</v>
      </c>
      <c r="N129">
        <v>53.58</v>
      </c>
    </row>
    <row r="130" spans="1:14">
      <c r="A130" t="s">
        <v>142</v>
      </c>
      <c r="B130">
        <f>TEXT(002252,"000000")</f>
        <v>0</v>
      </c>
      <c r="C130">
        <v>6.78</v>
      </c>
      <c r="D130">
        <f>TEXT(0.06269999999999999,"0.00%")</f>
        <v>0</v>
      </c>
      <c r="E130">
        <v>87983430</v>
      </c>
      <c r="F130">
        <v>586336920</v>
      </c>
      <c r="G130">
        <f>TEXT(0.0705,"0.00%")</f>
        <v>0</v>
      </c>
      <c r="H130">
        <f>TEXT(0.0131,"0.00%")</f>
        <v>0</v>
      </c>
      <c r="I130">
        <v>45702542009</v>
      </c>
      <c r="J130">
        <v>2.99</v>
      </c>
      <c r="K130">
        <v>6.82</v>
      </c>
      <c r="L130">
        <v>6.37</v>
      </c>
      <c r="M130">
        <v>6.38</v>
      </c>
      <c r="N130">
        <v>6.38</v>
      </c>
    </row>
    <row r="131" spans="1:14">
      <c r="A131" t="s">
        <v>143</v>
      </c>
      <c r="B131">
        <f>TEXT(000503,"000000")</f>
        <v>0</v>
      </c>
      <c r="C131">
        <v>11.89</v>
      </c>
      <c r="D131">
        <f>TEXT(0.0626,"0.00%")</f>
        <v>0</v>
      </c>
      <c r="E131">
        <v>22559608</v>
      </c>
      <c r="F131">
        <v>262275136</v>
      </c>
      <c r="G131">
        <f>TEXT(0.08130000000000001,"0.00%")</f>
        <v>0</v>
      </c>
      <c r="H131">
        <f>TEXT(0.025099999999999997,"0.00%")</f>
        <v>0</v>
      </c>
      <c r="I131">
        <v>10777252995</v>
      </c>
      <c r="J131">
        <v>1.79</v>
      </c>
      <c r="K131">
        <v>12.02</v>
      </c>
      <c r="L131">
        <v>11.11</v>
      </c>
      <c r="M131">
        <v>11.25</v>
      </c>
      <c r="N131">
        <v>11.19</v>
      </c>
    </row>
    <row r="132" spans="1:14">
      <c r="A132" t="s">
        <v>144</v>
      </c>
      <c r="B132">
        <f>TEXT(301085,"000000")</f>
        <v>0</v>
      </c>
      <c r="C132">
        <v>44.09</v>
      </c>
      <c r="D132">
        <f>TEXT(0.062400000000000004,"0.00%")</f>
        <v>0</v>
      </c>
      <c r="E132">
        <v>5812235</v>
      </c>
      <c r="F132">
        <v>254458080</v>
      </c>
      <c r="G132">
        <f>TEXT(0.1378,"0.00%")</f>
        <v>0</v>
      </c>
      <c r="H132">
        <f>TEXT(0.1827,"0.00%")</f>
        <v>0</v>
      </c>
      <c r="I132">
        <v>3527200000</v>
      </c>
      <c r="J132">
        <v>2.22</v>
      </c>
      <c r="K132">
        <v>46.02</v>
      </c>
      <c r="L132">
        <v>40.3</v>
      </c>
      <c r="M132">
        <v>40.88</v>
      </c>
      <c r="N132">
        <v>41.5</v>
      </c>
    </row>
    <row r="133" spans="1:14">
      <c r="A133" t="s">
        <v>145</v>
      </c>
      <c r="B133">
        <f>TEXT(000999,"000000")</f>
        <v>0</v>
      </c>
      <c r="C133">
        <v>67.23</v>
      </c>
      <c r="D133">
        <f>TEXT(0.062400000000000004,"0.00%")</f>
        <v>0</v>
      </c>
      <c r="E133">
        <v>10862183</v>
      </c>
      <c r="F133">
        <v>720374242</v>
      </c>
      <c r="G133">
        <f>TEXT(0.0951,"0.00%")</f>
        <v>0</v>
      </c>
      <c r="H133">
        <f>TEXT(0.0111,"0.00%")</f>
        <v>0</v>
      </c>
      <c r="I133">
        <v>66446501580</v>
      </c>
      <c r="J133">
        <v>1.54</v>
      </c>
      <c r="K133">
        <v>68.59999999999999</v>
      </c>
      <c r="L133">
        <v>62.58</v>
      </c>
      <c r="M133">
        <v>62.94</v>
      </c>
      <c r="N133">
        <v>63.28</v>
      </c>
    </row>
    <row r="134" spans="1:14">
      <c r="A134" t="s">
        <v>146</v>
      </c>
      <c r="B134">
        <f>TEXT(603019,"000000")</f>
        <v>0</v>
      </c>
      <c r="C134">
        <v>50.14</v>
      </c>
      <c r="D134">
        <f>TEXT(0.0623,"0.00%")</f>
        <v>0</v>
      </c>
      <c r="E134">
        <v>126282822</v>
      </c>
      <c r="F134">
        <v>6202605151</v>
      </c>
      <c r="G134">
        <f>TEXT(0.0928,"0.00%")</f>
        <v>0</v>
      </c>
      <c r="H134">
        <f>TEXT(0.087,"0.00%")</f>
        <v>0</v>
      </c>
      <c r="I134">
        <v>73405660656</v>
      </c>
      <c r="J134">
        <v>1.77</v>
      </c>
      <c r="K134">
        <v>50.88</v>
      </c>
      <c r="L134">
        <v>46.5</v>
      </c>
      <c r="M134">
        <v>46.81</v>
      </c>
      <c r="N134">
        <v>47.2</v>
      </c>
    </row>
    <row r="135" spans="1:14">
      <c r="A135" t="s">
        <v>147</v>
      </c>
      <c r="B135">
        <f>TEXT(603856,"000000")</f>
        <v>0</v>
      </c>
      <c r="C135">
        <v>13.15</v>
      </c>
      <c r="D135">
        <f>TEXT(0.0622,"0.00%")</f>
        <v>0</v>
      </c>
      <c r="E135">
        <v>8454277</v>
      </c>
      <c r="F135">
        <v>108760271</v>
      </c>
      <c r="G135">
        <f>TEXT(0.0638,"0.00%")</f>
        <v>0</v>
      </c>
      <c r="H135">
        <f>TEXT(0.033,"0.00%")</f>
        <v>0</v>
      </c>
      <c r="I135">
        <v>3378242890</v>
      </c>
      <c r="J135">
        <v>5.48</v>
      </c>
      <c r="K135">
        <v>13.29</v>
      </c>
      <c r="L135">
        <v>12.5</v>
      </c>
      <c r="M135">
        <v>12.73</v>
      </c>
      <c r="N135">
        <v>12.38</v>
      </c>
    </row>
    <row r="136" spans="1:14">
      <c r="A136" t="s">
        <v>148</v>
      </c>
      <c r="B136">
        <f>TEXT(300493,"000000")</f>
        <v>0</v>
      </c>
      <c r="C136">
        <v>8.74</v>
      </c>
      <c r="D136">
        <f>TEXT(0.062,"0.00%")</f>
        <v>0</v>
      </c>
      <c r="E136">
        <v>21188688</v>
      </c>
      <c r="F136">
        <v>181161619</v>
      </c>
      <c r="G136">
        <f>TEXT(0.079,"0.00%")</f>
        <v>0</v>
      </c>
      <c r="H136">
        <f>TEXT(0.042300000000000004,"0.00%")</f>
        <v>0</v>
      </c>
      <c r="I136">
        <v>4411525024</v>
      </c>
      <c r="J136">
        <v>1.43</v>
      </c>
      <c r="K136">
        <v>8.83</v>
      </c>
      <c r="L136">
        <v>8.18</v>
      </c>
      <c r="M136">
        <v>8.210000000000001</v>
      </c>
      <c r="N136">
        <v>8.23</v>
      </c>
    </row>
    <row r="137" spans="1:14">
      <c r="A137" t="s">
        <v>149</v>
      </c>
      <c r="B137">
        <f>TEXT(688085,"000000")</f>
        <v>0</v>
      </c>
      <c r="C137">
        <v>34.38</v>
      </c>
      <c r="D137">
        <f>TEXT(0.061799999999999994,"0.00%")</f>
        <v>0</v>
      </c>
      <c r="E137">
        <v>2345581</v>
      </c>
      <c r="F137">
        <v>79311264</v>
      </c>
      <c r="G137">
        <f>TEXT(0.08710000000000001,"0.00%")</f>
        <v>0</v>
      </c>
      <c r="H137">
        <f>TEXT(0.0104,"0.00%")</f>
        <v>0</v>
      </c>
      <c r="I137">
        <v>7765302303</v>
      </c>
      <c r="J137">
        <v>1.91</v>
      </c>
      <c r="K137">
        <v>34.57</v>
      </c>
      <c r="L137">
        <v>31.75</v>
      </c>
      <c r="M137">
        <v>31.75</v>
      </c>
      <c r="N137">
        <v>32.38</v>
      </c>
    </row>
    <row r="138" spans="1:14">
      <c r="A138" t="s">
        <v>150</v>
      </c>
      <c r="B138">
        <f>TEXT(300489,"000000")</f>
        <v>0</v>
      </c>
      <c r="C138">
        <v>18.45</v>
      </c>
      <c r="D138">
        <f>TEXT(0.0616,"0.00%")</f>
        <v>0</v>
      </c>
      <c r="E138">
        <v>5285240</v>
      </c>
      <c r="F138">
        <v>96448519</v>
      </c>
      <c r="G138">
        <f>TEXT(0.0616,"0.00%")</f>
        <v>0</v>
      </c>
      <c r="H138">
        <f>TEXT(0.039,"0.00%")</f>
        <v>0</v>
      </c>
      <c r="I138">
        <v>2511506250</v>
      </c>
      <c r="J138">
        <v>5.06</v>
      </c>
      <c r="K138">
        <v>18.9</v>
      </c>
      <c r="L138">
        <v>17.83</v>
      </c>
      <c r="M138">
        <v>18</v>
      </c>
      <c r="N138">
        <v>17.38</v>
      </c>
    </row>
    <row r="139" spans="1:14">
      <c r="A139" t="s">
        <v>151</v>
      </c>
      <c r="B139">
        <f>TEXT(603920,"000000")</f>
        <v>0</v>
      </c>
      <c r="C139">
        <v>18.48</v>
      </c>
      <c r="D139">
        <f>TEXT(0.061500000000000006,"0.00%")</f>
        <v>0</v>
      </c>
      <c r="E139">
        <v>28348122</v>
      </c>
      <c r="F139">
        <v>514013411</v>
      </c>
      <c r="G139">
        <f>TEXT(0.1183,"0.00%")</f>
        <v>0</v>
      </c>
      <c r="H139">
        <f>TEXT(0.0533,"0.00%")</f>
        <v>0</v>
      </c>
      <c r="I139">
        <v>9834601502</v>
      </c>
      <c r="J139">
        <v>2.37</v>
      </c>
      <c r="K139">
        <v>19.06</v>
      </c>
      <c r="L139">
        <v>17</v>
      </c>
      <c r="M139">
        <v>17.41</v>
      </c>
      <c r="N139">
        <v>17.41</v>
      </c>
    </row>
    <row r="140" spans="1:14">
      <c r="A140" t="s">
        <v>152</v>
      </c>
      <c r="B140">
        <f>TEXT(002642,"000000")</f>
        <v>0</v>
      </c>
      <c r="C140">
        <v>7.08</v>
      </c>
      <c r="D140">
        <f>TEXT(0.061500000000000006,"0.00%")</f>
        <v>0</v>
      </c>
      <c r="E140">
        <v>33229750</v>
      </c>
      <c r="F140">
        <v>230143138</v>
      </c>
      <c r="G140">
        <f>TEXT(0.069,"0.00%")</f>
        <v>0</v>
      </c>
      <c r="H140">
        <f>TEXT(0.054900000000000004,"0.00%")</f>
        <v>0</v>
      </c>
      <c r="I140">
        <v>4703812616</v>
      </c>
      <c r="J140">
        <v>2.92</v>
      </c>
      <c r="K140">
        <v>7.09</v>
      </c>
      <c r="L140">
        <v>6.63</v>
      </c>
      <c r="M140">
        <v>6.73</v>
      </c>
      <c r="N140">
        <v>6.67</v>
      </c>
    </row>
    <row r="141" spans="1:14">
      <c r="A141" t="s">
        <v>153</v>
      </c>
      <c r="B141">
        <f>TEXT(300548,"000000")</f>
        <v>0</v>
      </c>
      <c r="C141">
        <v>29.27</v>
      </c>
      <c r="D141">
        <f>TEXT(0.0613,"0.00%")</f>
        <v>0</v>
      </c>
      <c r="E141">
        <v>33296909</v>
      </c>
      <c r="F141">
        <v>957734165</v>
      </c>
      <c r="G141">
        <f>TEXT(0.08960000000000001,"0.00%")</f>
        <v>0</v>
      </c>
      <c r="H141">
        <f>TEXT(0.1533,"0.00%")</f>
        <v>0</v>
      </c>
      <c r="I141">
        <v>7727122468</v>
      </c>
      <c r="J141">
        <v>1.42</v>
      </c>
      <c r="K141">
        <v>29.47</v>
      </c>
      <c r="L141">
        <v>27</v>
      </c>
      <c r="M141">
        <v>27.17</v>
      </c>
      <c r="N141">
        <v>27.58</v>
      </c>
    </row>
    <row r="142" spans="1:14">
      <c r="A142" t="s">
        <v>154</v>
      </c>
      <c r="B142">
        <f>TEXT(603567,"000000")</f>
        <v>0</v>
      </c>
      <c r="C142">
        <v>17.56</v>
      </c>
      <c r="D142">
        <f>TEXT(0.061,"0.00%")</f>
        <v>0</v>
      </c>
      <c r="E142">
        <v>11087894</v>
      </c>
      <c r="F142">
        <v>190280268</v>
      </c>
      <c r="G142">
        <f>TEXT(0.06709999999999999,"0.00%")</f>
        <v>0</v>
      </c>
      <c r="H142">
        <f>TEXT(0.0118,"0.00%")</f>
        <v>0</v>
      </c>
      <c r="I142">
        <v>16540880675</v>
      </c>
      <c r="J142">
        <v>1.23</v>
      </c>
      <c r="K142">
        <v>17.71</v>
      </c>
      <c r="L142">
        <v>16.6</v>
      </c>
      <c r="M142">
        <v>16.98</v>
      </c>
      <c r="N142">
        <v>16.55</v>
      </c>
    </row>
    <row r="143" spans="1:14">
      <c r="A143" t="s">
        <v>155</v>
      </c>
      <c r="B143">
        <f>TEXT(600572,"000000")</f>
        <v>0</v>
      </c>
      <c r="C143">
        <v>6.81</v>
      </c>
      <c r="D143">
        <f>TEXT(0.060700000000000004,"0.00%")</f>
        <v>0</v>
      </c>
      <c r="E143">
        <v>85881905</v>
      </c>
      <c r="F143">
        <v>580336082</v>
      </c>
      <c r="G143">
        <f>TEXT(0.095,"0.00%")</f>
        <v>0</v>
      </c>
      <c r="H143">
        <f>TEXT(0.0335,"0.00%")</f>
        <v>0</v>
      </c>
      <c r="I143">
        <v>17501954142</v>
      </c>
      <c r="J143">
        <v>2.32</v>
      </c>
      <c r="K143">
        <v>6.95</v>
      </c>
      <c r="L143">
        <v>6.34</v>
      </c>
      <c r="M143">
        <v>6.37</v>
      </c>
      <c r="N143">
        <v>6.42</v>
      </c>
    </row>
    <row r="144" spans="1:14">
      <c r="A144" t="s">
        <v>156</v>
      </c>
      <c r="B144">
        <f>TEXT(605186,"000000")</f>
        <v>0</v>
      </c>
      <c r="C144">
        <v>42.73</v>
      </c>
      <c r="D144">
        <f>TEXT(0.0603,"0.00%")</f>
        <v>0</v>
      </c>
      <c r="E144">
        <v>4090200</v>
      </c>
      <c r="F144">
        <v>171744608</v>
      </c>
      <c r="G144">
        <f>TEXT(0.0928,"0.00%")</f>
        <v>0</v>
      </c>
      <c r="H144">
        <f>TEXT(0.061399999999999996,"0.00%")</f>
        <v>0</v>
      </c>
      <c r="I144">
        <v>5811280000</v>
      </c>
      <c r="J144">
        <v>1.48</v>
      </c>
      <c r="K144">
        <v>43.46</v>
      </c>
      <c r="L144">
        <v>39.72</v>
      </c>
      <c r="M144">
        <v>39.94</v>
      </c>
      <c r="N144">
        <v>40.3</v>
      </c>
    </row>
    <row r="145" spans="1:14">
      <c r="A145" t="s">
        <v>157</v>
      </c>
      <c r="B145">
        <f>TEXT(300897,"000000")</f>
        <v>0</v>
      </c>
      <c r="C145">
        <v>38.13</v>
      </c>
      <c r="D145">
        <f>TEXT(0.0601,"0.00%")</f>
        <v>0</v>
      </c>
      <c r="E145">
        <v>9110907</v>
      </c>
      <c r="F145">
        <v>377227704</v>
      </c>
      <c r="G145">
        <f>TEXT(0.14730000000000001,"0.00%")</f>
        <v>0</v>
      </c>
      <c r="H145">
        <f>TEXT(0.3084,"0.00%")</f>
        <v>0</v>
      </c>
      <c r="I145">
        <v>2592840000</v>
      </c>
      <c r="J145">
        <v>2.62</v>
      </c>
      <c r="K145">
        <v>43.16</v>
      </c>
      <c r="L145">
        <v>37.86</v>
      </c>
      <c r="M145">
        <v>40.89</v>
      </c>
      <c r="N145">
        <v>35.97</v>
      </c>
    </row>
    <row r="146" spans="1:14">
      <c r="A146" t="s">
        <v>158</v>
      </c>
      <c r="B146">
        <f>TEXT(301078,"000000")</f>
        <v>0</v>
      </c>
      <c r="C146">
        <v>11.84</v>
      </c>
      <c r="D146">
        <f>TEXT(0.06,"0.00%")</f>
        <v>0</v>
      </c>
      <c r="E146">
        <v>37117457</v>
      </c>
      <c r="F146">
        <v>427745397</v>
      </c>
      <c r="G146">
        <f>TEXT(0.0958,"0.00%")</f>
        <v>0</v>
      </c>
      <c r="H146">
        <f>TEXT(0.0596,"0.00%")</f>
        <v>0</v>
      </c>
      <c r="I146">
        <v>13166606880</v>
      </c>
      <c r="J146">
        <v>1.29</v>
      </c>
      <c r="K146">
        <v>11.9</v>
      </c>
      <c r="L146">
        <v>10.83</v>
      </c>
      <c r="M146">
        <v>11.14</v>
      </c>
      <c r="N146">
        <v>11.17</v>
      </c>
    </row>
    <row r="147" spans="1:14">
      <c r="A147" t="s">
        <v>159</v>
      </c>
      <c r="B147">
        <f>TEXT(301185,"000000")</f>
        <v>0</v>
      </c>
      <c r="C147">
        <v>22.64</v>
      </c>
      <c r="D147">
        <f>TEXT(0.0599,"0.00%")</f>
        <v>0</v>
      </c>
      <c r="E147">
        <v>8830067</v>
      </c>
      <c r="F147">
        <v>198890820</v>
      </c>
      <c r="G147">
        <f>TEXT(0.0922,"0.00%")</f>
        <v>0</v>
      </c>
      <c r="H147">
        <f>TEXT(0.10099999999999999,"0.00%")</f>
        <v>0</v>
      </c>
      <c r="I147">
        <v>3473374464</v>
      </c>
      <c r="J147">
        <v>2.1</v>
      </c>
      <c r="K147">
        <v>23.21</v>
      </c>
      <c r="L147">
        <v>21.24</v>
      </c>
      <c r="M147">
        <v>21.24</v>
      </c>
      <c r="N147">
        <v>21.36</v>
      </c>
    </row>
    <row r="148" spans="1:14">
      <c r="A148" t="s">
        <v>160</v>
      </c>
      <c r="B148">
        <f>TEXT(601368,"000000")</f>
        <v>0</v>
      </c>
      <c r="C148">
        <v>5.68</v>
      </c>
      <c r="D148">
        <f>TEXT(0.059699999999999996,"0.00%")</f>
        <v>0</v>
      </c>
      <c r="E148">
        <v>35254032</v>
      </c>
      <c r="F148">
        <v>198930253</v>
      </c>
      <c r="G148">
        <f>TEXT(0.055999999999999994,"0.00%")</f>
        <v>0</v>
      </c>
      <c r="H148">
        <f>TEXT(0.039900000000000005,"0.00%")</f>
        <v>0</v>
      </c>
      <c r="I148">
        <v>5015287077</v>
      </c>
      <c r="J148">
        <v>8.970000000000001</v>
      </c>
      <c r="K148">
        <v>5.78</v>
      </c>
      <c r="L148">
        <v>5.48</v>
      </c>
      <c r="M148">
        <v>5.5</v>
      </c>
      <c r="N148">
        <v>5.36</v>
      </c>
    </row>
    <row r="149" spans="1:14">
      <c r="A149" t="s">
        <v>161</v>
      </c>
      <c r="B149">
        <f>TEXT(300262,"000000")</f>
        <v>0</v>
      </c>
      <c r="C149">
        <v>2.88</v>
      </c>
      <c r="D149">
        <f>TEXT(0.0588,"0.00%")</f>
        <v>0</v>
      </c>
      <c r="E149">
        <v>46598363</v>
      </c>
      <c r="F149">
        <v>139377328</v>
      </c>
      <c r="G149">
        <f>TEXT(0.10289999999999999,"0.00%")</f>
        <v>0</v>
      </c>
      <c r="H149">
        <f>TEXT(0.0697,"0.00%")</f>
        <v>0</v>
      </c>
      <c r="I149">
        <v>1928928957</v>
      </c>
      <c r="J149">
        <v>10.89</v>
      </c>
      <c r="K149">
        <v>3.15</v>
      </c>
      <c r="L149">
        <v>2.87</v>
      </c>
      <c r="M149">
        <v>3</v>
      </c>
      <c r="N149">
        <v>2.72</v>
      </c>
    </row>
    <row r="150" spans="1:14">
      <c r="A150" t="s">
        <v>162</v>
      </c>
      <c r="B150">
        <f>TEXT(300740,"000000")</f>
        <v>0</v>
      </c>
      <c r="C150">
        <v>16.7</v>
      </c>
      <c r="D150">
        <f>TEXT(0.0583,"0.00%")</f>
        <v>0</v>
      </c>
      <c r="E150">
        <v>21556169</v>
      </c>
      <c r="F150">
        <v>348520566</v>
      </c>
      <c r="G150">
        <f>TEXT(0.0824,"0.00%")</f>
        <v>0</v>
      </c>
      <c r="H150">
        <f>TEXT(0.060599999999999994,"0.00%")</f>
        <v>0</v>
      </c>
      <c r="I150">
        <v>6502706387</v>
      </c>
      <c r="J150">
        <v>1.27</v>
      </c>
      <c r="K150">
        <v>16.7</v>
      </c>
      <c r="L150">
        <v>15.4</v>
      </c>
      <c r="M150">
        <v>15.68</v>
      </c>
      <c r="N150">
        <v>15.78</v>
      </c>
    </row>
    <row r="151" spans="1:14">
      <c r="A151" t="s">
        <v>163</v>
      </c>
      <c r="B151">
        <f>TEXT(600636,"000000")</f>
        <v>0</v>
      </c>
      <c r="C151">
        <v>13.78</v>
      </c>
      <c r="D151">
        <f>TEXT(0.0576,"0.00%")</f>
        <v>0</v>
      </c>
      <c r="E151">
        <v>66737335</v>
      </c>
      <c r="F151">
        <v>908139932</v>
      </c>
      <c r="G151">
        <f>TEXT(0.0837,"0.00%")</f>
        <v>0</v>
      </c>
      <c r="H151">
        <f>TEXT(0.1515,"0.00%")</f>
        <v>0</v>
      </c>
      <c r="I151">
        <v>6069387702</v>
      </c>
      <c r="J151">
        <v>1.76</v>
      </c>
      <c r="K151">
        <v>13.96</v>
      </c>
      <c r="L151">
        <v>12.87</v>
      </c>
      <c r="M151">
        <v>13.02</v>
      </c>
      <c r="N151">
        <v>13.03</v>
      </c>
    </row>
    <row r="152" spans="1:14">
      <c r="A152" t="s">
        <v>164</v>
      </c>
      <c r="B152">
        <f>TEXT(688525,"000000")</f>
        <v>0</v>
      </c>
      <c r="C152">
        <v>79.09999999999999</v>
      </c>
      <c r="D152">
        <f>TEXT(0.0575,"0.00%")</f>
        <v>0</v>
      </c>
      <c r="E152">
        <v>11864514</v>
      </c>
      <c r="F152">
        <v>926568652</v>
      </c>
      <c r="G152">
        <f>TEXT(0.111,"0.00%")</f>
        <v>0</v>
      </c>
      <c r="H152">
        <f>TEXT(0.3411,"0.00%")</f>
        <v>0</v>
      </c>
      <c r="I152">
        <v>34039034657</v>
      </c>
      <c r="J152">
        <v>1.21</v>
      </c>
      <c r="K152">
        <v>81.2</v>
      </c>
      <c r="L152">
        <v>72.90000000000001</v>
      </c>
      <c r="M152">
        <v>73.84999999999999</v>
      </c>
      <c r="N152">
        <v>74.8</v>
      </c>
    </row>
    <row r="153" spans="1:14">
      <c r="A153" t="s">
        <v>165</v>
      </c>
      <c r="B153">
        <f>TEXT(688531,"000000")</f>
        <v>0</v>
      </c>
      <c r="C153">
        <v>171</v>
      </c>
      <c r="D153">
        <f>TEXT(0.0571,"0.00%")</f>
        <v>0</v>
      </c>
      <c r="E153">
        <v>920061</v>
      </c>
      <c r="F153">
        <v>154295442</v>
      </c>
      <c r="G153">
        <f>TEXT(0.08310000000000001,"0.00%")</f>
        <v>0</v>
      </c>
      <c r="H153">
        <f>TEXT(0.0529,"0.00%")</f>
        <v>0</v>
      </c>
      <c r="I153">
        <v>13578334857</v>
      </c>
      <c r="J153">
        <v>1.09</v>
      </c>
      <c r="K153">
        <v>174.5</v>
      </c>
      <c r="L153">
        <v>161.06</v>
      </c>
      <c r="M153">
        <v>162.88</v>
      </c>
      <c r="N153">
        <v>161.77</v>
      </c>
    </row>
    <row r="154" spans="1:14">
      <c r="A154" t="s">
        <v>166</v>
      </c>
      <c r="B154">
        <f>TEXT(688400,"000000")</f>
        <v>0</v>
      </c>
      <c r="C154">
        <v>34.67</v>
      </c>
      <c r="D154">
        <f>TEXT(0.057,"0.00%")</f>
        <v>0</v>
      </c>
      <c r="E154">
        <v>11135912</v>
      </c>
      <c r="F154">
        <v>376935265</v>
      </c>
      <c r="G154">
        <f>TEXT(0.068,"0.00%")</f>
        <v>0</v>
      </c>
      <c r="H154">
        <f>TEXT(0.1274,"0.00%")</f>
        <v>0</v>
      </c>
      <c r="I154">
        <v>16069545000</v>
      </c>
      <c r="J154">
        <v>0.9399999999999999</v>
      </c>
      <c r="K154">
        <v>34.8</v>
      </c>
      <c r="L154">
        <v>32.57</v>
      </c>
      <c r="M154">
        <v>32.58</v>
      </c>
      <c r="N154">
        <v>32.8</v>
      </c>
    </row>
    <row r="155" spans="1:14">
      <c r="A155" t="s">
        <v>167</v>
      </c>
      <c r="B155">
        <f>TEXT(000572,"000000")</f>
        <v>0</v>
      </c>
      <c r="C155">
        <v>4.29</v>
      </c>
      <c r="D155">
        <f>TEXT(0.0567,"0.00%")</f>
        <v>0</v>
      </c>
      <c r="E155">
        <v>37985254</v>
      </c>
      <c r="F155">
        <v>159347783</v>
      </c>
      <c r="G155">
        <f>TEXT(0.10339999999999999,"0.00%")</f>
        <v>0</v>
      </c>
      <c r="H155">
        <f>TEXT(0.0231,"0.00%")</f>
        <v>0</v>
      </c>
      <c r="I155">
        <v>7055490267</v>
      </c>
      <c r="J155">
        <v>2.4</v>
      </c>
      <c r="K155">
        <v>4.39</v>
      </c>
      <c r="L155">
        <v>3.97</v>
      </c>
      <c r="M155">
        <v>4.08</v>
      </c>
      <c r="N155">
        <v>4.06</v>
      </c>
    </row>
    <row r="156" spans="1:14">
      <c r="A156" t="s">
        <v>168</v>
      </c>
      <c r="B156">
        <f>TEXT(688322,"000000")</f>
        <v>0</v>
      </c>
      <c r="C156">
        <v>39.5</v>
      </c>
      <c r="D156">
        <f>TEXT(0.0567,"0.00%")</f>
        <v>0</v>
      </c>
      <c r="E156">
        <v>10568543</v>
      </c>
      <c r="F156">
        <v>414257823</v>
      </c>
      <c r="G156">
        <f>TEXT(0.1075,"0.00%")</f>
        <v>0</v>
      </c>
      <c r="H156">
        <f>TEXT(0.3246,"0.00%")</f>
        <v>0</v>
      </c>
      <c r="I156">
        <v>15800039500</v>
      </c>
      <c r="J156">
        <v>0.84</v>
      </c>
      <c r="K156">
        <v>40.58</v>
      </c>
      <c r="L156">
        <v>36.56</v>
      </c>
      <c r="M156">
        <v>37.53</v>
      </c>
      <c r="N156">
        <v>37.38</v>
      </c>
    </row>
    <row r="157" spans="1:14">
      <c r="A157" t="s">
        <v>169</v>
      </c>
      <c r="B157">
        <f>TEXT(002422,"000000")</f>
        <v>0</v>
      </c>
      <c r="C157">
        <v>33.02</v>
      </c>
      <c r="D157">
        <f>TEXT(0.056600000000000004,"0.00%")</f>
        <v>0</v>
      </c>
      <c r="E157">
        <v>27318464</v>
      </c>
      <c r="F157">
        <v>894175322</v>
      </c>
      <c r="G157">
        <f>TEXT(0.064,"0.00%")</f>
        <v>0</v>
      </c>
      <c r="H157">
        <f>TEXT(0.0232,"0.00%")</f>
        <v>0</v>
      </c>
      <c r="I157">
        <v>48606506678</v>
      </c>
      <c r="J157">
        <v>2.05</v>
      </c>
      <c r="K157">
        <v>33.25</v>
      </c>
      <c r="L157">
        <v>31.25</v>
      </c>
      <c r="M157">
        <v>31.25</v>
      </c>
      <c r="N157">
        <v>31.25</v>
      </c>
    </row>
    <row r="158" spans="1:14">
      <c r="A158" t="s">
        <v>170</v>
      </c>
      <c r="B158">
        <f>TEXT(600587,"000000")</f>
        <v>0</v>
      </c>
      <c r="C158">
        <v>35.36</v>
      </c>
      <c r="D158">
        <f>TEXT(0.0565,"0.00%")</f>
        <v>0</v>
      </c>
      <c r="E158">
        <v>9400829</v>
      </c>
      <c r="F158">
        <v>329377452</v>
      </c>
      <c r="G158">
        <f>TEXT(0.08900000000000001,"0.00%")</f>
        <v>0</v>
      </c>
      <c r="H158">
        <f>TEXT(0.0233,"0.00%")</f>
        <v>0</v>
      </c>
      <c r="I158">
        <v>16508699611</v>
      </c>
      <c r="J158">
        <v>1.26</v>
      </c>
      <c r="K158">
        <v>36.21</v>
      </c>
      <c r="L158">
        <v>33.23</v>
      </c>
      <c r="M158">
        <v>33.48</v>
      </c>
      <c r="N158">
        <v>33.47</v>
      </c>
    </row>
    <row r="159" spans="1:14">
      <c r="A159" t="s">
        <v>171</v>
      </c>
      <c r="B159">
        <f>TEXT(300442,"000000")</f>
        <v>0</v>
      </c>
      <c r="C159">
        <v>31.79</v>
      </c>
      <c r="D159">
        <f>TEXT(0.0565,"0.00%")</f>
        <v>0</v>
      </c>
      <c r="E159">
        <v>5683742</v>
      </c>
      <c r="F159">
        <v>178660622</v>
      </c>
      <c r="G159">
        <f>TEXT(0.0791,"0.00%")</f>
        <v>0</v>
      </c>
      <c r="H159">
        <f>TEXT(0.0479,"0.00%")</f>
        <v>0</v>
      </c>
      <c r="I159">
        <v>54582210821</v>
      </c>
      <c r="J159">
        <v>2.73</v>
      </c>
      <c r="K159">
        <v>32.3</v>
      </c>
      <c r="L159">
        <v>29.92</v>
      </c>
      <c r="M159">
        <v>30.1</v>
      </c>
      <c r="N159">
        <v>30.09</v>
      </c>
    </row>
    <row r="160" spans="1:14">
      <c r="A160" t="s">
        <v>172</v>
      </c>
      <c r="B160">
        <f>TEXT(603069,"000000")</f>
        <v>0</v>
      </c>
      <c r="C160">
        <v>20.84</v>
      </c>
      <c r="D160">
        <f>TEXT(0.056299999999999996,"0.00%")</f>
        <v>0</v>
      </c>
      <c r="E160">
        <v>12656670</v>
      </c>
      <c r="F160">
        <v>264283374</v>
      </c>
      <c r="G160">
        <f>TEXT(0.0558,"0.00%")</f>
        <v>0</v>
      </c>
      <c r="H160">
        <f>TEXT(0.0401,"0.00%")</f>
        <v>0</v>
      </c>
      <c r="I160">
        <v>6585440000</v>
      </c>
      <c r="J160">
        <v>3.97</v>
      </c>
      <c r="K160">
        <v>21.5</v>
      </c>
      <c r="L160">
        <v>20.4</v>
      </c>
      <c r="M160">
        <v>20.51</v>
      </c>
      <c r="N160">
        <v>19.73</v>
      </c>
    </row>
    <row r="161" spans="1:14">
      <c r="A161" t="s">
        <v>173</v>
      </c>
      <c r="B161">
        <f>TEXT(300991,"000000")</f>
        <v>0</v>
      </c>
      <c r="C161">
        <v>14.65</v>
      </c>
      <c r="D161">
        <f>TEXT(0.0562,"0.00%")</f>
        <v>0</v>
      </c>
      <c r="E161">
        <v>6764477</v>
      </c>
      <c r="F161">
        <v>96764186</v>
      </c>
      <c r="G161">
        <f>TEXT(0.0649,"0.00%")</f>
        <v>0</v>
      </c>
      <c r="H161">
        <f>TEXT(0.1035,"0.00%")</f>
        <v>0</v>
      </c>
      <c r="I161">
        <v>2109600000</v>
      </c>
      <c r="J161">
        <v>1.56</v>
      </c>
      <c r="K161">
        <v>14.65</v>
      </c>
      <c r="L161">
        <v>13.75</v>
      </c>
      <c r="M161">
        <v>13.85</v>
      </c>
      <c r="N161">
        <v>13.87</v>
      </c>
    </row>
    <row r="162" spans="1:14">
      <c r="A162" t="s">
        <v>174</v>
      </c>
      <c r="B162">
        <f>TEXT(000888,"000000")</f>
        <v>0</v>
      </c>
      <c r="C162">
        <v>9.460000000000001</v>
      </c>
      <c r="D162">
        <f>TEXT(0.0558,"0.00%")</f>
        <v>0</v>
      </c>
      <c r="E162">
        <v>23078005</v>
      </c>
      <c r="F162">
        <v>215735769</v>
      </c>
      <c r="G162">
        <f>TEXT(0.056900000000000006,"0.00%")</f>
        <v>0</v>
      </c>
      <c r="H162">
        <f>TEXT(0.0438,"0.00%")</f>
        <v>0</v>
      </c>
      <c r="I162">
        <v>4984597944</v>
      </c>
      <c r="J162">
        <v>2.06</v>
      </c>
      <c r="K162">
        <v>9.48</v>
      </c>
      <c r="L162">
        <v>8.970000000000001</v>
      </c>
      <c r="M162">
        <v>8.99</v>
      </c>
      <c r="N162">
        <v>8.960000000000001</v>
      </c>
    </row>
    <row r="163" spans="1:14">
      <c r="A163" t="s">
        <v>175</v>
      </c>
      <c r="B163">
        <f>TEXT(002436,"000000")</f>
        <v>0</v>
      </c>
      <c r="C163">
        <v>14.42</v>
      </c>
      <c r="D163">
        <f>TEXT(0.0556,"0.00%")</f>
        <v>0</v>
      </c>
      <c r="E163">
        <v>51917526</v>
      </c>
      <c r="F163">
        <v>738204817</v>
      </c>
      <c r="G163">
        <f>TEXT(0.053399999999999996,"0.00%")</f>
        <v>0</v>
      </c>
      <c r="H163">
        <f>TEXT(0.0346,"0.00%")</f>
        <v>0</v>
      </c>
      <c r="I163">
        <v>24363259131</v>
      </c>
      <c r="J163">
        <v>2.2</v>
      </c>
      <c r="K163">
        <v>14.43</v>
      </c>
      <c r="L163">
        <v>13.7</v>
      </c>
      <c r="M163">
        <v>13.71</v>
      </c>
      <c r="N163">
        <v>13.66</v>
      </c>
    </row>
    <row r="164" spans="1:14">
      <c r="A164" t="s">
        <v>176</v>
      </c>
      <c r="B164">
        <f>TEXT(300359,"000000")</f>
        <v>0</v>
      </c>
      <c r="C164">
        <v>6.84</v>
      </c>
      <c r="D164">
        <f>TEXT(0.0556,"0.00%")</f>
        <v>0</v>
      </c>
      <c r="E164">
        <v>36084635</v>
      </c>
      <c r="F164">
        <v>242195414</v>
      </c>
      <c r="G164">
        <f>TEXT(0.071,"0.00%")</f>
        <v>0</v>
      </c>
      <c r="H164">
        <f>TEXT(0.057,"0.00%")</f>
        <v>0</v>
      </c>
      <c r="I164">
        <v>4332000606</v>
      </c>
      <c r="J164">
        <v>1.48</v>
      </c>
      <c r="K164">
        <v>6.87</v>
      </c>
      <c r="L164">
        <v>6.41</v>
      </c>
      <c r="M164">
        <v>6.41</v>
      </c>
      <c r="N164">
        <v>6.48</v>
      </c>
    </row>
    <row r="165" spans="1:14">
      <c r="A165" t="s">
        <v>177</v>
      </c>
      <c r="B165">
        <f>TEXT(603444,"000000")</f>
        <v>0</v>
      </c>
      <c r="C165">
        <v>493.18</v>
      </c>
      <c r="D165">
        <f>TEXT(0.0554,"0.00%")</f>
        <v>0</v>
      </c>
      <c r="E165">
        <v>1533644</v>
      </c>
      <c r="F165">
        <v>744681601</v>
      </c>
      <c r="G165">
        <f>TEXT(0.06849999999999999,"0.00%")</f>
        <v>0</v>
      </c>
      <c r="H165">
        <f>TEXT(0.0213,"0.00%")</f>
        <v>0</v>
      </c>
      <c r="I165">
        <v>35527907482</v>
      </c>
      <c r="J165">
        <v>0.96</v>
      </c>
      <c r="K165">
        <v>495</v>
      </c>
      <c r="L165">
        <v>463</v>
      </c>
      <c r="M165">
        <v>463.97</v>
      </c>
      <c r="N165">
        <v>467.28</v>
      </c>
    </row>
    <row r="166" spans="1:14">
      <c r="A166" t="s">
        <v>178</v>
      </c>
      <c r="B166">
        <f>TEXT(002020,"000000")</f>
        <v>0</v>
      </c>
      <c r="C166">
        <v>15.65</v>
      </c>
      <c r="D166">
        <f>TEXT(0.0546,"0.00%")</f>
        <v>0</v>
      </c>
      <c r="E166">
        <v>17744462</v>
      </c>
      <c r="F166">
        <v>274918466</v>
      </c>
      <c r="G166">
        <f>TEXT(0.0721,"0.00%")</f>
        <v>0</v>
      </c>
      <c r="H166">
        <f>TEXT(0.027000000000000003,"0.00%")</f>
        <v>0</v>
      </c>
      <c r="I166">
        <v>13475106041</v>
      </c>
      <c r="J166">
        <v>0.95</v>
      </c>
      <c r="K166">
        <v>15.8</v>
      </c>
      <c r="L166">
        <v>14.73</v>
      </c>
      <c r="M166">
        <v>14.73</v>
      </c>
      <c r="N166">
        <v>14.84</v>
      </c>
    </row>
    <row r="167" spans="1:14">
      <c r="A167" t="s">
        <v>179</v>
      </c>
      <c r="B167">
        <f>TEXT(000046,"000000")</f>
        <v>0</v>
      </c>
      <c r="C167">
        <v>0.97</v>
      </c>
      <c r="D167">
        <f>TEXT(0.054299999999999994,"0.00%")</f>
        <v>0</v>
      </c>
      <c r="E167">
        <v>122391639</v>
      </c>
      <c r="F167">
        <v>116292407</v>
      </c>
      <c r="G167">
        <f>TEXT(0.0761,"0.00%")</f>
        <v>0</v>
      </c>
      <c r="H167">
        <f>TEXT(0.0236,"0.00%")</f>
        <v>0</v>
      </c>
      <c r="I167">
        <v>5040314636</v>
      </c>
      <c r="J167">
        <v>1.38</v>
      </c>
      <c r="K167">
        <v>0.97</v>
      </c>
      <c r="L167">
        <v>0.9</v>
      </c>
      <c r="M167">
        <v>0.92</v>
      </c>
      <c r="N167">
        <v>0.92</v>
      </c>
    </row>
    <row r="168" spans="1:14">
      <c r="A168" t="s">
        <v>180</v>
      </c>
      <c r="B168">
        <f>TEXT(300903,"000000")</f>
        <v>0</v>
      </c>
      <c r="C168">
        <v>10.29</v>
      </c>
      <c r="D168">
        <f>TEXT(0.054299999999999994,"0.00%")</f>
        <v>0</v>
      </c>
      <c r="E168">
        <v>32805242</v>
      </c>
      <c r="F168">
        <v>340141331</v>
      </c>
      <c r="G168">
        <f>TEXT(0.1199,"0.00%")</f>
        <v>0</v>
      </c>
      <c r="H168">
        <f>TEXT(0.1192,"0.00%")</f>
        <v>0</v>
      </c>
      <c r="I168">
        <v>4267205602</v>
      </c>
      <c r="J168">
        <v>2.46</v>
      </c>
      <c r="K168">
        <v>10.87</v>
      </c>
      <c r="L168">
        <v>9.699999999999999</v>
      </c>
      <c r="M168">
        <v>9.720000000000001</v>
      </c>
      <c r="N168">
        <v>9.76</v>
      </c>
    </row>
    <row r="169" spans="1:14">
      <c r="A169" t="s">
        <v>181</v>
      </c>
      <c r="B169">
        <f>TEXT(603171,"000000")</f>
        <v>0</v>
      </c>
      <c r="C169">
        <v>41.95</v>
      </c>
      <c r="D169">
        <f>TEXT(0.054000000000000006,"0.00%")</f>
        <v>0</v>
      </c>
      <c r="E169">
        <v>1948157</v>
      </c>
      <c r="F169">
        <v>79905814</v>
      </c>
      <c r="G169">
        <f>TEXT(0.0691,"0.00%")</f>
        <v>0</v>
      </c>
      <c r="H169">
        <f>TEXT(0.0215,"0.00%")</f>
        <v>0</v>
      </c>
      <c r="I169">
        <v>17027085500</v>
      </c>
      <c r="J169">
        <v>1.84</v>
      </c>
      <c r="K169">
        <v>42.13</v>
      </c>
      <c r="L169">
        <v>39.38</v>
      </c>
      <c r="M169">
        <v>39.8</v>
      </c>
      <c r="N169">
        <v>39.8</v>
      </c>
    </row>
    <row r="170" spans="1:14">
      <c r="A170" t="s">
        <v>182</v>
      </c>
      <c r="B170">
        <f>TEXT(601801,"000000")</f>
        <v>0</v>
      </c>
      <c r="C170">
        <v>8.779999999999999</v>
      </c>
      <c r="D170">
        <f>TEXT(0.054000000000000006,"0.00%")</f>
        <v>0</v>
      </c>
      <c r="E170">
        <v>59380820</v>
      </c>
      <c r="F170">
        <v>522700526</v>
      </c>
      <c r="G170">
        <f>TEXT(0.12240000000000001,"0.00%")</f>
        <v>0</v>
      </c>
      <c r="H170">
        <f>TEXT(0.029900000000000003,"0.00%")</f>
        <v>0</v>
      </c>
      <c r="I170">
        <v>17465217590</v>
      </c>
      <c r="J170">
        <v>1.29</v>
      </c>
      <c r="K170">
        <v>9.16</v>
      </c>
      <c r="L170">
        <v>8.140000000000001</v>
      </c>
      <c r="M170">
        <v>8.279999999999999</v>
      </c>
      <c r="N170">
        <v>8.33</v>
      </c>
    </row>
    <row r="171" spans="1:14">
      <c r="A171" t="s">
        <v>183</v>
      </c>
      <c r="B171">
        <f>TEXT(002373,"000000")</f>
        <v>0</v>
      </c>
      <c r="C171">
        <v>12.31</v>
      </c>
      <c r="D171">
        <f>TEXT(0.053899999999999997,"0.00%")</f>
        <v>0</v>
      </c>
      <c r="E171">
        <v>22319826</v>
      </c>
      <c r="F171">
        <v>269324379</v>
      </c>
      <c r="G171">
        <f>TEXT(0.0591,"0.00%")</f>
        <v>0</v>
      </c>
      <c r="H171">
        <f>TEXT(0.0163,"0.00%")</f>
        <v>0</v>
      </c>
      <c r="I171">
        <v>19452116926</v>
      </c>
      <c r="J171">
        <v>1.55</v>
      </c>
      <c r="K171">
        <v>12.36</v>
      </c>
      <c r="L171">
        <v>11.67</v>
      </c>
      <c r="M171">
        <v>11.75</v>
      </c>
      <c r="N171">
        <v>11.68</v>
      </c>
    </row>
    <row r="172" spans="1:14">
      <c r="A172" t="s">
        <v>184</v>
      </c>
      <c r="B172">
        <f>TEXT(603081,"000000")</f>
        <v>0</v>
      </c>
      <c r="C172">
        <v>15.93</v>
      </c>
      <c r="D172">
        <f>TEXT(0.0529,"0.00%")</f>
        <v>0</v>
      </c>
      <c r="E172">
        <v>5136700</v>
      </c>
      <c r="F172">
        <v>80613930</v>
      </c>
      <c r="G172">
        <f>TEXT(0.0668,"0.00%")</f>
        <v>0</v>
      </c>
      <c r="H172">
        <f>TEXT(0.0127,"0.00%")</f>
        <v>0</v>
      </c>
      <c r="I172">
        <v>6525366266</v>
      </c>
      <c r="J172">
        <v>1.92</v>
      </c>
      <c r="K172">
        <v>16.02</v>
      </c>
      <c r="L172">
        <v>15.01</v>
      </c>
      <c r="M172">
        <v>15.11</v>
      </c>
      <c r="N172">
        <v>15.13</v>
      </c>
    </row>
    <row r="173" spans="1:14">
      <c r="A173" t="s">
        <v>185</v>
      </c>
      <c r="B173">
        <f>TEXT(000513,"000000")</f>
        <v>0</v>
      </c>
      <c r="C173">
        <v>39.38</v>
      </c>
      <c r="D173">
        <f>TEXT(0.0529,"0.00%")</f>
        <v>0</v>
      </c>
      <c r="E173">
        <v>13618695</v>
      </c>
      <c r="F173">
        <v>527705940</v>
      </c>
      <c r="G173">
        <f>TEXT(0.0644,"0.00%")</f>
        <v>0</v>
      </c>
      <c r="H173">
        <f>TEXT(0.0225,"0.00%")</f>
        <v>0</v>
      </c>
      <c r="I173">
        <v>36842064814</v>
      </c>
      <c r="J173">
        <v>2.84</v>
      </c>
      <c r="K173">
        <v>39.52</v>
      </c>
      <c r="L173">
        <v>37.11</v>
      </c>
      <c r="M173">
        <v>37.4</v>
      </c>
      <c r="N173">
        <v>37.4</v>
      </c>
    </row>
    <row r="174" spans="1:14">
      <c r="A174" t="s">
        <v>186</v>
      </c>
      <c r="B174">
        <f>TEXT(688336,"000000")</f>
        <v>0</v>
      </c>
      <c r="C174">
        <v>18.16</v>
      </c>
      <c r="D174">
        <f>TEXT(0.0528,"0.00%")</f>
        <v>0</v>
      </c>
      <c r="E174">
        <v>3004285</v>
      </c>
      <c r="F174">
        <v>53683096</v>
      </c>
      <c r="G174">
        <f>TEXT(0.0701,"0.00%")</f>
        <v>0</v>
      </c>
      <c r="H174">
        <f>TEXT(0.032400000000000005,"0.00%")</f>
        <v>0</v>
      </c>
      <c r="I174">
        <v>11200830000</v>
      </c>
      <c r="J174">
        <v>1.43</v>
      </c>
      <c r="K174">
        <v>18.26</v>
      </c>
      <c r="L174">
        <v>17.05</v>
      </c>
      <c r="M174">
        <v>17.17</v>
      </c>
      <c r="N174">
        <v>17.25</v>
      </c>
    </row>
    <row r="175" spans="1:14">
      <c r="A175" t="s">
        <v>187</v>
      </c>
      <c r="B175">
        <f>TEXT(300766,"000000")</f>
        <v>0</v>
      </c>
      <c r="C175">
        <v>17.16</v>
      </c>
      <c r="D175">
        <f>TEXT(0.0528,"0.00%")</f>
        <v>0</v>
      </c>
      <c r="E175">
        <v>16476916</v>
      </c>
      <c r="F175">
        <v>277598129</v>
      </c>
      <c r="G175">
        <f>TEXT(0.0626,"0.00%")</f>
        <v>0</v>
      </c>
      <c r="H175">
        <f>TEXT(0.0453,"0.00%")</f>
        <v>0</v>
      </c>
      <c r="I175">
        <v>6865716000</v>
      </c>
      <c r="J175">
        <v>1.44</v>
      </c>
      <c r="K175">
        <v>17.26</v>
      </c>
      <c r="L175">
        <v>16.24</v>
      </c>
      <c r="M175">
        <v>16.3</v>
      </c>
      <c r="N175">
        <v>16.3</v>
      </c>
    </row>
    <row r="176" spans="1:14">
      <c r="A176" t="s">
        <v>188</v>
      </c>
      <c r="B176">
        <f>TEXT(600730,"000000")</f>
        <v>0</v>
      </c>
      <c r="C176">
        <v>6.6</v>
      </c>
      <c r="D176">
        <f>TEXT(0.0526,"0.00%")</f>
        <v>0</v>
      </c>
      <c r="E176">
        <v>54315642</v>
      </c>
      <c r="F176">
        <v>353076485</v>
      </c>
      <c r="G176">
        <f>TEXT(0.0877,"0.00%")</f>
        <v>0</v>
      </c>
      <c r="H176">
        <f>TEXT(0.0926,"0.00%")</f>
        <v>0</v>
      </c>
      <c r="I176">
        <v>3871929613</v>
      </c>
      <c r="J176">
        <v>1.84</v>
      </c>
      <c r="K176">
        <v>6.73</v>
      </c>
      <c r="L176">
        <v>6.18</v>
      </c>
      <c r="M176">
        <v>6.24</v>
      </c>
      <c r="N176">
        <v>6.27</v>
      </c>
    </row>
    <row r="177" spans="1:14">
      <c r="A177" t="s">
        <v>189</v>
      </c>
      <c r="B177">
        <f>TEXT(688017,"000000")</f>
        <v>0</v>
      </c>
      <c r="C177">
        <v>133.96</v>
      </c>
      <c r="D177">
        <f>TEXT(0.0526,"0.00%")</f>
        <v>0</v>
      </c>
      <c r="E177">
        <v>4263355</v>
      </c>
      <c r="F177">
        <v>558047566</v>
      </c>
      <c r="G177">
        <f>TEXT(0.0889,"0.00%")</f>
        <v>0</v>
      </c>
      <c r="H177">
        <f>TEXT(0.045599999999999995,"0.00%")</f>
        <v>0</v>
      </c>
      <c r="I177">
        <v>22583429584</v>
      </c>
      <c r="J177">
        <v>0.99</v>
      </c>
      <c r="K177">
        <v>136</v>
      </c>
      <c r="L177">
        <v>124.69</v>
      </c>
      <c r="M177">
        <v>127.36</v>
      </c>
      <c r="N177">
        <v>127.26</v>
      </c>
    </row>
    <row r="178" spans="1:14">
      <c r="A178" t="s">
        <v>190</v>
      </c>
      <c r="B178">
        <f>TEXT(300024,"000000")</f>
        <v>0</v>
      </c>
      <c r="C178">
        <v>16.1</v>
      </c>
      <c r="D178">
        <f>TEXT(0.052300000000000006,"0.00%")</f>
        <v>0</v>
      </c>
      <c r="E178">
        <v>204088797</v>
      </c>
      <c r="F178">
        <v>3100500176</v>
      </c>
      <c r="G178">
        <f>TEXT(0.1281,"0.00%")</f>
        <v>0</v>
      </c>
      <c r="H178">
        <f>TEXT(0.1352,"0.00%")</f>
        <v>0</v>
      </c>
      <c r="I178">
        <v>24958412395</v>
      </c>
      <c r="J178">
        <v>1.08</v>
      </c>
      <c r="K178">
        <v>16.15</v>
      </c>
      <c r="L178">
        <v>14.19</v>
      </c>
      <c r="M178">
        <v>15.06</v>
      </c>
      <c r="N178">
        <v>15.3</v>
      </c>
    </row>
    <row r="179" spans="1:14">
      <c r="A179" t="s">
        <v>191</v>
      </c>
      <c r="B179">
        <f>TEXT(000790,"000000")</f>
        <v>0</v>
      </c>
      <c r="C179">
        <v>5.23</v>
      </c>
      <c r="D179">
        <f>TEXT(0.052300000000000006,"0.00%")</f>
        <v>0</v>
      </c>
      <c r="E179">
        <v>22641780</v>
      </c>
      <c r="F179">
        <v>116286492</v>
      </c>
      <c r="G179">
        <f>TEXT(0.0604,"0.00%")</f>
        <v>0</v>
      </c>
      <c r="H179">
        <f>TEXT(0.0366,"0.00%")</f>
        <v>0</v>
      </c>
      <c r="I179">
        <v>3285185609</v>
      </c>
      <c r="J179">
        <v>0.83</v>
      </c>
      <c r="K179">
        <v>5.26</v>
      </c>
      <c r="L179">
        <v>4.96</v>
      </c>
      <c r="M179">
        <v>5.04</v>
      </c>
      <c r="N179">
        <v>4.97</v>
      </c>
    </row>
    <row r="180" spans="1:14">
      <c r="A180" t="s">
        <v>192</v>
      </c>
      <c r="B180">
        <f>TEXT(300556,"000000")</f>
        <v>0</v>
      </c>
      <c r="C180">
        <v>24.93</v>
      </c>
      <c r="D180">
        <f>TEXT(0.052300000000000006,"0.00%")</f>
        <v>0</v>
      </c>
      <c r="E180">
        <v>9304200</v>
      </c>
      <c r="F180">
        <v>228491951</v>
      </c>
      <c r="G180">
        <f>TEXT(0.0473,"0.00%")</f>
        <v>0</v>
      </c>
      <c r="H180">
        <f>TEXT(0.0917,"0.00%")</f>
        <v>0</v>
      </c>
      <c r="I180">
        <v>3022206660</v>
      </c>
      <c r="J180">
        <v>1.03</v>
      </c>
      <c r="K180">
        <v>24.98</v>
      </c>
      <c r="L180">
        <v>23.86</v>
      </c>
      <c r="M180">
        <v>23.86</v>
      </c>
      <c r="N180">
        <v>23.69</v>
      </c>
    </row>
    <row r="181" spans="1:14">
      <c r="A181" t="s">
        <v>193</v>
      </c>
      <c r="B181">
        <f>TEXT(600212,"000000")</f>
        <v>0</v>
      </c>
      <c r="C181">
        <v>10.3</v>
      </c>
      <c r="D181">
        <f>TEXT(0.0521,"0.00%")</f>
        <v>0</v>
      </c>
      <c r="E181">
        <v>41234972</v>
      </c>
      <c r="F181">
        <v>408440208</v>
      </c>
      <c r="G181">
        <f>TEXT(0.1052,"0.00%")</f>
        <v>0</v>
      </c>
      <c r="H181">
        <f>TEXT(0.0806,"0.00%")</f>
        <v>0</v>
      </c>
      <c r="I181">
        <v>5270481293</v>
      </c>
      <c r="J181">
        <v>2.06</v>
      </c>
      <c r="K181">
        <v>10.39</v>
      </c>
      <c r="L181">
        <v>9.359999999999999</v>
      </c>
      <c r="M181">
        <v>9.67</v>
      </c>
      <c r="N181">
        <v>9.789999999999999</v>
      </c>
    </row>
    <row r="182" spans="1:14">
      <c r="A182" t="s">
        <v>194</v>
      </c>
      <c r="B182">
        <f>TEXT(688588,"000000")</f>
        <v>0</v>
      </c>
      <c r="C182">
        <v>15.57</v>
      </c>
      <c r="D182">
        <f>TEXT(0.052000000000000005,"0.00%")</f>
        <v>0</v>
      </c>
      <c r="E182">
        <v>6558782</v>
      </c>
      <c r="F182">
        <v>100422993</v>
      </c>
      <c r="G182">
        <f>TEXT(0.08109999999999999,"0.00%")</f>
        <v>0</v>
      </c>
      <c r="H182">
        <f>TEXT(0.016399999999999998,"0.00%")</f>
        <v>0</v>
      </c>
      <c r="I182">
        <v>6228155746</v>
      </c>
      <c r="J182">
        <v>1.3</v>
      </c>
      <c r="K182">
        <v>15.65</v>
      </c>
      <c r="L182">
        <v>14.45</v>
      </c>
      <c r="M182">
        <v>14.65</v>
      </c>
      <c r="N182">
        <v>14.8</v>
      </c>
    </row>
    <row r="183" spans="1:14">
      <c r="A183" t="s">
        <v>195</v>
      </c>
      <c r="B183">
        <f>TEXT(688579,"000000")</f>
        <v>0</v>
      </c>
      <c r="C183">
        <v>14.64</v>
      </c>
      <c r="D183">
        <f>TEXT(0.051699999999999996,"0.00%")</f>
        <v>0</v>
      </c>
      <c r="E183">
        <v>7517092</v>
      </c>
      <c r="F183">
        <v>107443733</v>
      </c>
      <c r="G183">
        <f>TEXT(0.0661,"0.00%")</f>
        <v>0</v>
      </c>
      <c r="H183">
        <f>TEXT(0.026699999999999998,"0.00%")</f>
        <v>0</v>
      </c>
      <c r="I183">
        <v>5856146400</v>
      </c>
      <c r="J183">
        <v>1.77</v>
      </c>
      <c r="K183">
        <v>14.75</v>
      </c>
      <c r="L183">
        <v>13.83</v>
      </c>
      <c r="M183">
        <v>13.85</v>
      </c>
      <c r="N183">
        <v>13.92</v>
      </c>
    </row>
    <row r="184" spans="1:14">
      <c r="A184" t="s">
        <v>196</v>
      </c>
      <c r="B184">
        <f>TEXT(002457,"000000")</f>
        <v>0</v>
      </c>
      <c r="C184">
        <v>9.359999999999999</v>
      </c>
      <c r="D184">
        <f>TEXT(0.051699999999999996,"0.00%")</f>
        <v>0</v>
      </c>
      <c r="E184">
        <v>60670468</v>
      </c>
      <c r="F184">
        <v>580632124</v>
      </c>
      <c r="G184">
        <f>TEXT(0.057300000000000004,"0.00%")</f>
        <v>0</v>
      </c>
      <c r="H184">
        <f>TEXT(0.1812,"0.00%")</f>
        <v>0</v>
      </c>
      <c r="I184">
        <v>3135525120</v>
      </c>
      <c r="J184">
        <v>6.62</v>
      </c>
      <c r="K184">
        <v>9.789999999999999</v>
      </c>
      <c r="L184">
        <v>9.279999999999999</v>
      </c>
      <c r="M184">
        <v>9.550000000000001</v>
      </c>
      <c r="N184">
        <v>8.9</v>
      </c>
    </row>
    <row r="185" spans="1:14">
      <c r="A185" t="s">
        <v>197</v>
      </c>
      <c r="B185">
        <f>TEXT(300246,"000000")</f>
        <v>0</v>
      </c>
      <c r="C185">
        <v>11.82</v>
      </c>
      <c r="D185">
        <f>TEXT(0.0516,"0.00%")</f>
        <v>0</v>
      </c>
      <c r="E185">
        <v>10246854</v>
      </c>
      <c r="F185">
        <v>119185467</v>
      </c>
      <c r="G185">
        <f>TEXT(0.0641,"0.00%")</f>
        <v>0</v>
      </c>
      <c r="H185">
        <f>TEXT(0.0493,"0.00%")</f>
        <v>0</v>
      </c>
      <c r="I185">
        <v>3116743189</v>
      </c>
      <c r="J185">
        <v>1.97</v>
      </c>
      <c r="K185">
        <v>11.89</v>
      </c>
      <c r="L185">
        <v>11.17</v>
      </c>
      <c r="M185">
        <v>11.2</v>
      </c>
      <c r="N185">
        <v>11.24</v>
      </c>
    </row>
    <row r="186" spans="1:14">
      <c r="A186" t="s">
        <v>198</v>
      </c>
      <c r="B186">
        <f>TEXT(603888,"000000")</f>
        <v>0</v>
      </c>
      <c r="C186">
        <v>27.49</v>
      </c>
      <c r="D186">
        <f>TEXT(0.0516,"0.00%")</f>
        <v>0</v>
      </c>
      <c r="E186">
        <v>21533972</v>
      </c>
      <c r="F186">
        <v>586747223</v>
      </c>
      <c r="G186">
        <f>TEXT(0.1109,"0.00%")</f>
        <v>0</v>
      </c>
      <c r="H186">
        <f>TEXT(0.0415,"0.00%")</f>
        <v>0</v>
      </c>
      <c r="I186">
        <v>14268117106</v>
      </c>
      <c r="J186">
        <v>1.47</v>
      </c>
      <c r="K186">
        <v>28.68</v>
      </c>
      <c r="L186">
        <v>25.78</v>
      </c>
      <c r="M186">
        <v>26.01</v>
      </c>
      <c r="N186">
        <v>26.14</v>
      </c>
    </row>
    <row r="187" spans="1:14">
      <c r="A187" t="s">
        <v>199</v>
      </c>
      <c r="B187">
        <f>TEXT(688258,"000000")</f>
        <v>0</v>
      </c>
      <c r="C187">
        <v>85.8</v>
      </c>
      <c r="D187">
        <f>TEXT(0.0516,"0.00%")</f>
        <v>0</v>
      </c>
      <c r="E187">
        <v>1450979</v>
      </c>
      <c r="F187">
        <v>122473479</v>
      </c>
      <c r="G187">
        <f>TEXT(0.0653,"0.00%")</f>
        <v>0</v>
      </c>
      <c r="H187">
        <f>TEXT(0.0167,"0.00%")</f>
        <v>0</v>
      </c>
      <c r="I187">
        <v>7460875507</v>
      </c>
      <c r="J187">
        <v>1.64</v>
      </c>
      <c r="K187">
        <v>86.33</v>
      </c>
      <c r="L187">
        <v>81</v>
      </c>
      <c r="M187">
        <v>81</v>
      </c>
      <c r="N187">
        <v>81.59</v>
      </c>
    </row>
    <row r="188" spans="1:14">
      <c r="A188" t="s">
        <v>200</v>
      </c>
      <c r="B188">
        <f>TEXT(000989,"000000")</f>
        <v>0</v>
      </c>
      <c r="C188">
        <v>12.87</v>
      </c>
      <c r="D188">
        <f>TEXT(0.051500000000000004,"0.00%")</f>
        <v>0</v>
      </c>
      <c r="E188">
        <v>31448352</v>
      </c>
      <c r="F188">
        <v>399172000</v>
      </c>
      <c r="G188">
        <f>TEXT(0.07519999999999999,"0.00%")</f>
        <v>0</v>
      </c>
      <c r="H188">
        <f>TEXT(0.0478,"0.00%")</f>
        <v>0</v>
      </c>
      <c r="I188">
        <v>11015973694</v>
      </c>
      <c r="J188">
        <v>1.62</v>
      </c>
      <c r="K188">
        <v>13.14</v>
      </c>
      <c r="L188">
        <v>12.22</v>
      </c>
      <c r="M188">
        <v>12.22</v>
      </c>
      <c r="N188">
        <v>12.24</v>
      </c>
    </row>
    <row r="189" spans="1:14">
      <c r="A189" t="s">
        <v>201</v>
      </c>
      <c r="B189">
        <f>TEXT(300520,"000000")</f>
        <v>0</v>
      </c>
      <c r="C189">
        <v>22.66</v>
      </c>
      <c r="D189">
        <f>TEXT(0.051500000000000004,"0.00%")</f>
        <v>0</v>
      </c>
      <c r="E189">
        <v>17171401</v>
      </c>
      <c r="F189">
        <v>382321552</v>
      </c>
      <c r="G189">
        <f>TEXT(0.0668,"0.00%")</f>
        <v>0</v>
      </c>
      <c r="H189">
        <f>TEXT(0.0738,"0.00%")</f>
        <v>0</v>
      </c>
      <c r="I189">
        <v>5605759962</v>
      </c>
      <c r="J189">
        <v>1.98</v>
      </c>
      <c r="K189">
        <v>22.66</v>
      </c>
      <c r="L189">
        <v>21.22</v>
      </c>
      <c r="M189">
        <v>21.32</v>
      </c>
      <c r="N189">
        <v>21.55</v>
      </c>
    </row>
    <row r="190" spans="1:14">
      <c r="A190" t="s">
        <v>202</v>
      </c>
      <c r="B190">
        <f>TEXT(002101,"000000")</f>
        <v>0</v>
      </c>
      <c r="C190">
        <v>18.38</v>
      </c>
      <c r="D190">
        <f>TEXT(0.051500000000000004,"0.00%")</f>
        <v>0</v>
      </c>
      <c r="E190">
        <v>25325489</v>
      </c>
      <c r="F190">
        <v>456173684</v>
      </c>
      <c r="G190">
        <f>TEXT(0.0875,"0.00%")</f>
        <v>0</v>
      </c>
      <c r="H190">
        <f>TEXT(0.0479,"0.00%")</f>
        <v>0</v>
      </c>
      <c r="I190">
        <v>9720793557</v>
      </c>
      <c r="J190">
        <v>2.8</v>
      </c>
      <c r="K190">
        <v>18.59</v>
      </c>
      <c r="L190">
        <v>17.06</v>
      </c>
      <c r="M190">
        <v>17.41</v>
      </c>
      <c r="N190">
        <v>17.48</v>
      </c>
    </row>
    <row r="191" spans="1:14">
      <c r="A191" t="s">
        <v>203</v>
      </c>
      <c r="B191">
        <f>TEXT(688110,"000000")</f>
        <v>0</v>
      </c>
      <c r="C191">
        <v>37.43</v>
      </c>
      <c r="D191">
        <f>TEXT(0.051399999999999994,"0.00%")</f>
        <v>0</v>
      </c>
      <c r="E191">
        <v>16831841</v>
      </c>
      <c r="F191">
        <v>625638666</v>
      </c>
      <c r="G191">
        <f>TEXT(0.0711,"0.00%")</f>
        <v>0</v>
      </c>
      <c r="H191">
        <f>TEXT(0.0616,"0.00%")</f>
        <v>0</v>
      </c>
      <c r="I191">
        <v>16553408441</v>
      </c>
      <c r="J191">
        <v>1.09</v>
      </c>
      <c r="K191">
        <v>38.2</v>
      </c>
      <c r="L191">
        <v>35.67</v>
      </c>
      <c r="M191">
        <v>36.15</v>
      </c>
      <c r="N191">
        <v>35.6</v>
      </c>
    </row>
    <row r="192" spans="1:14">
      <c r="A192" t="s">
        <v>204</v>
      </c>
      <c r="B192">
        <f>TEXT(000936,"000000")</f>
        <v>0</v>
      </c>
      <c r="C192">
        <v>6.75</v>
      </c>
      <c r="D192">
        <f>TEXT(0.051399999999999994,"0.00%")</f>
        <v>0</v>
      </c>
      <c r="E192">
        <v>71964323</v>
      </c>
      <c r="F192">
        <v>482442785</v>
      </c>
      <c r="G192">
        <f>TEXT(0.08259999999999999,"0.00%")</f>
        <v>0</v>
      </c>
      <c r="H192">
        <f>TEXT(0.0812,"0.00%")</f>
        <v>0</v>
      </c>
      <c r="I192">
        <v>5980586987</v>
      </c>
      <c r="J192">
        <v>1.74</v>
      </c>
      <c r="K192">
        <v>6.9</v>
      </c>
      <c r="L192">
        <v>6.37</v>
      </c>
      <c r="M192">
        <v>6.38</v>
      </c>
      <c r="N192">
        <v>6.42</v>
      </c>
    </row>
    <row r="193" spans="1:14">
      <c r="A193" t="s">
        <v>205</v>
      </c>
      <c r="B193">
        <f>TEXT(002975,"000000")</f>
        <v>0</v>
      </c>
      <c r="C193">
        <v>40.58</v>
      </c>
      <c r="D193">
        <f>TEXT(0.0513,"0.00%")</f>
        <v>0</v>
      </c>
      <c r="E193">
        <v>2443771</v>
      </c>
      <c r="F193">
        <v>96789687</v>
      </c>
      <c r="G193">
        <f>TEXT(0.0661,"0.00%")</f>
        <v>0</v>
      </c>
      <c r="H193">
        <f>TEXT(0.0348,"0.00%")</f>
        <v>0</v>
      </c>
      <c r="I193">
        <v>5656046162</v>
      </c>
      <c r="J193">
        <v>1.28</v>
      </c>
      <c r="K193">
        <v>40.71</v>
      </c>
      <c r="L193">
        <v>38.16</v>
      </c>
      <c r="M193">
        <v>38.7</v>
      </c>
      <c r="N193">
        <v>38.6</v>
      </c>
    </row>
    <row r="194" spans="1:14">
      <c r="A194" t="s">
        <v>206</v>
      </c>
      <c r="B194">
        <f>TEXT(300430,"000000")</f>
        <v>0</v>
      </c>
      <c r="C194">
        <v>16.03</v>
      </c>
      <c r="D194">
        <f>TEXT(0.051100000000000007,"0.00%")</f>
        <v>0</v>
      </c>
      <c r="E194">
        <v>6679915</v>
      </c>
      <c r="F194">
        <v>105098699</v>
      </c>
      <c r="G194">
        <f>TEXT(0.0702,"0.00%")</f>
        <v>0</v>
      </c>
      <c r="H194">
        <f>TEXT(0.026000000000000002,"0.00%")</f>
        <v>0</v>
      </c>
      <c r="I194">
        <v>4379141058</v>
      </c>
      <c r="J194">
        <v>1.34</v>
      </c>
      <c r="K194">
        <v>16.14</v>
      </c>
      <c r="L194">
        <v>15.07</v>
      </c>
      <c r="M194">
        <v>15.09</v>
      </c>
      <c r="N194">
        <v>15.25</v>
      </c>
    </row>
    <row r="195" spans="1:14">
      <c r="A195" t="s">
        <v>207</v>
      </c>
      <c r="B195">
        <f>TEXT(301133,"000000")</f>
        <v>0</v>
      </c>
      <c r="C195">
        <v>25.54</v>
      </c>
      <c r="D195">
        <f>TEXT(0.051,"0.00%")</f>
        <v>0</v>
      </c>
      <c r="E195">
        <v>5771284</v>
      </c>
      <c r="F195">
        <v>145640234</v>
      </c>
      <c r="G195">
        <f>TEXT(0.1091,"0.00%")</f>
        <v>0</v>
      </c>
      <c r="H195">
        <f>TEXT(0.18760000000000002,"0.00%")</f>
        <v>0</v>
      </c>
      <c r="I195">
        <v>2709707572</v>
      </c>
      <c r="J195">
        <v>4.43</v>
      </c>
      <c r="K195">
        <v>26.45</v>
      </c>
      <c r="L195">
        <v>23.8</v>
      </c>
      <c r="M195">
        <v>24.25</v>
      </c>
      <c r="N195">
        <v>24.3</v>
      </c>
    </row>
    <row r="196" spans="1:14">
      <c r="A196" t="s">
        <v>208</v>
      </c>
      <c r="B196">
        <f>TEXT(002427,"000000")</f>
        <v>0</v>
      </c>
      <c r="C196">
        <v>7.85</v>
      </c>
      <c r="D196">
        <f>TEXT(0.0509,"0.00%")</f>
        <v>0</v>
      </c>
      <c r="E196">
        <v>22953477</v>
      </c>
      <c r="F196">
        <v>180686312</v>
      </c>
      <c r="G196">
        <f>TEXT(0.10710000000000001,"0.00%")</f>
        <v>0</v>
      </c>
      <c r="H196">
        <f>TEXT(0.0233,"0.00%")</f>
        <v>0</v>
      </c>
      <c r="I196">
        <v>7735647299</v>
      </c>
      <c r="J196">
        <v>1.27</v>
      </c>
      <c r="K196">
        <v>8.1</v>
      </c>
      <c r="L196">
        <v>7.3</v>
      </c>
      <c r="M196">
        <v>7.44</v>
      </c>
      <c r="N196">
        <v>7.47</v>
      </c>
    </row>
    <row r="197" spans="1:14">
      <c r="A197" t="s">
        <v>209</v>
      </c>
      <c r="B197">
        <f>TEXT(000620,"000000")</f>
        <v>0</v>
      </c>
      <c r="C197">
        <v>1.24</v>
      </c>
      <c r="D197">
        <f>TEXT(0.0508,"0.00%")</f>
        <v>0</v>
      </c>
      <c r="E197">
        <v>2050476</v>
      </c>
      <c r="F197">
        <v>2542590</v>
      </c>
      <c r="G197">
        <f>TEXT(0.0,"0.00%")</f>
        <v>0</v>
      </c>
      <c r="H197">
        <f>TEXT(0.0011,"0.00%")</f>
        <v>0</v>
      </c>
      <c r="I197">
        <v>2351896120</v>
      </c>
      <c r="J197">
        <v>0.03</v>
      </c>
      <c r="K197">
        <v>1.24</v>
      </c>
      <c r="L197">
        <v>1.24</v>
      </c>
      <c r="M197">
        <v>1.24</v>
      </c>
      <c r="N197">
        <v>1.18</v>
      </c>
    </row>
    <row r="198" spans="1:14">
      <c r="A198" t="s">
        <v>210</v>
      </c>
      <c r="B198">
        <f>TEXT(300592,"000000")</f>
        <v>0</v>
      </c>
      <c r="C198">
        <v>26.73</v>
      </c>
      <c r="D198">
        <f>TEXT(0.0507,"0.00%")</f>
        <v>0</v>
      </c>
      <c r="E198">
        <v>11995534</v>
      </c>
      <c r="F198">
        <v>313087252</v>
      </c>
      <c r="G198">
        <f>TEXT(0.07780000000000001,"0.00%")</f>
        <v>0</v>
      </c>
      <c r="H198">
        <f>TEXT(0.0761,"0.00%")</f>
        <v>0</v>
      </c>
      <c r="I198">
        <v>7729664349</v>
      </c>
      <c r="J198">
        <v>0.78</v>
      </c>
      <c r="K198">
        <v>26.98</v>
      </c>
      <c r="L198">
        <v>25</v>
      </c>
      <c r="M198">
        <v>25.56</v>
      </c>
      <c r="N198">
        <v>25.44</v>
      </c>
    </row>
    <row r="199" spans="1:14">
      <c r="A199" t="s">
        <v>211</v>
      </c>
      <c r="B199">
        <f>TEXT(688111,"000000")</f>
        <v>0</v>
      </c>
      <c r="C199">
        <v>412.87</v>
      </c>
      <c r="D199">
        <f>TEXT(0.0506,"0.00%")</f>
        <v>0</v>
      </c>
      <c r="E199">
        <v>3523301</v>
      </c>
      <c r="F199">
        <v>1430854976</v>
      </c>
      <c r="G199">
        <f>TEXT(0.053899999999999997,"0.00%")</f>
        <v>0</v>
      </c>
      <c r="H199">
        <f>TEXT(0.0076,"0.00%")</f>
        <v>0</v>
      </c>
      <c r="I199">
        <v>190442476421</v>
      </c>
      <c r="J199">
        <v>1.06</v>
      </c>
      <c r="K199">
        <v>413.59</v>
      </c>
      <c r="L199">
        <v>392.39</v>
      </c>
      <c r="M199">
        <v>392.96</v>
      </c>
      <c r="N199">
        <v>393</v>
      </c>
    </row>
    <row r="200" spans="1:14">
      <c r="A200" t="s">
        <v>212</v>
      </c>
      <c r="B200">
        <f>TEXT(600079,"000000")</f>
        <v>0</v>
      </c>
      <c r="C200">
        <v>25.59</v>
      </c>
      <c r="D200">
        <f>TEXT(0.050499999999999996,"0.00%")</f>
        <v>0</v>
      </c>
      <c r="E200">
        <v>16413335</v>
      </c>
      <c r="F200">
        <v>415592063</v>
      </c>
      <c r="G200">
        <f>TEXT(0.0665,"0.00%")</f>
        <v>0</v>
      </c>
      <c r="H200">
        <f>TEXT(0.0113,"0.00%")</f>
        <v>0</v>
      </c>
      <c r="I200">
        <v>41781190694</v>
      </c>
      <c r="J200">
        <v>1.1</v>
      </c>
      <c r="K200">
        <v>25.9</v>
      </c>
      <c r="L200">
        <v>24.28</v>
      </c>
      <c r="M200">
        <v>24.5</v>
      </c>
      <c r="N200">
        <v>24.36</v>
      </c>
    </row>
    <row r="201" spans="1:14">
      <c r="A201" t="s">
        <v>213</v>
      </c>
      <c r="B201">
        <f>TEXT(688292,"000000")</f>
        <v>0</v>
      </c>
      <c r="C201">
        <v>32.7</v>
      </c>
      <c r="D201">
        <f>TEXT(0.0504,"0.00%")</f>
        <v>0</v>
      </c>
      <c r="E201">
        <v>3523386</v>
      </c>
      <c r="F201">
        <v>112630441</v>
      </c>
      <c r="G201">
        <f>TEXT(0.0932,"0.00%")</f>
        <v>0</v>
      </c>
      <c r="H201">
        <f>TEXT(0.0975,"0.00%")</f>
        <v>0</v>
      </c>
      <c r="I201">
        <v>5138696010</v>
      </c>
      <c r="J201">
        <v>1.07</v>
      </c>
      <c r="K201">
        <v>33.15</v>
      </c>
      <c r="L201">
        <v>30.25</v>
      </c>
      <c r="M201">
        <v>31</v>
      </c>
      <c r="N201">
        <v>31.13</v>
      </c>
    </row>
    <row r="202" spans="1:14">
      <c r="A202" t="s">
        <v>214</v>
      </c>
      <c r="B202">
        <f>TEXT(603232,"000000")</f>
        <v>0</v>
      </c>
      <c r="C202">
        <v>15.67</v>
      </c>
      <c r="D202">
        <f>TEXT(0.050300000000000004,"0.00%")</f>
        <v>0</v>
      </c>
      <c r="E202">
        <v>7625240</v>
      </c>
      <c r="F202">
        <v>117603655</v>
      </c>
      <c r="G202">
        <f>TEXT(0.0717,"0.00%")</f>
        <v>0</v>
      </c>
      <c r="H202">
        <f>TEXT(0.0327,"0.00%")</f>
        <v>0</v>
      </c>
      <c r="I202">
        <v>3651813661</v>
      </c>
      <c r="J202">
        <v>2.23</v>
      </c>
      <c r="K202">
        <v>15.84</v>
      </c>
      <c r="L202">
        <v>14.77</v>
      </c>
      <c r="M202">
        <v>14.79</v>
      </c>
      <c r="N202">
        <v>14.92</v>
      </c>
    </row>
    <row r="203" spans="1:14">
      <c r="A203" t="s">
        <v>215</v>
      </c>
      <c r="B203">
        <f>TEXT(000004,"000000")</f>
        <v>0</v>
      </c>
      <c r="C203">
        <v>12.73</v>
      </c>
      <c r="D203">
        <f>TEXT(0.050300000000000004,"0.00%")</f>
        <v>0</v>
      </c>
      <c r="E203">
        <v>4709506</v>
      </c>
      <c r="F203">
        <v>58485586</v>
      </c>
      <c r="G203">
        <f>TEXT(0.056900000000000006,"0.00%")</f>
        <v>0</v>
      </c>
      <c r="H203">
        <f>TEXT(0.039599999999999996,"0.00%")</f>
        <v>0</v>
      </c>
      <c r="I203">
        <v>1691155141</v>
      </c>
      <c r="J203">
        <v>1.56</v>
      </c>
      <c r="K203">
        <v>12.73</v>
      </c>
      <c r="L203">
        <v>12.04</v>
      </c>
      <c r="M203">
        <v>12.32</v>
      </c>
      <c r="N203">
        <v>12.12</v>
      </c>
    </row>
    <row r="204" spans="1:14">
      <c r="A204" t="s">
        <v>216</v>
      </c>
      <c r="B204">
        <f>TEXT(300184,"000000")</f>
        <v>0</v>
      </c>
      <c r="C204">
        <v>5.23</v>
      </c>
      <c r="D204">
        <f>TEXT(0.050199999999999995,"0.00%")</f>
        <v>0</v>
      </c>
      <c r="E204">
        <v>60753788</v>
      </c>
      <c r="F204">
        <v>313777965</v>
      </c>
      <c r="G204">
        <f>TEXT(0.0562,"0.00%")</f>
        <v>0</v>
      </c>
      <c r="H204">
        <f>TEXT(0.0579,"0.00%")</f>
        <v>0</v>
      </c>
      <c r="I204">
        <v>6035482352</v>
      </c>
      <c r="J204">
        <v>1.37</v>
      </c>
      <c r="K204">
        <v>5.27</v>
      </c>
      <c r="L204">
        <v>4.99</v>
      </c>
      <c r="M204">
        <v>5</v>
      </c>
      <c r="N204">
        <v>4.98</v>
      </c>
    </row>
    <row r="205" spans="1:14">
      <c r="A205" t="s">
        <v>217</v>
      </c>
      <c r="B205">
        <f>TEXT(002313,"000000")</f>
        <v>0</v>
      </c>
      <c r="C205">
        <v>8.18</v>
      </c>
      <c r="D205">
        <f>TEXT(0.0501,"0.00%")</f>
        <v>0</v>
      </c>
      <c r="E205">
        <v>8052214</v>
      </c>
      <c r="F205">
        <v>64179345</v>
      </c>
      <c r="G205">
        <f>TEXT(0.0616,"0.00%")</f>
        <v>0</v>
      </c>
      <c r="H205">
        <f>TEXT(0.0215,"0.00%")</f>
        <v>0</v>
      </c>
      <c r="I205">
        <v>3062592000</v>
      </c>
      <c r="J205">
        <v>1.03</v>
      </c>
      <c r="K205">
        <v>8.18</v>
      </c>
      <c r="L205">
        <v>7.7</v>
      </c>
      <c r="M205">
        <v>7.77</v>
      </c>
      <c r="N205">
        <v>7.79</v>
      </c>
    </row>
    <row r="206" spans="1:14">
      <c r="A206" t="s">
        <v>218</v>
      </c>
      <c r="B206">
        <f>TEXT(600182,"000000")</f>
        <v>0</v>
      </c>
      <c r="C206">
        <v>17</v>
      </c>
      <c r="D206">
        <f>TEXT(0.05,"0.00%")</f>
        <v>0</v>
      </c>
      <c r="E206">
        <v>2704429</v>
      </c>
      <c r="F206">
        <v>45268102</v>
      </c>
      <c r="G206">
        <f>TEXT(0.0408,"0.00%")</f>
        <v>0</v>
      </c>
      <c r="H206">
        <f>TEXT(0.0159,"0.00%")</f>
        <v>0</v>
      </c>
      <c r="I206">
        <v>5780000000</v>
      </c>
      <c r="J206">
        <v>0.48</v>
      </c>
      <c r="K206">
        <v>17</v>
      </c>
      <c r="L206">
        <v>16.34</v>
      </c>
      <c r="M206">
        <v>16.34</v>
      </c>
      <c r="N206">
        <v>16.19</v>
      </c>
    </row>
    <row r="207" spans="1:14">
      <c r="A207" t="s">
        <v>219</v>
      </c>
      <c r="B207">
        <f>TEXT(301366,"000000")</f>
        <v>0</v>
      </c>
      <c r="C207">
        <v>58.53</v>
      </c>
      <c r="D207">
        <f>TEXT(0.0499,"0.00%")</f>
        <v>0</v>
      </c>
      <c r="E207">
        <v>1476610</v>
      </c>
      <c r="F207">
        <v>84874617</v>
      </c>
      <c r="G207">
        <f>TEXT(0.0558,"0.00%")</f>
        <v>0</v>
      </c>
      <c r="H207">
        <f>TEXT(0.0758,"0.00%")</f>
        <v>0</v>
      </c>
      <c r="I207">
        <v>4877500039</v>
      </c>
      <c r="J207">
        <v>2.05</v>
      </c>
      <c r="K207">
        <v>58.53</v>
      </c>
      <c r="L207">
        <v>55.42</v>
      </c>
      <c r="M207">
        <v>55.81</v>
      </c>
      <c r="N207">
        <v>55.75</v>
      </c>
    </row>
    <row r="208" spans="1:14">
      <c r="A208" t="s">
        <v>220</v>
      </c>
      <c r="B208">
        <f>TEXT(601921,"000000")</f>
        <v>0</v>
      </c>
      <c r="C208">
        <v>8.640000000000001</v>
      </c>
      <c r="D208">
        <f>TEXT(0.049800000000000004,"0.00%")</f>
        <v>0</v>
      </c>
      <c r="E208">
        <v>19811169</v>
      </c>
      <c r="F208">
        <v>168276000</v>
      </c>
      <c r="G208">
        <f>TEXT(0.0668,"0.00%")</f>
        <v>0</v>
      </c>
      <c r="H208">
        <f>TEXT(0.046900000000000004,"0.00%")</f>
        <v>0</v>
      </c>
      <c r="I208">
        <v>19200000006</v>
      </c>
      <c r="J208">
        <v>1.3</v>
      </c>
      <c r="K208">
        <v>8.69</v>
      </c>
      <c r="L208">
        <v>8.140000000000001</v>
      </c>
      <c r="M208">
        <v>8.220000000000001</v>
      </c>
      <c r="N208">
        <v>8.23</v>
      </c>
    </row>
    <row r="209" spans="1:14">
      <c r="A209" t="s">
        <v>221</v>
      </c>
      <c r="B209">
        <f>TEXT(300181,"000000")</f>
        <v>0</v>
      </c>
      <c r="C209">
        <v>13.12</v>
      </c>
      <c r="D209">
        <f>TEXT(0.0496,"0.00%")</f>
        <v>0</v>
      </c>
      <c r="E209">
        <v>19678200</v>
      </c>
      <c r="F209">
        <v>255376567</v>
      </c>
      <c r="G209">
        <f>TEXT(0.0728,"0.00%")</f>
        <v>0</v>
      </c>
      <c r="H209">
        <f>TEXT(0.0387,"0.00%")</f>
        <v>0</v>
      </c>
      <c r="I209">
        <v>9202201835</v>
      </c>
      <c r="J209">
        <v>1.11</v>
      </c>
      <c r="K209">
        <v>13.32</v>
      </c>
      <c r="L209">
        <v>12.41</v>
      </c>
      <c r="M209">
        <v>12.43</v>
      </c>
      <c r="N209">
        <v>12.5</v>
      </c>
    </row>
    <row r="210" spans="1:14">
      <c r="A210" t="s">
        <v>222</v>
      </c>
      <c r="B210">
        <f>TEXT(301119,"000000")</f>
        <v>0</v>
      </c>
      <c r="C210">
        <v>33.37</v>
      </c>
      <c r="D210">
        <f>TEXT(0.049400000000000006,"0.00%")</f>
        <v>0</v>
      </c>
      <c r="E210">
        <v>4559003</v>
      </c>
      <c r="F210">
        <v>152554825</v>
      </c>
      <c r="G210">
        <f>TEXT(0.1362,"0.00%")</f>
        <v>0</v>
      </c>
      <c r="H210">
        <f>TEXT(0.21710000000000002,"0.00%")</f>
        <v>0</v>
      </c>
      <c r="I210">
        <v>2669600000</v>
      </c>
      <c r="J210">
        <v>3.09</v>
      </c>
      <c r="K210">
        <v>35.37</v>
      </c>
      <c r="L210">
        <v>31.04</v>
      </c>
      <c r="M210">
        <v>31.38</v>
      </c>
      <c r="N210">
        <v>31.8</v>
      </c>
    </row>
    <row r="211" spans="1:14">
      <c r="A211" t="s">
        <v>223</v>
      </c>
      <c r="B211">
        <f>TEXT(300541,"000000")</f>
        <v>0</v>
      </c>
      <c r="C211">
        <v>13.18</v>
      </c>
      <c r="D211">
        <f>TEXT(0.049400000000000006,"0.00%")</f>
        <v>0</v>
      </c>
      <c r="E211">
        <v>21730116</v>
      </c>
      <c r="F211">
        <v>284160777</v>
      </c>
      <c r="G211">
        <f>TEXT(0.06849999999999999,"0.00%")</f>
        <v>0</v>
      </c>
      <c r="H211">
        <f>TEXT(0.08529999999999999,"0.00%")</f>
        <v>0</v>
      </c>
      <c r="I211">
        <v>4065099465</v>
      </c>
      <c r="J211">
        <v>3.29</v>
      </c>
      <c r="K211">
        <v>13.3</v>
      </c>
      <c r="L211">
        <v>12.44</v>
      </c>
      <c r="M211">
        <v>12.44</v>
      </c>
      <c r="N211">
        <v>12.56</v>
      </c>
    </row>
    <row r="212" spans="1:14">
      <c r="A212" t="s">
        <v>224</v>
      </c>
      <c r="B212">
        <f>TEXT(002737,"000000")</f>
        <v>0</v>
      </c>
      <c r="C212">
        <v>26.83</v>
      </c>
      <c r="D212">
        <f>TEXT(0.0493,"0.00%")</f>
        <v>0</v>
      </c>
      <c r="E212">
        <v>12925423</v>
      </c>
      <c r="F212">
        <v>340978614</v>
      </c>
      <c r="G212">
        <f>TEXT(0.06570000000000001,"0.00%")</f>
        <v>0</v>
      </c>
      <c r="H212">
        <f>TEXT(0.022099999999999998,"0.00%")</f>
        <v>0</v>
      </c>
      <c r="I212">
        <v>15668720000</v>
      </c>
      <c r="J212">
        <v>1.35</v>
      </c>
      <c r="K212">
        <v>27.08</v>
      </c>
      <c r="L212">
        <v>25.4</v>
      </c>
      <c r="M212">
        <v>25.5</v>
      </c>
      <c r="N212">
        <v>25.57</v>
      </c>
    </row>
    <row r="213" spans="1:14">
      <c r="A213" t="s">
        <v>225</v>
      </c>
      <c r="B213">
        <f>TEXT(600266,"000000")</f>
        <v>0</v>
      </c>
      <c r="C213">
        <v>4.91</v>
      </c>
      <c r="D213">
        <f>TEXT(0.049100000000000005,"0.00%")</f>
        <v>0</v>
      </c>
      <c r="E213">
        <v>36815190</v>
      </c>
      <c r="F213">
        <v>178054195</v>
      </c>
      <c r="G213">
        <f>TEXT(0.053399999999999996,"0.00%")</f>
        <v>0</v>
      </c>
      <c r="H213">
        <f>TEXT(0.0163,"0.00%")</f>
        <v>0</v>
      </c>
      <c r="I213">
        <v>11079599616</v>
      </c>
      <c r="J213">
        <v>1.14</v>
      </c>
      <c r="K213">
        <v>4.93</v>
      </c>
      <c r="L213">
        <v>4.68</v>
      </c>
      <c r="M213">
        <v>4.68</v>
      </c>
      <c r="N213">
        <v>4.68</v>
      </c>
    </row>
    <row r="214" spans="1:14">
      <c r="A214" t="s">
        <v>226</v>
      </c>
      <c r="B214">
        <f>TEXT(002803,"000000")</f>
        <v>0</v>
      </c>
      <c r="C214">
        <v>21.9</v>
      </c>
      <c r="D214">
        <f>TEXT(0.0489,"0.00%")</f>
        <v>0</v>
      </c>
      <c r="E214">
        <v>33909490</v>
      </c>
      <c r="F214">
        <v>728379439</v>
      </c>
      <c r="G214">
        <f>TEXT(0.0934,"0.00%")</f>
        <v>0</v>
      </c>
      <c r="H214">
        <f>TEXT(0.12140000000000001,"0.00%")</f>
        <v>0</v>
      </c>
      <c r="I214">
        <v>8287163407</v>
      </c>
      <c r="J214">
        <v>1.13</v>
      </c>
      <c r="K214">
        <v>22.34</v>
      </c>
      <c r="L214">
        <v>20.39</v>
      </c>
      <c r="M214">
        <v>21.02</v>
      </c>
      <c r="N214">
        <v>20.88</v>
      </c>
    </row>
    <row r="215" spans="1:14">
      <c r="A215" t="s">
        <v>227</v>
      </c>
      <c r="B215">
        <f>TEXT(688316,"000000")</f>
        <v>0</v>
      </c>
      <c r="C215">
        <v>51.51</v>
      </c>
      <c r="D215">
        <f>TEXT(0.0489,"0.00%")</f>
        <v>0</v>
      </c>
      <c r="E215">
        <v>2000767</v>
      </c>
      <c r="F215">
        <v>102788237</v>
      </c>
      <c r="G215">
        <f>TEXT(0.08310000000000001,"0.00%")</f>
        <v>0</v>
      </c>
      <c r="H215">
        <f>TEXT(0.0562,"0.00%")</f>
        <v>0</v>
      </c>
      <c r="I215">
        <v>2444776634</v>
      </c>
      <c r="J215">
        <v>1.74</v>
      </c>
      <c r="K215">
        <v>53.35</v>
      </c>
      <c r="L215">
        <v>49.27</v>
      </c>
      <c r="M215">
        <v>49.27</v>
      </c>
      <c r="N215">
        <v>49.11</v>
      </c>
    </row>
    <row r="216" spans="1:14">
      <c r="A216" t="s">
        <v>228</v>
      </c>
      <c r="B216">
        <f>TEXT(300814,"000000")</f>
        <v>0</v>
      </c>
      <c r="C216">
        <v>21.27</v>
      </c>
      <c r="D216">
        <f>TEXT(0.048799999999999996,"0.00%")</f>
        <v>0</v>
      </c>
      <c r="E216">
        <v>6768600</v>
      </c>
      <c r="F216">
        <v>143170117</v>
      </c>
      <c r="G216">
        <f>TEXT(0.0592,"0.00%")</f>
        <v>0</v>
      </c>
      <c r="H216">
        <f>TEXT(0.1333,"0.00%")</f>
        <v>0</v>
      </c>
      <c r="I216">
        <v>3739180920</v>
      </c>
      <c r="J216">
        <v>2.8</v>
      </c>
      <c r="K216">
        <v>21.73</v>
      </c>
      <c r="L216">
        <v>20.53</v>
      </c>
      <c r="M216">
        <v>20.57</v>
      </c>
      <c r="N216">
        <v>20.28</v>
      </c>
    </row>
    <row r="217" spans="1:14">
      <c r="A217" t="s">
        <v>229</v>
      </c>
      <c r="B217">
        <f>TEXT(600605,"000000")</f>
        <v>0</v>
      </c>
      <c r="C217">
        <v>16.58</v>
      </c>
      <c r="D217">
        <f>TEXT(0.0487,"0.00%")</f>
        <v>0</v>
      </c>
      <c r="E217">
        <v>9200861</v>
      </c>
      <c r="F217">
        <v>149969627</v>
      </c>
      <c r="G217">
        <f>TEXT(0.0626,"0.00%")</f>
        <v>0</v>
      </c>
      <c r="H217">
        <f>TEXT(0.0446,"0.00%")</f>
        <v>0</v>
      </c>
      <c r="I217">
        <v>3420162672</v>
      </c>
      <c r="J217">
        <v>0.78</v>
      </c>
      <c r="K217">
        <v>16.76</v>
      </c>
      <c r="L217">
        <v>15.77</v>
      </c>
      <c r="M217">
        <v>15.81</v>
      </c>
      <c r="N217">
        <v>15.81</v>
      </c>
    </row>
    <row r="218" spans="1:14">
      <c r="A218" t="s">
        <v>230</v>
      </c>
      <c r="B218">
        <f>TEXT(600027,"000000")</f>
        <v>0</v>
      </c>
      <c r="C218">
        <v>6.47</v>
      </c>
      <c r="D218">
        <f>TEXT(0.048600000000000004,"0.00%")</f>
        <v>0</v>
      </c>
      <c r="E218">
        <v>148797220</v>
      </c>
      <c r="F218">
        <v>969222398</v>
      </c>
      <c r="G218">
        <f>TEXT(0.081,"0.00%")</f>
        <v>0</v>
      </c>
      <c r="H218">
        <f>TEXT(0.0176,"0.00%")</f>
        <v>0</v>
      </c>
      <c r="I218">
        <v>65709359764</v>
      </c>
      <c r="J218">
        <v>1.69</v>
      </c>
      <c r="K218">
        <v>6.7</v>
      </c>
      <c r="L218">
        <v>6.2</v>
      </c>
      <c r="M218">
        <v>6.24</v>
      </c>
      <c r="N218">
        <v>6.17</v>
      </c>
    </row>
    <row r="219" spans="1:14">
      <c r="A219" t="s">
        <v>231</v>
      </c>
      <c r="B219">
        <f>TEXT(603197,"000000")</f>
        <v>0</v>
      </c>
      <c r="C219">
        <v>49.33</v>
      </c>
      <c r="D219">
        <f>TEXT(0.048499999999999995,"0.00%")</f>
        <v>0</v>
      </c>
      <c r="E219">
        <v>5780852</v>
      </c>
      <c r="F219">
        <v>280409988</v>
      </c>
      <c r="G219">
        <f>TEXT(0.0718,"0.00%")</f>
        <v>0</v>
      </c>
      <c r="H219">
        <f>TEXT(0.0278,"0.00%")</f>
        <v>0</v>
      </c>
      <c r="I219">
        <v>10306216381</v>
      </c>
      <c r="J219">
        <v>1.74</v>
      </c>
      <c r="K219">
        <v>49.58</v>
      </c>
      <c r="L219">
        <v>46.2</v>
      </c>
      <c r="M219">
        <v>47.05</v>
      </c>
      <c r="N219">
        <v>47.05</v>
      </c>
    </row>
    <row r="220" spans="1:14">
      <c r="A220" t="s">
        <v>232</v>
      </c>
      <c r="B220">
        <f>TEXT(600380,"000000")</f>
        <v>0</v>
      </c>
      <c r="C220">
        <v>13.86</v>
      </c>
      <c r="D220">
        <f>TEXT(0.0484,"0.00%")</f>
        <v>0</v>
      </c>
      <c r="E220">
        <v>26180328</v>
      </c>
      <c r="F220">
        <v>357061633</v>
      </c>
      <c r="G220">
        <f>TEXT(0.0567,"0.00%")</f>
        <v>0</v>
      </c>
      <c r="H220">
        <f>TEXT(0.013600000000000001,"0.00%")</f>
        <v>0</v>
      </c>
      <c r="I220">
        <v>26738564723</v>
      </c>
      <c r="J220">
        <v>2.08</v>
      </c>
      <c r="K220">
        <v>13.9</v>
      </c>
      <c r="L220">
        <v>13.15</v>
      </c>
      <c r="M220">
        <v>13.18</v>
      </c>
      <c r="N220">
        <v>13.22</v>
      </c>
    </row>
    <row r="221" spans="1:14">
      <c r="A221" t="s">
        <v>233</v>
      </c>
      <c r="B221">
        <f>TEXT(600023,"000000")</f>
        <v>0</v>
      </c>
      <c r="C221">
        <v>4.98</v>
      </c>
      <c r="D221">
        <f>TEXT(0.0484,"0.00%")</f>
        <v>0</v>
      </c>
      <c r="E221">
        <v>94026710</v>
      </c>
      <c r="F221">
        <v>468779542</v>
      </c>
      <c r="G221">
        <f>TEXT(0.0526,"0.00%")</f>
        <v>0</v>
      </c>
      <c r="H221">
        <f>TEXT(0.006999999999999999,"0.00%")</f>
        <v>0</v>
      </c>
      <c r="I221">
        <v>66775489090</v>
      </c>
      <c r="J221">
        <v>1.81</v>
      </c>
      <c r="K221">
        <v>5.05</v>
      </c>
      <c r="L221">
        <v>4.8</v>
      </c>
      <c r="M221">
        <v>4.8</v>
      </c>
      <c r="N221">
        <v>4.75</v>
      </c>
    </row>
    <row r="222" spans="1:14">
      <c r="A222" t="s">
        <v>234</v>
      </c>
      <c r="B222">
        <f>TEXT(300236,"000000")</f>
        <v>0</v>
      </c>
      <c r="C222">
        <v>43.2</v>
      </c>
      <c r="D222">
        <f>TEXT(0.0483,"0.00%")</f>
        <v>0</v>
      </c>
      <c r="E222">
        <v>14854444</v>
      </c>
      <c r="F222">
        <v>628794241</v>
      </c>
      <c r="G222">
        <f>TEXT(0.0478,"0.00%")</f>
        <v>0</v>
      </c>
      <c r="H222">
        <f>TEXT(0.053399999999999996,"0.00%")</f>
        <v>0</v>
      </c>
      <c r="I222">
        <v>13538076566</v>
      </c>
      <c r="J222">
        <v>1.43</v>
      </c>
      <c r="K222">
        <v>43.22</v>
      </c>
      <c r="L222">
        <v>41.25</v>
      </c>
      <c r="M222">
        <v>41.36</v>
      </c>
      <c r="N222">
        <v>41.21</v>
      </c>
    </row>
    <row r="223" spans="1:14">
      <c r="A223" t="s">
        <v>235</v>
      </c>
      <c r="B223">
        <f>TEXT(603998,"000000")</f>
        <v>0</v>
      </c>
      <c r="C223">
        <v>14.11</v>
      </c>
      <c r="D223">
        <f>TEXT(0.0483,"0.00%")</f>
        <v>0</v>
      </c>
      <c r="E223">
        <v>16068799</v>
      </c>
      <c r="F223">
        <v>225855644</v>
      </c>
      <c r="G223">
        <f>TEXT(0.0736,"0.00%")</f>
        <v>0</v>
      </c>
      <c r="H223">
        <f>TEXT(0.0374,"0.00%")</f>
        <v>0</v>
      </c>
      <c r="I223">
        <v>6214765303</v>
      </c>
      <c r="J223">
        <v>1.91</v>
      </c>
      <c r="K223">
        <v>14.37</v>
      </c>
      <c r="L223">
        <v>13.38</v>
      </c>
      <c r="M223">
        <v>13.49</v>
      </c>
      <c r="N223">
        <v>13.46</v>
      </c>
    </row>
    <row r="224" spans="1:14">
      <c r="A224" t="s">
        <v>236</v>
      </c>
      <c r="B224">
        <f>TEXT(003021,"000000")</f>
        <v>0</v>
      </c>
      <c r="C224">
        <v>89.40000000000001</v>
      </c>
      <c r="D224">
        <f>TEXT(0.0481,"0.00%")</f>
        <v>0</v>
      </c>
      <c r="E224">
        <v>7115475</v>
      </c>
      <c r="F224">
        <v>620988292</v>
      </c>
      <c r="G224">
        <f>TEXT(0.0742,"0.00%")</f>
        <v>0</v>
      </c>
      <c r="H224">
        <f>TEXT(0.11810000000000001,"0.00%")</f>
        <v>0</v>
      </c>
      <c r="I224">
        <v>15314368761</v>
      </c>
      <c r="J224">
        <v>0.78</v>
      </c>
      <c r="K224">
        <v>90</v>
      </c>
      <c r="L224">
        <v>83.67</v>
      </c>
      <c r="M224">
        <v>86</v>
      </c>
      <c r="N224">
        <v>85.3</v>
      </c>
    </row>
    <row r="225" spans="1:14">
      <c r="A225" t="s">
        <v>237</v>
      </c>
      <c r="B225">
        <f>TEXT(603917,"000000")</f>
        <v>0</v>
      </c>
      <c r="C225">
        <v>22.23</v>
      </c>
      <c r="D225">
        <f>TEXT(0.0481,"0.00%")</f>
        <v>0</v>
      </c>
      <c r="E225">
        <v>5080862</v>
      </c>
      <c r="F225">
        <v>110777580</v>
      </c>
      <c r="G225">
        <f>TEXT(0.07690000000000001,"0.00%")</f>
        <v>0</v>
      </c>
      <c r="H225">
        <f>TEXT(0.032400000000000005,"0.00%")</f>
        <v>0</v>
      </c>
      <c r="I225">
        <v>3485664000</v>
      </c>
      <c r="J225">
        <v>1.89</v>
      </c>
      <c r="K225">
        <v>22.45</v>
      </c>
      <c r="L225">
        <v>20.82</v>
      </c>
      <c r="M225">
        <v>21.35</v>
      </c>
      <c r="N225">
        <v>21.21</v>
      </c>
    </row>
    <row r="226" spans="1:14">
      <c r="A226" t="s">
        <v>238</v>
      </c>
      <c r="B226">
        <f>TEXT(300996,"000000")</f>
        <v>0</v>
      </c>
      <c r="C226">
        <v>32.3</v>
      </c>
      <c r="D226">
        <f>TEXT(0.048,"0.00%")</f>
        <v>0</v>
      </c>
      <c r="E226">
        <v>1193696</v>
      </c>
      <c r="F226">
        <v>38097142</v>
      </c>
      <c r="G226">
        <f>TEXT(0.0526,"0.00%")</f>
        <v>0</v>
      </c>
      <c r="H226">
        <f>TEXT(0.01,"0.00%")</f>
        <v>0</v>
      </c>
      <c r="I226">
        <v>6501492547</v>
      </c>
      <c r="J226">
        <v>0.83</v>
      </c>
      <c r="K226">
        <v>32.44</v>
      </c>
      <c r="L226">
        <v>30.82</v>
      </c>
      <c r="M226">
        <v>30.94</v>
      </c>
      <c r="N226">
        <v>30.82</v>
      </c>
    </row>
    <row r="227" spans="1:14">
      <c r="A227" t="s">
        <v>239</v>
      </c>
      <c r="B227">
        <f>TEXT(300188,"000000")</f>
        <v>0</v>
      </c>
      <c r="C227">
        <v>25.14</v>
      </c>
      <c r="D227">
        <f>TEXT(0.0479,"0.00%")</f>
        <v>0</v>
      </c>
      <c r="E227">
        <v>75985736</v>
      </c>
      <c r="F227">
        <v>1906770058</v>
      </c>
      <c r="G227">
        <f>TEXT(0.0967,"0.00%")</f>
        <v>0</v>
      </c>
      <c r="H227">
        <f>TEXT(0.10490000000000001,"0.00%")</f>
        <v>0</v>
      </c>
      <c r="I227">
        <v>21607259573</v>
      </c>
      <c r="J227">
        <v>1.28</v>
      </c>
      <c r="K227">
        <v>26</v>
      </c>
      <c r="L227">
        <v>23.68</v>
      </c>
      <c r="M227">
        <v>23.91</v>
      </c>
      <c r="N227">
        <v>23.99</v>
      </c>
    </row>
    <row r="228" spans="1:14">
      <c r="A228" t="s">
        <v>240</v>
      </c>
      <c r="B228">
        <f>TEXT(300206,"000000")</f>
        <v>0</v>
      </c>
      <c r="C228">
        <v>15.78</v>
      </c>
      <c r="D228">
        <f>TEXT(0.0478,"0.00%")</f>
        <v>0</v>
      </c>
      <c r="E228">
        <v>6900900</v>
      </c>
      <c r="F228">
        <v>107552989</v>
      </c>
      <c r="G228">
        <f>TEXT(0.059800000000000006,"0.00%")</f>
        <v>0</v>
      </c>
      <c r="H228">
        <f>TEXT(0.0203,"0.00%")</f>
        <v>0</v>
      </c>
      <c r="I228">
        <v>9179570729</v>
      </c>
      <c r="J228">
        <v>1.39</v>
      </c>
      <c r="K228">
        <v>15.9</v>
      </c>
      <c r="L228">
        <v>15</v>
      </c>
      <c r="M228">
        <v>15.1</v>
      </c>
      <c r="N228">
        <v>15.06</v>
      </c>
    </row>
    <row r="229" spans="1:14">
      <c r="A229" t="s">
        <v>241</v>
      </c>
      <c r="B229">
        <f>TEXT(603858,"000000")</f>
        <v>0</v>
      </c>
      <c r="C229">
        <v>22.14</v>
      </c>
      <c r="D229">
        <f>TEXT(0.0478,"0.00%")</f>
        <v>0</v>
      </c>
      <c r="E229">
        <v>15594569</v>
      </c>
      <c r="F229">
        <v>341067772</v>
      </c>
      <c r="G229">
        <f>TEXT(0.0691,"0.00%")</f>
        <v>0</v>
      </c>
      <c r="H229">
        <f>TEXT(0.0141,"0.00%")</f>
        <v>0</v>
      </c>
      <c r="I229">
        <v>24487784160</v>
      </c>
      <c r="J229">
        <v>1.45</v>
      </c>
      <c r="K229">
        <v>22.49</v>
      </c>
      <c r="L229">
        <v>21.03</v>
      </c>
      <c r="M229">
        <v>21.13</v>
      </c>
      <c r="N229">
        <v>21.13</v>
      </c>
    </row>
    <row r="230" spans="1:14">
      <c r="A230" t="s">
        <v>242</v>
      </c>
      <c r="B230">
        <f>TEXT(300422,"000000")</f>
        <v>0</v>
      </c>
      <c r="C230">
        <v>6.58</v>
      </c>
      <c r="D230">
        <f>TEXT(0.0478,"0.00%")</f>
        <v>0</v>
      </c>
      <c r="E230">
        <v>9348116</v>
      </c>
      <c r="F230">
        <v>60316415</v>
      </c>
      <c r="G230">
        <f>TEXT(0.0462,"0.00%")</f>
        <v>0</v>
      </c>
      <c r="H230">
        <f>TEXT(0.0236,"0.00%")</f>
        <v>0</v>
      </c>
      <c r="I230">
        <v>3322062471</v>
      </c>
      <c r="J230">
        <v>2.9</v>
      </c>
      <c r="K230">
        <v>6.59</v>
      </c>
      <c r="L230">
        <v>6.3</v>
      </c>
      <c r="M230">
        <v>6.32</v>
      </c>
      <c r="N230">
        <v>6.28</v>
      </c>
    </row>
    <row r="231" spans="1:14">
      <c r="A231" t="s">
        <v>243</v>
      </c>
      <c r="B231">
        <f>TEXT(600461,"000000")</f>
        <v>0</v>
      </c>
      <c r="C231">
        <v>8.33</v>
      </c>
      <c r="D231">
        <f>TEXT(0.0478,"0.00%")</f>
        <v>0</v>
      </c>
      <c r="E231">
        <v>19054475</v>
      </c>
      <c r="F231">
        <v>157160178</v>
      </c>
      <c r="G231">
        <f>TEXT(0.0541,"0.00%")</f>
        <v>0</v>
      </c>
      <c r="H231">
        <f>TEXT(0.019,"0.00%")</f>
        <v>0</v>
      </c>
      <c r="I231">
        <v>9080634717</v>
      </c>
      <c r="J231">
        <v>2.72</v>
      </c>
      <c r="K231">
        <v>8.390000000000001</v>
      </c>
      <c r="L231">
        <v>7.96</v>
      </c>
      <c r="M231">
        <v>8.1</v>
      </c>
      <c r="N231">
        <v>7.95</v>
      </c>
    </row>
    <row r="232" spans="1:14">
      <c r="A232" t="s">
        <v>244</v>
      </c>
      <c r="B232">
        <f>TEXT(300364,"000000")</f>
        <v>0</v>
      </c>
      <c r="C232">
        <v>18.28</v>
      </c>
      <c r="D232">
        <f>TEXT(0.047599999999999996,"0.00%")</f>
        <v>0</v>
      </c>
      <c r="E232">
        <v>71843106</v>
      </c>
      <c r="F232">
        <v>1295506396</v>
      </c>
      <c r="G232">
        <f>TEXT(0.0693,"0.00%")</f>
        <v>0</v>
      </c>
      <c r="H232">
        <f>TEXT(0.1105,"0.00%")</f>
        <v>0</v>
      </c>
      <c r="I232">
        <v>13343296217</v>
      </c>
      <c r="J232">
        <v>1.02</v>
      </c>
      <c r="K232">
        <v>18.53</v>
      </c>
      <c r="L232">
        <v>17.32</v>
      </c>
      <c r="M232">
        <v>17.43</v>
      </c>
      <c r="N232">
        <v>17.45</v>
      </c>
    </row>
    <row r="233" spans="1:14">
      <c r="A233" t="s">
        <v>245</v>
      </c>
      <c r="B233">
        <f>TEXT(002755,"000000")</f>
        <v>0</v>
      </c>
      <c r="C233">
        <v>11.03</v>
      </c>
      <c r="D233">
        <f>TEXT(0.0475,"0.00%")</f>
        <v>0</v>
      </c>
      <c r="E233">
        <v>3592814</v>
      </c>
      <c r="F233">
        <v>39080420</v>
      </c>
      <c r="G233">
        <f>TEXT(0.0636,"0.00%")</f>
        <v>0</v>
      </c>
      <c r="H233">
        <f>TEXT(0.0039000000000000003,"0.00%")</f>
        <v>0</v>
      </c>
      <c r="I233">
        <v>10237608671</v>
      </c>
      <c r="J233">
        <v>1.03</v>
      </c>
      <c r="K233">
        <v>11.07</v>
      </c>
      <c r="L233">
        <v>10.4</v>
      </c>
      <c r="M233">
        <v>10.53</v>
      </c>
      <c r="N233">
        <v>10.53</v>
      </c>
    </row>
    <row r="234" spans="1:14">
      <c r="A234" t="s">
        <v>246</v>
      </c>
      <c r="B234">
        <f>TEXT(002671,"000000")</f>
        <v>0</v>
      </c>
      <c r="C234">
        <v>4.44</v>
      </c>
      <c r="D234">
        <f>TEXT(0.0472,"0.00%")</f>
        <v>0</v>
      </c>
      <c r="E234">
        <v>23953015</v>
      </c>
      <c r="F234">
        <v>105407592</v>
      </c>
      <c r="G234">
        <f>TEXT(0.0613,"0.00%")</f>
        <v>0</v>
      </c>
      <c r="H234">
        <f>TEXT(0.052199999999999996,"0.00%")</f>
        <v>0</v>
      </c>
      <c r="I234">
        <v>2511820633</v>
      </c>
      <c r="J234">
        <v>5.97</v>
      </c>
      <c r="K234">
        <v>4.52</v>
      </c>
      <c r="L234">
        <v>4.26</v>
      </c>
      <c r="M234">
        <v>4.42</v>
      </c>
      <c r="N234">
        <v>4.24</v>
      </c>
    </row>
    <row r="235" spans="1:14">
      <c r="A235" t="s">
        <v>247</v>
      </c>
      <c r="B235">
        <f>TEXT(300551,"000000")</f>
        <v>0</v>
      </c>
      <c r="C235">
        <v>21.1</v>
      </c>
      <c r="D235">
        <f>TEXT(0.0471,"0.00%")</f>
        <v>0</v>
      </c>
      <c r="E235">
        <v>14124186</v>
      </c>
      <c r="F235">
        <v>292457221</v>
      </c>
      <c r="G235">
        <f>TEXT(0.0675,"0.00%")</f>
        <v>0</v>
      </c>
      <c r="H235">
        <f>TEXT(0.06,"0.00%")</f>
        <v>0</v>
      </c>
      <c r="I235">
        <v>7295387012</v>
      </c>
      <c r="J235">
        <v>0.97</v>
      </c>
      <c r="K235">
        <v>21.24</v>
      </c>
      <c r="L235">
        <v>19.88</v>
      </c>
      <c r="M235">
        <v>20.4</v>
      </c>
      <c r="N235">
        <v>20.15</v>
      </c>
    </row>
    <row r="236" spans="1:14">
      <c r="A236" t="s">
        <v>248</v>
      </c>
      <c r="B236">
        <f>TEXT(300578,"000000")</f>
        <v>0</v>
      </c>
      <c r="C236">
        <v>20.25</v>
      </c>
      <c r="D236">
        <f>TEXT(0.0471,"0.00%")</f>
        <v>0</v>
      </c>
      <c r="E236">
        <v>7411496</v>
      </c>
      <c r="F236">
        <v>148281337</v>
      </c>
      <c r="G236">
        <f>TEXT(0.061,"0.00%")</f>
        <v>0</v>
      </c>
      <c r="H236">
        <f>TEXT(0.0382,"0.00%")</f>
        <v>0</v>
      </c>
      <c r="I236">
        <v>4057082235</v>
      </c>
      <c r="J236">
        <v>1.69</v>
      </c>
      <c r="K236">
        <v>20.45</v>
      </c>
      <c r="L236">
        <v>19.27</v>
      </c>
      <c r="M236">
        <v>19.27</v>
      </c>
      <c r="N236">
        <v>19.34</v>
      </c>
    </row>
    <row r="237" spans="1:14">
      <c r="A237" t="s">
        <v>249</v>
      </c>
      <c r="B237">
        <f>TEXT(000778,"000000")</f>
        <v>0</v>
      </c>
      <c r="C237">
        <v>4.23</v>
      </c>
      <c r="D237">
        <f>TEXT(0.047,"0.00%")</f>
        <v>0</v>
      </c>
      <c r="E237">
        <v>101304776</v>
      </c>
      <c r="F237">
        <v>426766537</v>
      </c>
      <c r="G237">
        <f>TEXT(0.0421,"0.00%")</f>
        <v>0</v>
      </c>
      <c r="H237">
        <f>TEXT(0.026000000000000002,"0.00%")</f>
        <v>0</v>
      </c>
      <c r="I237">
        <v>16877948622</v>
      </c>
      <c r="J237">
        <v>2.45</v>
      </c>
      <c r="K237">
        <v>4.29</v>
      </c>
      <c r="L237">
        <v>4.12</v>
      </c>
      <c r="M237">
        <v>4.23</v>
      </c>
      <c r="N237">
        <v>4.04</v>
      </c>
    </row>
    <row r="238" spans="1:14">
      <c r="A238" t="s">
        <v>250</v>
      </c>
      <c r="B238">
        <f>TEXT(002060,"000000")</f>
        <v>0</v>
      </c>
      <c r="C238">
        <v>6.69</v>
      </c>
      <c r="D238">
        <f>TEXT(0.046900000000000004,"0.00%")</f>
        <v>0</v>
      </c>
      <c r="E238">
        <v>60161976</v>
      </c>
      <c r="F238">
        <v>407530543</v>
      </c>
      <c r="G238">
        <f>TEXT(0.037599999999999995,"0.00%")</f>
        <v>0</v>
      </c>
      <c r="H238">
        <f>TEXT(0.0501,"0.00%")</f>
        <v>0</v>
      </c>
      <c r="I238">
        <v>22703950841</v>
      </c>
      <c r="J238">
        <v>4.91</v>
      </c>
      <c r="K238">
        <v>6.9</v>
      </c>
      <c r="L238">
        <v>6.66</v>
      </c>
      <c r="M238">
        <v>6.78</v>
      </c>
      <c r="N238">
        <v>6.39</v>
      </c>
    </row>
    <row r="239" spans="1:14">
      <c r="A239" t="s">
        <v>251</v>
      </c>
      <c r="B239">
        <f>TEXT(688201,"000000")</f>
        <v>0</v>
      </c>
      <c r="C239">
        <v>42.9</v>
      </c>
      <c r="D239">
        <f>TEXT(0.046900000000000004,"0.00%")</f>
        <v>0</v>
      </c>
      <c r="E239">
        <v>1726352</v>
      </c>
      <c r="F239">
        <v>72595389</v>
      </c>
      <c r="G239">
        <f>TEXT(0.0691,"0.00%")</f>
        <v>0</v>
      </c>
      <c r="H239">
        <f>TEXT(0.0274,"0.00%")</f>
        <v>0</v>
      </c>
      <c r="I239">
        <v>5912867446</v>
      </c>
      <c r="J239">
        <v>1.2</v>
      </c>
      <c r="K239">
        <v>43.33</v>
      </c>
      <c r="L239">
        <v>40.5</v>
      </c>
      <c r="M239">
        <v>41.1</v>
      </c>
      <c r="N239">
        <v>40.98</v>
      </c>
    </row>
    <row r="240" spans="1:14">
      <c r="A240" t="s">
        <v>252</v>
      </c>
      <c r="B240">
        <f>TEXT(002294,"000000")</f>
        <v>0</v>
      </c>
      <c r="C240">
        <v>36.1</v>
      </c>
      <c r="D240">
        <f>TEXT(0.0467,"0.00%")</f>
        <v>0</v>
      </c>
      <c r="E240">
        <v>4860030</v>
      </c>
      <c r="F240">
        <v>173168154</v>
      </c>
      <c r="G240">
        <f>TEXT(0.0533,"0.00%")</f>
        <v>0</v>
      </c>
      <c r="H240">
        <f>TEXT(0.0044,"0.00%")</f>
        <v>0</v>
      </c>
      <c r="I240">
        <v>40244876913</v>
      </c>
      <c r="J240">
        <v>2.04</v>
      </c>
      <c r="K240">
        <v>36.19</v>
      </c>
      <c r="L240">
        <v>34.35</v>
      </c>
      <c r="M240">
        <v>34.44</v>
      </c>
      <c r="N240">
        <v>34.49</v>
      </c>
    </row>
    <row r="241" spans="1:14">
      <c r="A241" t="s">
        <v>253</v>
      </c>
      <c r="B241">
        <f>TEXT(000063,"000000")</f>
        <v>0</v>
      </c>
      <c r="C241">
        <v>33.65</v>
      </c>
      <c r="D241">
        <f>TEXT(0.0467,"0.00%")</f>
        <v>0</v>
      </c>
      <c r="E241">
        <v>108012919</v>
      </c>
      <c r="F241">
        <v>3598725183</v>
      </c>
      <c r="G241">
        <f>TEXT(0.0479,"0.00%")</f>
        <v>0</v>
      </c>
      <c r="H241">
        <f>TEXT(0.0271,"0.00%")</f>
        <v>0</v>
      </c>
      <c r="I241">
        <v>159488368395</v>
      </c>
      <c r="J241">
        <v>1.74</v>
      </c>
      <c r="K241">
        <v>33.81</v>
      </c>
      <c r="L241">
        <v>32.27</v>
      </c>
      <c r="M241">
        <v>32.27</v>
      </c>
      <c r="N241">
        <v>32.15</v>
      </c>
    </row>
    <row r="242" spans="1:14">
      <c r="A242" t="s">
        <v>254</v>
      </c>
      <c r="B242">
        <f>TEXT(601000,"000000")</f>
        <v>0</v>
      </c>
      <c r="C242">
        <v>3.6</v>
      </c>
      <c r="D242">
        <f>TEXT(0.04650000000000001,"0.00%")</f>
        <v>0</v>
      </c>
      <c r="E242">
        <v>61431484</v>
      </c>
      <c r="F242">
        <v>216686122</v>
      </c>
      <c r="G242">
        <f>TEXT(0.064,"0.00%")</f>
        <v>0</v>
      </c>
      <c r="H242">
        <f>TEXT(0.0104,"0.00%")</f>
        <v>0</v>
      </c>
      <c r="I242">
        <v>21333343010</v>
      </c>
      <c r="J242">
        <v>1.24</v>
      </c>
      <c r="K242">
        <v>3.61</v>
      </c>
      <c r="L242">
        <v>3.39</v>
      </c>
      <c r="M242">
        <v>3.44</v>
      </c>
      <c r="N242">
        <v>3.44</v>
      </c>
    </row>
    <row r="243" spans="1:14">
      <c r="A243" t="s">
        <v>255</v>
      </c>
      <c r="B243">
        <f>TEXT(300961,"000000")</f>
        <v>0</v>
      </c>
      <c r="C243">
        <v>11.25</v>
      </c>
      <c r="D243">
        <f>TEXT(0.04650000000000001,"0.00%")</f>
        <v>0</v>
      </c>
      <c r="E243">
        <v>8789146</v>
      </c>
      <c r="F243">
        <v>98310758</v>
      </c>
      <c r="G243">
        <f>TEXT(0.066,"0.00%")</f>
        <v>0</v>
      </c>
      <c r="H243">
        <f>TEXT(0.07150000000000001,"0.00%")</f>
        <v>0</v>
      </c>
      <c r="I243">
        <v>1994400000</v>
      </c>
      <c r="J243">
        <v>2.66</v>
      </c>
      <c r="K243">
        <v>11.55</v>
      </c>
      <c r="L243">
        <v>10.84</v>
      </c>
      <c r="M243">
        <v>11.39</v>
      </c>
      <c r="N243">
        <v>10.75</v>
      </c>
    </row>
    <row r="244" spans="1:14">
      <c r="A244" t="s">
        <v>256</v>
      </c>
      <c r="B244">
        <f>TEXT(300491,"000000")</f>
        <v>0</v>
      </c>
      <c r="C244">
        <v>29.55</v>
      </c>
      <c r="D244">
        <f>TEXT(0.0464,"0.00%")</f>
        <v>0</v>
      </c>
      <c r="E244">
        <v>18596364</v>
      </c>
      <c r="F244">
        <v>538264386</v>
      </c>
      <c r="G244">
        <f>TEXT(0.1048,"0.00%")</f>
        <v>0</v>
      </c>
      <c r="H244">
        <f>TEXT(0.1209,"0.00%")</f>
        <v>0</v>
      </c>
      <c r="I244">
        <v>5125542030</v>
      </c>
      <c r="J244">
        <v>1.23</v>
      </c>
      <c r="K244">
        <v>30.46</v>
      </c>
      <c r="L244">
        <v>27.5</v>
      </c>
      <c r="M244">
        <v>27.93</v>
      </c>
      <c r="N244">
        <v>28.24</v>
      </c>
    </row>
    <row r="245" spans="1:14">
      <c r="A245" t="s">
        <v>257</v>
      </c>
      <c r="B245">
        <f>TEXT(002599,"000000")</f>
        <v>0</v>
      </c>
      <c r="C245">
        <v>7.01</v>
      </c>
      <c r="D245">
        <f>TEXT(0.0463,"0.00%")</f>
        <v>0</v>
      </c>
      <c r="E245">
        <v>20267100</v>
      </c>
      <c r="F245">
        <v>139882668</v>
      </c>
      <c r="G245">
        <f>TEXT(0.0836,"0.00%")</f>
        <v>0</v>
      </c>
      <c r="H245">
        <f>TEXT(0.0513,"0.00%")</f>
        <v>0</v>
      </c>
      <c r="I245">
        <v>3768482886</v>
      </c>
      <c r="J245">
        <v>1.01</v>
      </c>
      <c r="K245">
        <v>7.14</v>
      </c>
      <c r="L245">
        <v>6.58</v>
      </c>
      <c r="M245">
        <v>6.77</v>
      </c>
      <c r="N245">
        <v>6.7</v>
      </c>
    </row>
    <row r="246" spans="1:14">
      <c r="A246" t="s">
        <v>258</v>
      </c>
      <c r="B246">
        <f>TEXT(603239,"000000")</f>
        <v>0</v>
      </c>
      <c r="C246">
        <v>16.04</v>
      </c>
      <c r="D246">
        <f>TEXT(0.0463,"0.00%")</f>
        <v>0</v>
      </c>
      <c r="E246">
        <v>3213300</v>
      </c>
      <c r="F246">
        <v>50540765</v>
      </c>
      <c r="G246">
        <f>TEXT(0.0737,"0.00%")</f>
        <v>0</v>
      </c>
      <c r="H246">
        <f>TEXT(0.011899999999999999,"0.00%")</f>
        <v>0</v>
      </c>
      <c r="I246">
        <v>4342348800</v>
      </c>
      <c r="J246">
        <v>1.44</v>
      </c>
      <c r="K246">
        <v>16.15</v>
      </c>
      <c r="L246">
        <v>15.02</v>
      </c>
      <c r="M246">
        <v>15.33</v>
      </c>
      <c r="N246">
        <v>15.33</v>
      </c>
    </row>
    <row r="247" spans="1:14">
      <c r="A247" t="s">
        <v>259</v>
      </c>
      <c r="B247">
        <f>TEXT(600661,"000000")</f>
        <v>0</v>
      </c>
      <c r="C247">
        <v>9.52</v>
      </c>
      <c r="D247">
        <f>TEXT(0.0462,"0.00%")</f>
        <v>0</v>
      </c>
      <c r="E247">
        <v>10487646</v>
      </c>
      <c r="F247">
        <v>98227235</v>
      </c>
      <c r="G247">
        <f>TEXT(0.0604,"0.00%")</f>
        <v>0</v>
      </c>
      <c r="H247">
        <f>TEXT(0.0366,"0.00%")</f>
        <v>0</v>
      </c>
      <c r="I247">
        <v>2727944861</v>
      </c>
      <c r="J247">
        <v>1.61</v>
      </c>
      <c r="K247">
        <v>9.550000000000001</v>
      </c>
      <c r="L247">
        <v>9</v>
      </c>
      <c r="M247">
        <v>9.08</v>
      </c>
      <c r="N247">
        <v>9.1</v>
      </c>
    </row>
    <row r="248" spans="1:14">
      <c r="A248" t="s">
        <v>260</v>
      </c>
      <c r="B248">
        <f>TEXT(600085,"000000")</f>
        <v>0</v>
      </c>
      <c r="C248">
        <v>60.18</v>
      </c>
      <c r="D248">
        <f>TEXT(0.0461,"0.00%")</f>
        <v>0</v>
      </c>
      <c r="E248">
        <v>12996454</v>
      </c>
      <c r="F248">
        <v>770563923</v>
      </c>
      <c r="G248">
        <f>TEXT(0.0565,"0.00%")</f>
        <v>0</v>
      </c>
      <c r="H248">
        <f>TEXT(0.0095,"0.00%")</f>
        <v>0</v>
      </c>
      <c r="I248">
        <v>82535080367</v>
      </c>
      <c r="J248">
        <v>1.08</v>
      </c>
      <c r="K248">
        <v>60.79</v>
      </c>
      <c r="L248">
        <v>57.54</v>
      </c>
      <c r="M248">
        <v>57.7</v>
      </c>
      <c r="N248">
        <v>57.53</v>
      </c>
    </row>
    <row r="249" spans="1:14">
      <c r="A249" t="s">
        <v>261</v>
      </c>
      <c r="B249">
        <f>TEXT(300499,"000000")</f>
        <v>0</v>
      </c>
      <c r="C249">
        <v>17.57</v>
      </c>
      <c r="D249">
        <f>TEXT(0.0458,"0.00%")</f>
        <v>0</v>
      </c>
      <c r="E249">
        <v>55611965</v>
      </c>
      <c r="F249">
        <v>963710097</v>
      </c>
      <c r="G249">
        <f>TEXT(0.0821,"0.00%")</f>
        <v>0</v>
      </c>
      <c r="H249">
        <f>TEXT(0.2045,"0.00%")</f>
        <v>0</v>
      </c>
      <c r="I249">
        <v>5422455578</v>
      </c>
      <c r="J249">
        <v>1.3</v>
      </c>
      <c r="K249">
        <v>17.73</v>
      </c>
      <c r="L249">
        <v>16.35</v>
      </c>
      <c r="M249">
        <v>16.66</v>
      </c>
      <c r="N249">
        <v>16.8</v>
      </c>
    </row>
    <row r="250" spans="1:14">
      <c r="A250" t="s">
        <v>262</v>
      </c>
      <c r="B250">
        <f>TEXT(300130,"000000")</f>
        <v>0</v>
      </c>
      <c r="C250">
        <v>20.48</v>
      </c>
      <c r="D250">
        <f>TEXT(0.0454,"0.00%")</f>
        <v>0</v>
      </c>
      <c r="E250">
        <v>38941555</v>
      </c>
      <c r="F250">
        <v>785248656</v>
      </c>
      <c r="G250">
        <f>TEXT(0.08220000000000001,"0.00%")</f>
        <v>0</v>
      </c>
      <c r="H250">
        <f>TEXT(0.1045,"0.00%")</f>
        <v>0</v>
      </c>
      <c r="I250">
        <v>10480982794</v>
      </c>
      <c r="J250">
        <v>1.19</v>
      </c>
      <c r="K250">
        <v>20.86</v>
      </c>
      <c r="L250">
        <v>19.25</v>
      </c>
      <c r="M250">
        <v>19.31</v>
      </c>
      <c r="N250">
        <v>19.59</v>
      </c>
    </row>
    <row r="251" spans="1:14">
      <c r="A251" t="s">
        <v>263</v>
      </c>
      <c r="B251">
        <f>TEXT(600993,"000000")</f>
        <v>0</v>
      </c>
      <c r="C251">
        <v>28.86</v>
      </c>
      <c r="D251">
        <f>TEXT(0.0453,"0.00%")</f>
        <v>0</v>
      </c>
      <c r="E251">
        <v>11111444</v>
      </c>
      <c r="F251">
        <v>316565323</v>
      </c>
      <c r="G251">
        <f>TEXT(0.0663,"0.00%")</f>
        <v>0</v>
      </c>
      <c r="H251">
        <f>TEXT(0.0258,"0.00%")</f>
        <v>0</v>
      </c>
      <c r="I251">
        <v>12440215294</v>
      </c>
      <c r="J251">
        <v>1.4</v>
      </c>
      <c r="K251">
        <v>29.23</v>
      </c>
      <c r="L251">
        <v>27.4</v>
      </c>
      <c r="M251">
        <v>27.64</v>
      </c>
      <c r="N251">
        <v>27.61</v>
      </c>
    </row>
    <row r="252" spans="1:14">
      <c r="A252" t="s">
        <v>264</v>
      </c>
      <c r="B252">
        <f>TEXT(002315,"000000")</f>
        <v>0</v>
      </c>
      <c r="C252">
        <v>39.68</v>
      </c>
      <c r="D252">
        <f>TEXT(0.0453,"0.00%")</f>
        <v>0</v>
      </c>
      <c r="E252">
        <v>30241227</v>
      </c>
      <c r="F252">
        <v>1169113070</v>
      </c>
      <c r="G252">
        <f>TEXT(0.1307,"0.00%")</f>
        <v>0</v>
      </c>
      <c r="H252">
        <f>TEXT(0.1553,"0.00%")</f>
        <v>0</v>
      </c>
      <c r="I252">
        <v>12352272776</v>
      </c>
      <c r="J252">
        <v>1.13</v>
      </c>
      <c r="K252">
        <v>40.8</v>
      </c>
      <c r="L252">
        <v>35.84</v>
      </c>
      <c r="M252">
        <v>36.3</v>
      </c>
      <c r="N252">
        <v>37.96</v>
      </c>
    </row>
    <row r="253" spans="1:14">
      <c r="A253" t="s">
        <v>265</v>
      </c>
      <c r="B253">
        <f>TEXT(688697,"000000")</f>
        <v>0</v>
      </c>
      <c r="C253">
        <v>27.78</v>
      </c>
      <c r="D253">
        <f>TEXT(0.0451,"0.00%")</f>
        <v>0</v>
      </c>
      <c r="E253">
        <v>5474268</v>
      </c>
      <c r="F253">
        <v>148703289</v>
      </c>
      <c r="G253">
        <f>TEXT(0.0673,"0.00%")</f>
        <v>0</v>
      </c>
      <c r="H253">
        <f>TEXT(0.0698,"0.00%")</f>
        <v>0</v>
      </c>
      <c r="I253">
        <v>9074800926</v>
      </c>
      <c r="J253">
        <v>1</v>
      </c>
      <c r="K253">
        <v>27.89</v>
      </c>
      <c r="L253">
        <v>26.1</v>
      </c>
      <c r="M253">
        <v>26.44</v>
      </c>
      <c r="N253">
        <v>26.58</v>
      </c>
    </row>
    <row r="254" spans="1:14">
      <c r="A254" t="s">
        <v>266</v>
      </c>
      <c r="B254">
        <f>TEXT(002443,"000000")</f>
        <v>0</v>
      </c>
      <c r="C254">
        <v>6.96</v>
      </c>
      <c r="D254">
        <f>TEXT(0.045,"0.00%")</f>
        <v>0</v>
      </c>
      <c r="E254">
        <v>32767371</v>
      </c>
      <c r="F254">
        <v>226965710</v>
      </c>
      <c r="G254">
        <f>TEXT(0.0661,"0.00%")</f>
        <v>0</v>
      </c>
      <c r="H254">
        <f>TEXT(0.06309999999999999,"0.00%")</f>
        <v>0</v>
      </c>
      <c r="I254">
        <v>3622927219</v>
      </c>
      <c r="J254">
        <v>5.95</v>
      </c>
      <c r="K254">
        <v>7.2</v>
      </c>
      <c r="L254">
        <v>6.76</v>
      </c>
      <c r="M254">
        <v>7.02</v>
      </c>
      <c r="N254">
        <v>6.66</v>
      </c>
    </row>
    <row r="255" spans="1:14">
      <c r="A255" t="s">
        <v>267</v>
      </c>
      <c r="B255">
        <f>TEXT(002362,"000000")</f>
        <v>0</v>
      </c>
      <c r="C255">
        <v>29.82</v>
      </c>
      <c r="D255">
        <f>TEXT(0.044800000000000006,"0.00%")</f>
        <v>0</v>
      </c>
      <c r="E255">
        <v>41519469</v>
      </c>
      <c r="F255">
        <v>1210900584</v>
      </c>
      <c r="G255">
        <f>TEXT(0.068,"0.00%")</f>
        <v>0</v>
      </c>
      <c r="H255">
        <f>TEXT(0.2007,"0.00%")</f>
        <v>0</v>
      </c>
      <c r="I255">
        <v>7289637543</v>
      </c>
      <c r="J255">
        <v>1.19</v>
      </c>
      <c r="K255">
        <v>29.86</v>
      </c>
      <c r="L255">
        <v>27.92</v>
      </c>
      <c r="M255">
        <v>28.5</v>
      </c>
      <c r="N255">
        <v>28.54</v>
      </c>
    </row>
    <row r="256" spans="1:14">
      <c r="A256" t="s">
        <v>268</v>
      </c>
      <c r="B256">
        <f>TEXT(002971,"000000")</f>
        <v>0</v>
      </c>
      <c r="C256">
        <v>26.42</v>
      </c>
      <c r="D256">
        <f>TEXT(0.0447,"0.00%")</f>
        <v>0</v>
      </c>
      <c r="E256">
        <v>5631558</v>
      </c>
      <c r="F256">
        <v>148587955</v>
      </c>
      <c r="G256">
        <f>TEXT(0.0739,"0.00%")</f>
        <v>0</v>
      </c>
      <c r="H256">
        <f>TEXT(0.0453,"0.00%")</f>
        <v>0</v>
      </c>
      <c r="I256">
        <v>4227200000</v>
      </c>
      <c r="J256">
        <v>2.29</v>
      </c>
      <c r="K256">
        <v>27.11</v>
      </c>
      <c r="L256">
        <v>25.24</v>
      </c>
      <c r="M256">
        <v>25.39</v>
      </c>
      <c r="N256">
        <v>25.29</v>
      </c>
    </row>
    <row r="257" spans="1:14">
      <c r="A257" t="s">
        <v>269</v>
      </c>
      <c r="B257">
        <f>TEXT(688195,"000000")</f>
        <v>0</v>
      </c>
      <c r="C257">
        <v>31.63</v>
      </c>
      <c r="D257">
        <f>TEXT(0.0446,"0.00%")</f>
        <v>0</v>
      </c>
      <c r="E257">
        <v>4715069</v>
      </c>
      <c r="F257">
        <v>147044895</v>
      </c>
      <c r="G257">
        <f>TEXT(0.0872,"0.00%")</f>
        <v>0</v>
      </c>
      <c r="H257">
        <f>TEXT(0.0576,"0.00%")</f>
        <v>0</v>
      </c>
      <c r="I257">
        <v>4091340500</v>
      </c>
      <c r="J257">
        <v>1.68</v>
      </c>
      <c r="K257">
        <v>32.14</v>
      </c>
      <c r="L257">
        <v>29.5</v>
      </c>
      <c r="M257">
        <v>29.93</v>
      </c>
      <c r="N257">
        <v>30.28</v>
      </c>
    </row>
    <row r="258" spans="1:14">
      <c r="A258" t="s">
        <v>270</v>
      </c>
      <c r="B258">
        <f>TEXT(600211,"000000")</f>
        <v>0</v>
      </c>
      <c r="C258">
        <v>57.69</v>
      </c>
      <c r="D258">
        <f>TEXT(0.044500000000000005,"0.00%")</f>
        <v>0</v>
      </c>
      <c r="E258">
        <v>4830481</v>
      </c>
      <c r="F258">
        <v>274566981</v>
      </c>
      <c r="G258">
        <f>TEXT(0.0703,"0.00%")</f>
        <v>0</v>
      </c>
      <c r="H258">
        <f>TEXT(0.0195,"0.00%")</f>
        <v>0</v>
      </c>
      <c r="I258">
        <v>14303534162</v>
      </c>
      <c r="J258">
        <v>1.24</v>
      </c>
      <c r="K258">
        <v>58.5</v>
      </c>
      <c r="L258">
        <v>54.62</v>
      </c>
      <c r="M258">
        <v>54.85</v>
      </c>
      <c r="N258">
        <v>55.23</v>
      </c>
    </row>
    <row r="259" spans="1:14">
      <c r="A259" t="s">
        <v>271</v>
      </c>
      <c r="B259">
        <f>TEXT(603658,"000000")</f>
        <v>0</v>
      </c>
      <c r="C259">
        <v>58.43</v>
      </c>
      <c r="D259">
        <f>TEXT(0.0443,"0.00%")</f>
        <v>0</v>
      </c>
      <c r="E259">
        <v>3442763</v>
      </c>
      <c r="F259">
        <v>199046753</v>
      </c>
      <c r="G259">
        <f>TEXT(0.0592,"0.00%")</f>
        <v>0</v>
      </c>
      <c r="H259">
        <f>TEXT(0.0059,"0.00%")</f>
        <v>0</v>
      </c>
      <c r="I259">
        <v>34255887918</v>
      </c>
      <c r="J259">
        <v>0.68</v>
      </c>
      <c r="K259">
        <v>58.88</v>
      </c>
      <c r="L259">
        <v>55.57</v>
      </c>
      <c r="M259">
        <v>55.83</v>
      </c>
      <c r="N259">
        <v>55.95</v>
      </c>
    </row>
    <row r="260" spans="1:14">
      <c r="A260" t="s">
        <v>272</v>
      </c>
      <c r="B260">
        <f>TEXT(300793,"000000")</f>
        <v>0</v>
      </c>
      <c r="C260">
        <v>19.88</v>
      </c>
      <c r="D260">
        <f>TEXT(0.0441,"0.00%")</f>
        <v>0</v>
      </c>
      <c r="E260">
        <v>21628337</v>
      </c>
      <c r="F260">
        <v>423076578</v>
      </c>
      <c r="G260">
        <f>TEXT(0.0678,"0.00%")</f>
        <v>0</v>
      </c>
      <c r="H260">
        <f>TEXT(0.06559999999999999,"0.00%")</f>
        <v>0</v>
      </c>
      <c r="I260">
        <v>6727169344</v>
      </c>
      <c r="J260">
        <v>1.25</v>
      </c>
      <c r="K260">
        <v>20.08</v>
      </c>
      <c r="L260">
        <v>18.79</v>
      </c>
      <c r="M260">
        <v>19</v>
      </c>
      <c r="N260">
        <v>19.04</v>
      </c>
    </row>
    <row r="261" spans="1:14">
      <c r="A261" t="s">
        <v>273</v>
      </c>
      <c r="B261">
        <f>TEXT(603357,"000000")</f>
        <v>0</v>
      </c>
      <c r="C261">
        <v>13.52</v>
      </c>
      <c r="D261">
        <f>TEXT(0.044000000000000004,"0.00%")</f>
        <v>0</v>
      </c>
      <c r="E261">
        <v>26598919</v>
      </c>
      <c r="F261">
        <v>353724608</v>
      </c>
      <c r="G261">
        <f>TEXT(0.044000000000000004,"0.00%")</f>
        <v>0</v>
      </c>
      <c r="H261">
        <f>TEXT(0.058499999999999996,"0.00%")</f>
        <v>0</v>
      </c>
      <c r="I261">
        <v>6321632630</v>
      </c>
      <c r="J261">
        <v>1.38</v>
      </c>
      <c r="K261">
        <v>13.58</v>
      </c>
      <c r="L261">
        <v>13.01</v>
      </c>
      <c r="M261">
        <v>13.29</v>
      </c>
      <c r="N261">
        <v>12.95</v>
      </c>
    </row>
    <row r="262" spans="1:14">
      <c r="A262" t="s">
        <v>274</v>
      </c>
      <c r="B262">
        <f>TEXT(000931,"000000")</f>
        <v>0</v>
      </c>
      <c r="C262">
        <v>5.96</v>
      </c>
      <c r="D262">
        <f>TEXT(0.0438,"0.00%")</f>
        <v>0</v>
      </c>
      <c r="E262">
        <v>9844531</v>
      </c>
      <c r="F262">
        <v>58000309</v>
      </c>
      <c r="G262">
        <f>TEXT(0.0508,"0.00%")</f>
        <v>0</v>
      </c>
      <c r="H262">
        <f>TEXT(0.0132,"0.00%")</f>
        <v>0</v>
      </c>
      <c r="I262">
        <v>4488636812</v>
      </c>
      <c r="J262">
        <v>2.73</v>
      </c>
      <c r="K262">
        <v>6.02</v>
      </c>
      <c r="L262">
        <v>5.73</v>
      </c>
      <c r="M262">
        <v>5.73</v>
      </c>
      <c r="N262">
        <v>5.71</v>
      </c>
    </row>
    <row r="263" spans="1:14">
      <c r="A263" t="s">
        <v>275</v>
      </c>
      <c r="B263">
        <f>TEXT(300857,"000000")</f>
        <v>0</v>
      </c>
      <c r="C263">
        <v>28.2</v>
      </c>
      <c r="D263">
        <f>TEXT(0.0437,"0.00%")</f>
        <v>0</v>
      </c>
      <c r="E263">
        <v>7787575</v>
      </c>
      <c r="F263">
        <v>217278754</v>
      </c>
      <c r="G263">
        <f>TEXT(0.0677,"0.00%")</f>
        <v>0</v>
      </c>
      <c r="H263">
        <f>TEXT(0.054900000000000004,"0.00%")</f>
        <v>0</v>
      </c>
      <c r="I263">
        <v>6875189497</v>
      </c>
      <c r="J263">
        <v>1.09</v>
      </c>
      <c r="K263">
        <v>28.5</v>
      </c>
      <c r="L263">
        <v>26.67</v>
      </c>
      <c r="M263">
        <v>26.83</v>
      </c>
      <c r="N263">
        <v>27.02</v>
      </c>
    </row>
    <row r="264" spans="1:14">
      <c r="A264" t="s">
        <v>276</v>
      </c>
      <c r="B264">
        <f>TEXT(300678,"000000")</f>
        <v>0</v>
      </c>
      <c r="C264">
        <v>45.89</v>
      </c>
      <c r="D264">
        <f>TEXT(0.0437,"0.00%")</f>
        <v>0</v>
      </c>
      <c r="E264">
        <v>66764119</v>
      </c>
      <c r="F264">
        <v>3058985054</v>
      </c>
      <c r="G264">
        <f>TEXT(0.161,"0.00%")</f>
        <v>0</v>
      </c>
      <c r="H264">
        <f>TEXT(0.2402,"0.00%")</f>
        <v>0</v>
      </c>
      <c r="I264">
        <v>13601166985</v>
      </c>
      <c r="J264">
        <v>2.25</v>
      </c>
      <c r="K264">
        <v>49.6</v>
      </c>
      <c r="L264">
        <v>42.52</v>
      </c>
      <c r="M264">
        <v>43.12</v>
      </c>
      <c r="N264">
        <v>43.97</v>
      </c>
    </row>
    <row r="265" spans="1:14">
      <c r="A265" t="s">
        <v>277</v>
      </c>
      <c r="B265">
        <f>TEXT(002223,"000000")</f>
        <v>0</v>
      </c>
      <c r="C265">
        <v>33.88</v>
      </c>
      <c r="D265">
        <f>TEXT(0.0437,"0.00%")</f>
        <v>0</v>
      </c>
      <c r="E265">
        <v>15280391</v>
      </c>
      <c r="F265">
        <v>512609775</v>
      </c>
      <c r="G265">
        <f>TEXT(0.057,"0.00%")</f>
        <v>0</v>
      </c>
      <c r="H265">
        <f>TEXT(0.016200000000000003,"0.00%")</f>
        <v>0</v>
      </c>
      <c r="I265">
        <v>33963918354</v>
      </c>
      <c r="J265">
        <v>2.16</v>
      </c>
      <c r="K265">
        <v>34.1</v>
      </c>
      <c r="L265">
        <v>32.25</v>
      </c>
      <c r="M265">
        <v>32.4</v>
      </c>
      <c r="N265">
        <v>32.46</v>
      </c>
    </row>
    <row r="266" spans="1:14">
      <c r="A266" t="s">
        <v>278</v>
      </c>
      <c r="B266">
        <f>TEXT(688232,"000000")</f>
        <v>0</v>
      </c>
      <c r="C266">
        <v>47.51</v>
      </c>
      <c r="D266">
        <f>TEXT(0.0435,"0.00%")</f>
        <v>0</v>
      </c>
      <c r="E266">
        <v>1168540</v>
      </c>
      <c r="F266">
        <v>54942315</v>
      </c>
      <c r="G266">
        <f>TEXT(0.057800000000000004,"0.00%")</f>
        <v>0</v>
      </c>
      <c r="H266">
        <f>TEXT(0.012,"0.00%")</f>
        <v>0</v>
      </c>
      <c r="I266">
        <v>15678300000</v>
      </c>
      <c r="J266">
        <v>1.23</v>
      </c>
      <c r="K266">
        <v>47.78</v>
      </c>
      <c r="L266">
        <v>45.15</v>
      </c>
      <c r="M266">
        <v>46</v>
      </c>
      <c r="N266">
        <v>45.53</v>
      </c>
    </row>
    <row r="267" spans="1:14">
      <c r="A267" t="s">
        <v>279</v>
      </c>
      <c r="B267">
        <f>TEXT(688533,"000000")</f>
        <v>0</v>
      </c>
      <c r="C267">
        <v>46.07</v>
      </c>
      <c r="D267">
        <f>TEXT(0.0435,"0.00%")</f>
        <v>0</v>
      </c>
      <c r="E267">
        <v>2872707</v>
      </c>
      <c r="F267">
        <v>129939337</v>
      </c>
      <c r="G267">
        <f>TEXT(0.0718,"0.00%")</f>
        <v>0</v>
      </c>
      <c r="H267">
        <f>TEXT(0.0718,"0.00%")</f>
        <v>0</v>
      </c>
      <c r="I267">
        <v>7371200000</v>
      </c>
      <c r="J267">
        <v>1.5</v>
      </c>
      <c r="K267">
        <v>46.46</v>
      </c>
      <c r="L267">
        <v>43.29</v>
      </c>
      <c r="M267">
        <v>44.81</v>
      </c>
      <c r="N267">
        <v>44.15</v>
      </c>
    </row>
    <row r="268" spans="1:14">
      <c r="A268" t="s">
        <v>280</v>
      </c>
      <c r="B268">
        <f>TEXT(300050,"000000")</f>
        <v>0</v>
      </c>
      <c r="C268">
        <v>4.32</v>
      </c>
      <c r="D268">
        <f>TEXT(0.0435,"0.00%")</f>
        <v>0</v>
      </c>
      <c r="E268">
        <v>18298241</v>
      </c>
      <c r="F268">
        <v>78597293</v>
      </c>
      <c r="G268">
        <f>TEXT(0.08449999999999999,"0.00%")</f>
        <v>0</v>
      </c>
      <c r="H268">
        <f>TEXT(0.0359,"0.00%")</f>
        <v>0</v>
      </c>
      <c r="I268">
        <v>2419358621</v>
      </c>
      <c r="J268">
        <v>1.52</v>
      </c>
      <c r="K268">
        <v>4.48</v>
      </c>
      <c r="L268">
        <v>4.13</v>
      </c>
      <c r="M268">
        <v>4.14</v>
      </c>
      <c r="N268">
        <v>4.14</v>
      </c>
    </row>
    <row r="269" spans="1:14">
      <c r="A269" t="s">
        <v>281</v>
      </c>
      <c r="B269">
        <f>TEXT(688027,"000000")</f>
        <v>0</v>
      </c>
      <c r="C269">
        <v>154.73</v>
      </c>
      <c r="D269">
        <f>TEXT(0.0434,"0.00%")</f>
        <v>0</v>
      </c>
      <c r="E269">
        <v>1634252</v>
      </c>
      <c r="F269">
        <v>250113521</v>
      </c>
      <c r="G269">
        <f>TEXT(0.06480000000000001,"0.00%")</f>
        <v>0</v>
      </c>
      <c r="H269">
        <f>TEXT(0.0348,"0.00%")</f>
        <v>0</v>
      </c>
      <c r="I269">
        <v>12412582951</v>
      </c>
      <c r="J269">
        <v>1.11</v>
      </c>
      <c r="K269">
        <v>155.8</v>
      </c>
      <c r="L269">
        <v>146.19</v>
      </c>
      <c r="M269">
        <v>147.6</v>
      </c>
      <c r="N269">
        <v>148.3</v>
      </c>
    </row>
    <row r="270" spans="1:14">
      <c r="A270" t="s">
        <v>282</v>
      </c>
      <c r="B270">
        <f>TEXT(300349,"000000")</f>
        <v>0</v>
      </c>
      <c r="C270">
        <v>13.96</v>
      </c>
      <c r="D270">
        <f>TEXT(0.0433,"0.00%")</f>
        <v>0</v>
      </c>
      <c r="E270">
        <v>14905828</v>
      </c>
      <c r="F270">
        <v>210267377</v>
      </c>
      <c r="G270">
        <f>TEXT(0.0665,"0.00%")</f>
        <v>0</v>
      </c>
      <c r="H270">
        <f>TEXT(0.0391,"0.00%")</f>
        <v>0</v>
      </c>
      <c r="I270">
        <v>5989598377</v>
      </c>
      <c r="J270">
        <v>1.56</v>
      </c>
      <c r="K270">
        <v>14.55</v>
      </c>
      <c r="L270">
        <v>13.66</v>
      </c>
      <c r="M270">
        <v>13.66</v>
      </c>
      <c r="N270">
        <v>13.38</v>
      </c>
    </row>
    <row r="271" spans="1:14">
      <c r="A271" t="s">
        <v>283</v>
      </c>
      <c r="B271">
        <f>TEXT(000028,"000000")</f>
        <v>0</v>
      </c>
      <c r="C271">
        <v>58.8</v>
      </c>
      <c r="D271">
        <f>TEXT(0.0433,"0.00%")</f>
        <v>0</v>
      </c>
      <c r="E271">
        <v>3485424</v>
      </c>
      <c r="F271">
        <v>202040478</v>
      </c>
      <c r="G271">
        <f>TEXT(0.0768,"0.00%")</f>
        <v>0</v>
      </c>
      <c r="H271">
        <f>TEXT(0.0095,"0.00%")</f>
        <v>0</v>
      </c>
      <c r="I271">
        <v>25173866600</v>
      </c>
      <c r="J271">
        <v>0.92</v>
      </c>
      <c r="K271">
        <v>59.2</v>
      </c>
      <c r="L271">
        <v>54.87</v>
      </c>
      <c r="M271">
        <v>54.87</v>
      </c>
      <c r="N271">
        <v>56.36</v>
      </c>
    </row>
    <row r="272" spans="1:14">
      <c r="A272" t="s">
        <v>284</v>
      </c>
      <c r="B272">
        <f>TEXT(600903,"000000")</f>
        <v>0</v>
      </c>
      <c r="C272">
        <v>9.41</v>
      </c>
      <c r="D272">
        <f>TEXT(0.0432,"0.00%")</f>
        <v>0</v>
      </c>
      <c r="E272">
        <v>52467529</v>
      </c>
      <c r="F272">
        <v>476323392</v>
      </c>
      <c r="G272">
        <f>TEXT(0.14300000000000002,"0.00%")</f>
        <v>0</v>
      </c>
      <c r="H272">
        <f>TEXT(0.0461,"0.00%")</f>
        <v>0</v>
      </c>
      <c r="I272">
        <v>10711050746</v>
      </c>
      <c r="J272">
        <v>5.51</v>
      </c>
      <c r="K272">
        <v>9.9</v>
      </c>
      <c r="L272">
        <v>8.609999999999999</v>
      </c>
      <c r="M272">
        <v>9.16</v>
      </c>
      <c r="N272">
        <v>9.02</v>
      </c>
    </row>
    <row r="273" spans="1:14">
      <c r="A273" t="s">
        <v>285</v>
      </c>
      <c r="B273">
        <f>TEXT(688777,"000000")</f>
        <v>0</v>
      </c>
      <c r="C273">
        <v>103.9</v>
      </c>
      <c r="D273">
        <f>TEXT(0.0431,"0.00%")</f>
        <v>0</v>
      </c>
      <c r="E273">
        <v>2938948</v>
      </c>
      <c r="F273">
        <v>300811239</v>
      </c>
      <c r="G273">
        <f>TEXT(0.0436,"0.00%")</f>
        <v>0</v>
      </c>
      <c r="H273">
        <f>TEXT(0.008,"0.00%")</f>
        <v>0</v>
      </c>
      <c r="I273">
        <v>56259979800</v>
      </c>
      <c r="J273">
        <v>1.02</v>
      </c>
      <c r="K273">
        <v>104</v>
      </c>
      <c r="L273">
        <v>99.66</v>
      </c>
      <c r="M273">
        <v>99.90000000000001</v>
      </c>
      <c r="N273">
        <v>99.61</v>
      </c>
    </row>
    <row r="274" spans="1:14">
      <c r="A274" t="s">
        <v>286</v>
      </c>
      <c r="B274">
        <f>TEXT(688332,"000000")</f>
        <v>0</v>
      </c>
      <c r="C274">
        <v>83.02</v>
      </c>
      <c r="D274">
        <f>TEXT(0.0431,"0.00%")</f>
        <v>0</v>
      </c>
      <c r="E274">
        <v>1905889</v>
      </c>
      <c r="F274">
        <v>157869608</v>
      </c>
      <c r="G274">
        <f>TEXT(0.0842,"0.00%")</f>
        <v>0</v>
      </c>
      <c r="H274">
        <f>TEXT(0.0655,"0.00%")</f>
        <v>0</v>
      </c>
      <c r="I274">
        <v>9962400000</v>
      </c>
      <c r="J274">
        <v>0.84</v>
      </c>
      <c r="K274">
        <v>85.34</v>
      </c>
      <c r="L274">
        <v>78.64</v>
      </c>
      <c r="M274">
        <v>78.64</v>
      </c>
      <c r="N274">
        <v>79.59</v>
      </c>
    </row>
    <row r="275" spans="1:14">
      <c r="A275" t="s">
        <v>287</v>
      </c>
      <c r="B275">
        <f>TEXT(001231,"000000")</f>
        <v>0</v>
      </c>
      <c r="C275">
        <v>22.59</v>
      </c>
      <c r="D275">
        <f>TEXT(0.0429,"0.00%")</f>
        <v>0</v>
      </c>
      <c r="E275">
        <v>2914186</v>
      </c>
      <c r="F275">
        <v>65133587</v>
      </c>
      <c r="G275">
        <f>TEXT(0.056299999999999996,"0.00%")</f>
        <v>0</v>
      </c>
      <c r="H275">
        <f>TEXT(0.1166,"0.00%")</f>
        <v>0</v>
      </c>
      <c r="I275">
        <v>2259000000</v>
      </c>
      <c r="J275">
        <v>4.8</v>
      </c>
      <c r="K275">
        <v>22.75</v>
      </c>
      <c r="L275">
        <v>21.53</v>
      </c>
      <c r="M275">
        <v>21.66</v>
      </c>
      <c r="N275">
        <v>21.66</v>
      </c>
    </row>
    <row r="276" spans="1:14">
      <c r="A276" t="s">
        <v>288</v>
      </c>
      <c r="B276">
        <f>TEXT(002463,"000000")</f>
        <v>0</v>
      </c>
      <c r="C276">
        <v>19.92</v>
      </c>
      <c r="D276">
        <f>TEXT(0.0429,"0.00%")</f>
        <v>0</v>
      </c>
      <c r="E276">
        <v>102696824</v>
      </c>
      <c r="F276">
        <v>2035227295</v>
      </c>
      <c r="G276">
        <f>TEXT(0.07490000000000001,"0.00%")</f>
        <v>0</v>
      </c>
      <c r="H276">
        <f>TEXT(0.053899999999999997,"0.00%")</f>
        <v>0</v>
      </c>
      <c r="I276">
        <v>37948908265</v>
      </c>
      <c r="J276">
        <v>1.2</v>
      </c>
      <c r="K276">
        <v>20.33</v>
      </c>
      <c r="L276">
        <v>18.9</v>
      </c>
      <c r="M276">
        <v>19.05</v>
      </c>
      <c r="N276">
        <v>19.1</v>
      </c>
    </row>
    <row r="277" spans="1:14">
      <c r="A277" t="s">
        <v>289</v>
      </c>
      <c r="B277">
        <f>TEXT(600986,"000000")</f>
        <v>0</v>
      </c>
      <c r="C277">
        <v>6.38</v>
      </c>
      <c r="D277">
        <f>TEXT(0.0425,"0.00%")</f>
        <v>0</v>
      </c>
      <c r="E277">
        <v>46506108</v>
      </c>
      <c r="F277">
        <v>291258463</v>
      </c>
      <c r="G277">
        <f>TEXT(0.049,"0.00%")</f>
        <v>0</v>
      </c>
      <c r="H277">
        <f>TEXT(0.0352,"0.00%")</f>
        <v>0</v>
      </c>
      <c r="I277">
        <v>8437075385</v>
      </c>
      <c r="J277">
        <v>1.01</v>
      </c>
      <c r="K277">
        <v>6.39</v>
      </c>
      <c r="L277">
        <v>6.09</v>
      </c>
      <c r="M277">
        <v>6.14</v>
      </c>
      <c r="N277">
        <v>6.12</v>
      </c>
    </row>
    <row r="278" spans="1:14">
      <c r="A278" t="s">
        <v>290</v>
      </c>
      <c r="B278">
        <f>TEXT(603496,"000000")</f>
        <v>0</v>
      </c>
      <c r="C278">
        <v>18.81</v>
      </c>
      <c r="D278">
        <f>TEXT(0.0421,"0.00%")</f>
        <v>0</v>
      </c>
      <c r="E278">
        <v>3526180</v>
      </c>
      <c r="F278">
        <v>65043408</v>
      </c>
      <c r="G278">
        <f>TEXT(0.0593,"0.00%")</f>
        <v>0</v>
      </c>
      <c r="H278">
        <f>TEXT(0.0154,"0.00%")</f>
        <v>0</v>
      </c>
      <c r="I278">
        <v>4302239903</v>
      </c>
      <c r="J278">
        <v>2.41</v>
      </c>
      <c r="K278">
        <v>18.89</v>
      </c>
      <c r="L278">
        <v>17.82</v>
      </c>
      <c r="M278">
        <v>18.13</v>
      </c>
      <c r="N278">
        <v>18.05</v>
      </c>
    </row>
    <row r="279" spans="1:14">
      <c r="A279" t="s">
        <v>291</v>
      </c>
      <c r="B279">
        <f>TEXT(300747,"000000")</f>
        <v>0</v>
      </c>
      <c r="C279">
        <v>30</v>
      </c>
      <c r="D279">
        <f>TEXT(0.042,"0.00%")</f>
        <v>0</v>
      </c>
      <c r="E279">
        <v>21569722</v>
      </c>
      <c r="F279">
        <v>644235048</v>
      </c>
      <c r="G279">
        <f>TEXT(0.0535,"0.00%")</f>
        <v>0</v>
      </c>
      <c r="H279">
        <f>TEXT(0.0425,"0.00%")</f>
        <v>0</v>
      </c>
      <c r="I279">
        <v>16998592650</v>
      </c>
      <c r="J279">
        <v>1.62</v>
      </c>
      <c r="K279">
        <v>30.3</v>
      </c>
      <c r="L279">
        <v>28.76</v>
      </c>
      <c r="M279">
        <v>28.79</v>
      </c>
      <c r="N279">
        <v>28.79</v>
      </c>
    </row>
    <row r="280" spans="1:14">
      <c r="A280" t="s">
        <v>292</v>
      </c>
      <c r="B280">
        <f>TEXT(300631,"000000")</f>
        <v>0</v>
      </c>
      <c r="C280">
        <v>37.08</v>
      </c>
      <c r="D280">
        <f>TEXT(0.04190000000000001,"0.00%")</f>
        <v>0</v>
      </c>
      <c r="E280">
        <v>6087485</v>
      </c>
      <c r="F280">
        <v>223491460</v>
      </c>
      <c r="G280">
        <f>TEXT(0.0613,"0.00%")</f>
        <v>0</v>
      </c>
      <c r="H280">
        <f>TEXT(0.050499999999999996,"0.00%")</f>
        <v>0</v>
      </c>
      <c r="I280">
        <v>4547566249</v>
      </c>
      <c r="J280">
        <v>1.71</v>
      </c>
      <c r="K280">
        <v>37.65</v>
      </c>
      <c r="L280">
        <v>35.47</v>
      </c>
      <c r="M280">
        <v>35.8</v>
      </c>
      <c r="N280">
        <v>35.59</v>
      </c>
    </row>
    <row r="281" spans="1:14">
      <c r="A281" t="s">
        <v>293</v>
      </c>
      <c r="B281">
        <f>TEXT(688343,"000000")</f>
        <v>0</v>
      </c>
      <c r="C281">
        <v>68.97</v>
      </c>
      <c r="D281">
        <f>TEXT(0.0418,"0.00%")</f>
        <v>0</v>
      </c>
      <c r="E281">
        <v>12643784</v>
      </c>
      <c r="F281">
        <v>865243867</v>
      </c>
      <c r="G281">
        <f>TEXT(0.0864,"0.00%")</f>
        <v>0</v>
      </c>
      <c r="H281">
        <f>TEXT(0.1696,"0.00%")</f>
        <v>0</v>
      </c>
      <c r="I281">
        <v>24493572668</v>
      </c>
      <c r="J281">
        <v>1.16</v>
      </c>
      <c r="K281">
        <v>70.38</v>
      </c>
      <c r="L281">
        <v>64.66</v>
      </c>
      <c r="M281">
        <v>66.11</v>
      </c>
      <c r="N281">
        <v>66.2</v>
      </c>
    </row>
    <row r="282" spans="1:14">
      <c r="A282" t="s">
        <v>294</v>
      </c>
      <c r="B282">
        <f>TEXT(002491,"000000")</f>
        <v>0</v>
      </c>
      <c r="C282">
        <v>6.73</v>
      </c>
      <c r="D282">
        <f>TEXT(0.0418,"0.00%")</f>
        <v>0</v>
      </c>
      <c r="E282">
        <v>187747927</v>
      </c>
      <c r="F282">
        <v>1294073083</v>
      </c>
      <c r="G282">
        <f>TEXT(0.11460000000000001,"0.00%")</f>
        <v>0</v>
      </c>
      <c r="H282">
        <f>TEXT(0.15960000000000002,"0.00%")</f>
        <v>0</v>
      </c>
      <c r="I282">
        <v>8277862985</v>
      </c>
      <c r="J282">
        <v>2.46</v>
      </c>
      <c r="K282">
        <v>7.11</v>
      </c>
      <c r="L282">
        <v>6.37</v>
      </c>
      <c r="M282">
        <v>6.39</v>
      </c>
      <c r="N282">
        <v>6.46</v>
      </c>
    </row>
    <row r="283" spans="1:14">
      <c r="A283" t="s">
        <v>295</v>
      </c>
      <c r="B283">
        <f>TEXT(688078,"000000")</f>
        <v>0</v>
      </c>
      <c r="C283">
        <v>43.94</v>
      </c>
      <c r="D283">
        <f>TEXT(0.0417,"0.00%")</f>
        <v>0</v>
      </c>
      <c r="E283">
        <v>1095042</v>
      </c>
      <c r="F283">
        <v>47551264</v>
      </c>
      <c r="G283">
        <f>TEXT(0.061399999999999996,"0.00%")</f>
        <v>0</v>
      </c>
      <c r="H283">
        <f>TEXT(0.015300000000000001,"0.00%")</f>
        <v>0</v>
      </c>
      <c r="I283">
        <v>3137755400</v>
      </c>
      <c r="J283">
        <v>1.96</v>
      </c>
      <c r="K283">
        <v>44.49</v>
      </c>
      <c r="L283">
        <v>41.9</v>
      </c>
      <c r="M283">
        <v>42.12</v>
      </c>
      <c r="N283">
        <v>42.18</v>
      </c>
    </row>
    <row r="284" spans="1:14">
      <c r="A284" t="s">
        <v>296</v>
      </c>
      <c r="B284">
        <f>TEXT(300684,"000000")</f>
        <v>0</v>
      </c>
      <c r="C284">
        <v>25.05</v>
      </c>
      <c r="D284">
        <f>TEXT(0.0416,"0.00%")</f>
        <v>0</v>
      </c>
      <c r="E284">
        <v>42262067</v>
      </c>
      <c r="F284">
        <v>1056316813</v>
      </c>
      <c r="G284">
        <f>TEXT(0.096,"0.00%")</f>
        <v>0</v>
      </c>
      <c r="H284">
        <f>TEXT(0.2323,"0.00%")</f>
        <v>0</v>
      </c>
      <c r="I284">
        <v>7035355300</v>
      </c>
      <c r="J284">
        <v>1.08</v>
      </c>
      <c r="K284">
        <v>25.97</v>
      </c>
      <c r="L284">
        <v>23.66</v>
      </c>
      <c r="M284">
        <v>23.81</v>
      </c>
      <c r="N284">
        <v>24.05</v>
      </c>
    </row>
    <row r="285" spans="1:14">
      <c r="A285" t="s">
        <v>297</v>
      </c>
      <c r="B285">
        <f>TEXT(600686,"000000")</f>
        <v>0</v>
      </c>
      <c r="C285">
        <v>7.81</v>
      </c>
      <c r="D285">
        <f>TEXT(0.041299999999999996,"0.00%")</f>
        <v>0</v>
      </c>
      <c r="E285">
        <v>35016199</v>
      </c>
      <c r="F285">
        <v>269549400</v>
      </c>
      <c r="G285">
        <f>TEXT(0.068,"0.00%")</f>
        <v>0</v>
      </c>
      <c r="H285">
        <f>TEXT(0.048799999999999996,"0.00%")</f>
        <v>0</v>
      </c>
      <c r="I285">
        <v>5600140326</v>
      </c>
      <c r="J285">
        <v>0.95</v>
      </c>
      <c r="K285">
        <v>7.9</v>
      </c>
      <c r="L285">
        <v>7.39</v>
      </c>
      <c r="M285">
        <v>7.6</v>
      </c>
      <c r="N285">
        <v>7.5</v>
      </c>
    </row>
    <row r="286" spans="1:14">
      <c r="A286" t="s">
        <v>298</v>
      </c>
      <c r="B286">
        <f>TEXT(301066,"000000")</f>
        <v>0</v>
      </c>
      <c r="C286">
        <v>17.47</v>
      </c>
      <c r="D286">
        <f>TEXT(0.041100000000000005,"0.00%")</f>
        <v>0</v>
      </c>
      <c r="E286">
        <v>13364845</v>
      </c>
      <c r="F286">
        <v>225869588</v>
      </c>
      <c r="G286">
        <f>TEXT(0.0876,"0.00%")</f>
        <v>0</v>
      </c>
      <c r="H286">
        <f>TEXT(0.1855,"0.00%")</f>
        <v>0</v>
      </c>
      <c r="I286">
        <v>3290512794</v>
      </c>
      <c r="J286">
        <v>1.71</v>
      </c>
      <c r="K286">
        <v>17.58</v>
      </c>
      <c r="L286">
        <v>16.11</v>
      </c>
      <c r="M286">
        <v>16.65</v>
      </c>
      <c r="N286">
        <v>16.78</v>
      </c>
    </row>
    <row r="287" spans="1:14">
      <c r="A287" t="s">
        <v>299</v>
      </c>
      <c r="B287">
        <f>TEXT(603100,"000000")</f>
        <v>0</v>
      </c>
      <c r="C287">
        <v>39.99</v>
      </c>
      <c r="D287">
        <f>TEXT(0.041100000000000005,"0.00%")</f>
        <v>0</v>
      </c>
      <c r="E287">
        <v>3235700</v>
      </c>
      <c r="F287">
        <v>127504545</v>
      </c>
      <c r="G287">
        <f>TEXT(0.0547,"0.00%")</f>
        <v>0</v>
      </c>
      <c r="H287">
        <f>TEXT(0.0083,"0.00%")</f>
        <v>0</v>
      </c>
      <c r="I287">
        <v>15796050000</v>
      </c>
      <c r="J287">
        <v>3.23</v>
      </c>
      <c r="K287">
        <v>40.15</v>
      </c>
      <c r="L287">
        <v>38.05</v>
      </c>
      <c r="M287">
        <v>38.24</v>
      </c>
      <c r="N287">
        <v>38.41</v>
      </c>
    </row>
    <row r="288" spans="1:14">
      <c r="A288" t="s">
        <v>300</v>
      </c>
      <c r="B288">
        <f>TEXT(000034,"000000")</f>
        <v>0</v>
      </c>
      <c r="C288">
        <v>26.1</v>
      </c>
      <c r="D288">
        <f>TEXT(0.041100000000000005,"0.00%")</f>
        <v>0</v>
      </c>
      <c r="E288">
        <v>26688332</v>
      </c>
      <c r="F288">
        <v>683013022</v>
      </c>
      <c r="G288">
        <f>TEXT(0.056600000000000004,"0.00%")</f>
        <v>0</v>
      </c>
      <c r="H288">
        <f>TEXT(0.048499999999999995,"0.00%")</f>
        <v>0</v>
      </c>
      <c r="I288">
        <v>17467022538</v>
      </c>
      <c r="J288">
        <v>1.8</v>
      </c>
      <c r="K288">
        <v>26.14</v>
      </c>
      <c r="L288">
        <v>24.72</v>
      </c>
      <c r="M288">
        <v>24.84</v>
      </c>
      <c r="N288">
        <v>25.07</v>
      </c>
    </row>
    <row r="289" spans="1:14">
      <c r="A289" t="s">
        <v>301</v>
      </c>
      <c r="B289">
        <f>TEXT(605118,"000000")</f>
        <v>0</v>
      </c>
      <c r="C289">
        <v>16.05</v>
      </c>
      <c r="D289">
        <f>TEXT(0.0409,"0.00%")</f>
        <v>0</v>
      </c>
      <c r="E289">
        <v>11385874</v>
      </c>
      <c r="F289">
        <v>181170594</v>
      </c>
      <c r="G289">
        <f>TEXT(0.0519,"0.00%")</f>
        <v>0</v>
      </c>
      <c r="H289">
        <f>TEXT(0.273,"0.00%")</f>
        <v>0</v>
      </c>
      <c r="I289">
        <v>6537500445</v>
      </c>
      <c r="J289">
        <v>0.97</v>
      </c>
      <c r="K289">
        <v>16.36</v>
      </c>
      <c r="L289">
        <v>15.56</v>
      </c>
      <c r="M289">
        <v>15.72</v>
      </c>
      <c r="N289">
        <v>15.42</v>
      </c>
    </row>
    <row r="290" spans="1:14">
      <c r="A290" t="s">
        <v>302</v>
      </c>
      <c r="B290">
        <f>TEXT(300437,"000000")</f>
        <v>0</v>
      </c>
      <c r="C290">
        <v>14.57</v>
      </c>
      <c r="D290">
        <f>TEXT(0.0407,"0.00%")</f>
        <v>0</v>
      </c>
      <c r="E290">
        <v>9073717</v>
      </c>
      <c r="F290">
        <v>132235045</v>
      </c>
      <c r="G290">
        <f>TEXT(0.0521,"0.00%")</f>
        <v>0</v>
      </c>
      <c r="H290">
        <f>TEXT(0.051,"0.00%")</f>
        <v>0</v>
      </c>
      <c r="I290">
        <v>3774549323</v>
      </c>
      <c r="J290">
        <v>1.46</v>
      </c>
      <c r="K290">
        <v>14.85</v>
      </c>
      <c r="L290">
        <v>14.12</v>
      </c>
      <c r="M290">
        <v>14.12</v>
      </c>
      <c r="N290">
        <v>14</v>
      </c>
    </row>
    <row r="291" spans="1:14">
      <c r="A291" t="s">
        <v>303</v>
      </c>
      <c r="B291">
        <f>TEXT(600285,"000000")</f>
        <v>0</v>
      </c>
      <c r="C291">
        <v>16.62</v>
      </c>
      <c r="D291">
        <f>TEXT(0.0407,"0.00%")</f>
        <v>0</v>
      </c>
      <c r="E291">
        <v>15199319</v>
      </c>
      <c r="F291">
        <v>250419529</v>
      </c>
      <c r="G291">
        <f>TEXT(0.0639,"0.00%")</f>
        <v>0</v>
      </c>
      <c r="H291">
        <f>TEXT(0.027200000000000002,"0.00%")</f>
        <v>0</v>
      </c>
      <c r="I291">
        <v>9428520681</v>
      </c>
      <c r="J291">
        <v>1.5</v>
      </c>
      <c r="K291">
        <v>16.88</v>
      </c>
      <c r="L291">
        <v>15.86</v>
      </c>
      <c r="M291">
        <v>15.95</v>
      </c>
      <c r="N291">
        <v>15.97</v>
      </c>
    </row>
    <row r="292" spans="1:14">
      <c r="A292" t="s">
        <v>304</v>
      </c>
      <c r="B292">
        <f>TEXT(300146,"000000")</f>
        <v>0</v>
      </c>
      <c r="C292">
        <v>23.34</v>
      </c>
      <c r="D292">
        <f>TEXT(0.0406,"0.00%")</f>
        <v>0</v>
      </c>
      <c r="E292">
        <v>13890168</v>
      </c>
      <c r="F292">
        <v>320913972</v>
      </c>
      <c r="G292">
        <f>TEXT(0.040999999999999995,"0.00%")</f>
        <v>0</v>
      </c>
      <c r="H292">
        <f>TEXT(0.0123,"0.00%")</f>
        <v>0</v>
      </c>
      <c r="I292">
        <v>39688917588</v>
      </c>
      <c r="J292">
        <v>1.55</v>
      </c>
      <c r="K292">
        <v>23.37</v>
      </c>
      <c r="L292">
        <v>22.45</v>
      </c>
      <c r="M292">
        <v>22.59</v>
      </c>
      <c r="N292">
        <v>22.43</v>
      </c>
    </row>
    <row r="293" spans="1:14">
      <c r="A293" t="s">
        <v>305</v>
      </c>
      <c r="B293">
        <f>TEXT(002280,"000000")</f>
        <v>0</v>
      </c>
      <c r="C293">
        <v>3.85</v>
      </c>
      <c r="D293">
        <f>TEXT(0.0405,"0.00%")</f>
        <v>0</v>
      </c>
      <c r="E293">
        <v>91466284</v>
      </c>
      <c r="F293">
        <v>341159107</v>
      </c>
      <c r="G293">
        <f>TEXT(0.08650000000000001,"0.00%")</f>
        <v>0</v>
      </c>
      <c r="H293">
        <f>TEXT(0.0484,"0.00%")</f>
        <v>0</v>
      </c>
      <c r="I293">
        <v>8382026248</v>
      </c>
      <c r="J293">
        <v>1.17</v>
      </c>
      <c r="K293">
        <v>3.9</v>
      </c>
      <c r="L293">
        <v>3.58</v>
      </c>
      <c r="M293">
        <v>3.7</v>
      </c>
      <c r="N293">
        <v>3.7</v>
      </c>
    </row>
    <row r="294" spans="1:14">
      <c r="A294" t="s">
        <v>306</v>
      </c>
      <c r="B294">
        <f>TEXT(688279,"000000")</f>
        <v>0</v>
      </c>
      <c r="C294">
        <v>89.15000000000001</v>
      </c>
      <c r="D294">
        <f>TEXT(0.0405,"0.00%")</f>
        <v>0</v>
      </c>
      <c r="E294">
        <v>1831220</v>
      </c>
      <c r="F294">
        <v>164720220</v>
      </c>
      <c r="G294">
        <f>TEXT(0.092,"0.00%")</f>
        <v>0</v>
      </c>
      <c r="H294">
        <f>TEXT(0.0332,"0.00%")</f>
        <v>0</v>
      </c>
      <c r="I294">
        <v>8234195327</v>
      </c>
      <c r="J294">
        <v>2.99</v>
      </c>
      <c r="K294">
        <v>92.97</v>
      </c>
      <c r="L294">
        <v>85.09</v>
      </c>
      <c r="M294">
        <v>85.59999999999999</v>
      </c>
      <c r="N294">
        <v>85.68000000000001</v>
      </c>
    </row>
    <row r="295" spans="1:14">
      <c r="A295" t="s">
        <v>307</v>
      </c>
      <c r="B295">
        <f>TEXT(688521,"000000")</f>
        <v>0</v>
      </c>
      <c r="C295">
        <v>84</v>
      </c>
      <c r="D295">
        <f>TEXT(0.04019999999999999,"0.00%")</f>
        <v>0</v>
      </c>
      <c r="E295">
        <v>4777956</v>
      </c>
      <c r="F295">
        <v>397444773</v>
      </c>
      <c r="G295">
        <f>TEXT(0.050499999999999996,"0.00%")</f>
        <v>0</v>
      </c>
      <c r="H295">
        <f>TEXT(0.0229,"0.00%")</f>
        <v>0</v>
      </c>
      <c r="I295">
        <v>41877063480</v>
      </c>
      <c r="J295">
        <v>1.02</v>
      </c>
      <c r="K295">
        <v>84.68000000000001</v>
      </c>
      <c r="L295">
        <v>80.59999999999999</v>
      </c>
      <c r="M295">
        <v>80.97</v>
      </c>
      <c r="N295">
        <v>80.75</v>
      </c>
    </row>
    <row r="296" spans="1:14">
      <c r="A296" t="s">
        <v>308</v>
      </c>
      <c r="B296">
        <f>TEXT(300045,"000000")</f>
        <v>0</v>
      </c>
      <c r="C296">
        <v>10.08</v>
      </c>
      <c r="D296">
        <f>TEXT(0.04019999999999999,"0.00%")</f>
        <v>0</v>
      </c>
      <c r="E296">
        <v>30257910</v>
      </c>
      <c r="F296">
        <v>302251941</v>
      </c>
      <c r="G296">
        <f>TEXT(0.063,"0.00%")</f>
        <v>0</v>
      </c>
      <c r="H296">
        <f>TEXT(0.061399999999999996,"0.00%")</f>
        <v>0</v>
      </c>
      <c r="I296">
        <v>6679766378</v>
      </c>
      <c r="J296">
        <v>0.84</v>
      </c>
      <c r="K296">
        <v>10.18</v>
      </c>
      <c r="L296">
        <v>9.57</v>
      </c>
      <c r="M296">
        <v>9.640000000000001</v>
      </c>
      <c r="N296">
        <v>9.69</v>
      </c>
    </row>
    <row r="297" spans="1:14">
      <c r="A297" t="s">
        <v>309</v>
      </c>
      <c r="B297">
        <f>TEXT(601928,"000000")</f>
        <v>0</v>
      </c>
      <c r="C297">
        <v>12.68</v>
      </c>
      <c r="D297">
        <f>TEXT(0.04019999999999999,"0.00%")</f>
        <v>0</v>
      </c>
      <c r="E297">
        <v>17992374</v>
      </c>
      <c r="F297">
        <v>226594093</v>
      </c>
      <c r="G297">
        <f>TEXT(0.0599,"0.00%")</f>
        <v>0</v>
      </c>
      <c r="H297">
        <f>TEXT(0.0070999999999999995,"0.00%")</f>
        <v>0</v>
      </c>
      <c r="I297">
        <v>32269332000</v>
      </c>
      <c r="J297">
        <v>0.79</v>
      </c>
      <c r="K297">
        <v>12.83</v>
      </c>
      <c r="L297">
        <v>12.1</v>
      </c>
      <c r="M297">
        <v>12.28</v>
      </c>
      <c r="N297">
        <v>12.19</v>
      </c>
    </row>
    <row r="298" spans="1:14">
      <c r="A298" t="s">
        <v>310</v>
      </c>
      <c r="B298">
        <f>TEXT(300788,"000000")</f>
        <v>0</v>
      </c>
      <c r="C298">
        <v>34.3</v>
      </c>
      <c r="D298">
        <f>TEXT(0.04,"0.00%")</f>
        <v>0</v>
      </c>
      <c r="E298">
        <v>10210844</v>
      </c>
      <c r="F298">
        <v>349875181</v>
      </c>
      <c r="G298">
        <f>TEXT(0.0843,"0.00%")</f>
        <v>0</v>
      </c>
      <c r="H298">
        <f>TEXT(0.0537,"0.00%")</f>
        <v>0</v>
      </c>
      <c r="I298">
        <v>6522196964</v>
      </c>
      <c r="J298">
        <v>1.39</v>
      </c>
      <c r="K298">
        <v>35.09</v>
      </c>
      <c r="L298">
        <v>32.31</v>
      </c>
      <c r="M298">
        <v>32.95</v>
      </c>
      <c r="N298">
        <v>32.98</v>
      </c>
    </row>
    <row r="299" spans="1:14">
      <c r="A299" t="s">
        <v>311</v>
      </c>
      <c r="B299">
        <f>TEXT(688383,"000000")</f>
        <v>0</v>
      </c>
      <c r="C299">
        <v>138</v>
      </c>
      <c r="D299">
        <f>TEXT(0.0398,"0.00%")</f>
        <v>0</v>
      </c>
      <c r="E299">
        <v>937151</v>
      </c>
      <c r="F299">
        <v>126960052</v>
      </c>
      <c r="G299">
        <f>TEXT(0.0634,"0.00%")</f>
        <v>0</v>
      </c>
      <c r="H299">
        <f>TEXT(0.0298,"0.00%")</f>
        <v>0</v>
      </c>
      <c r="I299">
        <v>14094436800</v>
      </c>
      <c r="J299">
        <v>0.67</v>
      </c>
      <c r="K299">
        <v>138.42</v>
      </c>
      <c r="L299">
        <v>130</v>
      </c>
      <c r="M299">
        <v>132.25</v>
      </c>
      <c r="N299">
        <v>132.72</v>
      </c>
    </row>
    <row r="300" spans="1:14">
      <c r="A300" t="s">
        <v>312</v>
      </c>
      <c r="B300">
        <f>TEXT(300197,"000000")</f>
        <v>0</v>
      </c>
      <c r="C300">
        <v>2.61</v>
      </c>
      <c r="D300">
        <f>TEXT(0.0398,"0.00%")</f>
        <v>0</v>
      </c>
      <c r="E300">
        <v>31252581</v>
      </c>
      <c r="F300">
        <v>80586623</v>
      </c>
      <c r="G300">
        <f>TEXT(0.0398,"0.00%")</f>
        <v>0</v>
      </c>
      <c r="H300">
        <f>TEXT(0.015700000000000002,"0.00%")</f>
        <v>0</v>
      </c>
      <c r="I300">
        <v>7367698691</v>
      </c>
      <c r="J300">
        <v>1.71</v>
      </c>
      <c r="K300">
        <v>2.62</v>
      </c>
      <c r="L300">
        <v>2.52</v>
      </c>
      <c r="M300">
        <v>2.52</v>
      </c>
      <c r="N300">
        <v>2.51</v>
      </c>
    </row>
    <row r="301" spans="1:14">
      <c r="A301" t="s">
        <v>313</v>
      </c>
      <c r="B301">
        <f>TEXT(300926,"000000")</f>
        <v>0</v>
      </c>
      <c r="C301">
        <v>18.85</v>
      </c>
      <c r="D301">
        <f>TEXT(0.0397,"0.00%")</f>
        <v>0</v>
      </c>
      <c r="E301">
        <v>6961034</v>
      </c>
      <c r="F301">
        <v>128014510</v>
      </c>
      <c r="G301">
        <f>TEXT(0.1048,"0.00%")</f>
        <v>0</v>
      </c>
      <c r="H301">
        <f>TEXT(0.09910000000000001,"0.00%")</f>
        <v>0</v>
      </c>
      <c r="I301">
        <v>5255936829</v>
      </c>
      <c r="J301">
        <v>3</v>
      </c>
      <c r="K301">
        <v>19.3</v>
      </c>
      <c r="L301">
        <v>17.4</v>
      </c>
      <c r="M301">
        <v>17.95</v>
      </c>
      <c r="N301">
        <v>18.13</v>
      </c>
    </row>
    <row r="302" spans="1:14">
      <c r="A302" t="s">
        <v>314</v>
      </c>
      <c r="B302">
        <f>TEXT(605128,"000000")</f>
        <v>0</v>
      </c>
      <c r="C302">
        <v>38.08</v>
      </c>
      <c r="D302">
        <f>TEXT(0.039599999999999996,"0.00%")</f>
        <v>0</v>
      </c>
      <c r="E302">
        <v>1970600</v>
      </c>
      <c r="F302">
        <v>73708698</v>
      </c>
      <c r="G302">
        <f>TEXT(0.0723,"0.00%")</f>
        <v>0</v>
      </c>
      <c r="H302">
        <f>TEXT(0.0472,"0.00%")</f>
        <v>0</v>
      </c>
      <c r="I302">
        <v>3046400000</v>
      </c>
      <c r="J302">
        <v>1.72</v>
      </c>
      <c r="K302">
        <v>38.42</v>
      </c>
      <c r="L302">
        <v>35.77</v>
      </c>
      <c r="M302">
        <v>36.99</v>
      </c>
      <c r="N302">
        <v>36.63</v>
      </c>
    </row>
    <row r="303" spans="1:14">
      <c r="A303" t="s">
        <v>315</v>
      </c>
      <c r="B303">
        <f>TEXT(300525,"000000")</f>
        <v>0</v>
      </c>
      <c r="C303">
        <v>19.44</v>
      </c>
      <c r="D303">
        <f>TEXT(0.039599999999999996,"0.00%")</f>
        <v>0</v>
      </c>
      <c r="E303">
        <v>6271113</v>
      </c>
      <c r="F303">
        <v>120076266</v>
      </c>
      <c r="G303">
        <f>TEXT(0.042199999999999994,"0.00%")</f>
        <v>0</v>
      </c>
      <c r="H303">
        <f>TEXT(0.0127,"0.00%")</f>
        <v>0</v>
      </c>
      <c r="I303">
        <v>11921371992</v>
      </c>
      <c r="J303">
        <v>1.22</v>
      </c>
      <c r="K303">
        <v>19.44</v>
      </c>
      <c r="L303">
        <v>18.65</v>
      </c>
      <c r="M303">
        <v>18.65</v>
      </c>
      <c r="N303">
        <v>18.7</v>
      </c>
    </row>
    <row r="304" spans="1:14">
      <c r="A304" t="s">
        <v>316</v>
      </c>
      <c r="B304">
        <f>TEXT(300723,"000000")</f>
        <v>0</v>
      </c>
      <c r="C304">
        <v>33.18</v>
      </c>
      <c r="D304">
        <f>TEXT(0.0395,"0.00%")</f>
        <v>0</v>
      </c>
      <c r="E304">
        <v>2999900</v>
      </c>
      <c r="F304">
        <v>98411745</v>
      </c>
      <c r="G304">
        <f>TEXT(0.0526,"0.00%")</f>
        <v>0</v>
      </c>
      <c r="H304">
        <f>TEXT(0.0151,"0.00%")</f>
        <v>0</v>
      </c>
      <c r="I304">
        <v>14272907979</v>
      </c>
      <c r="J304">
        <v>1.63</v>
      </c>
      <c r="K304">
        <v>33.6</v>
      </c>
      <c r="L304">
        <v>31.92</v>
      </c>
      <c r="M304">
        <v>31.92</v>
      </c>
      <c r="N304">
        <v>31.92</v>
      </c>
    </row>
    <row r="305" spans="1:14">
      <c r="A305" t="s">
        <v>317</v>
      </c>
      <c r="B305">
        <f>TEXT(300168,"000000")</f>
        <v>0</v>
      </c>
      <c r="C305">
        <v>13.15</v>
      </c>
      <c r="D305">
        <f>TEXT(0.0395,"0.00%")</f>
        <v>0</v>
      </c>
      <c r="E305">
        <v>31777450</v>
      </c>
      <c r="F305">
        <v>413720460</v>
      </c>
      <c r="G305">
        <f>TEXT(0.0617,"0.00%")</f>
        <v>0</v>
      </c>
      <c r="H305">
        <f>TEXT(0.0269,"0.00%")</f>
        <v>0</v>
      </c>
      <c r="I305">
        <v>18977974681</v>
      </c>
      <c r="J305">
        <v>0.71</v>
      </c>
      <c r="K305">
        <v>13.29</v>
      </c>
      <c r="L305">
        <v>12.51</v>
      </c>
      <c r="M305">
        <v>12.64</v>
      </c>
      <c r="N305">
        <v>12.65</v>
      </c>
    </row>
    <row r="306" spans="1:14">
      <c r="A306" t="s">
        <v>318</v>
      </c>
      <c r="B306">
        <f>TEXT(600449,"000000")</f>
        <v>0</v>
      </c>
      <c r="C306">
        <v>14.99</v>
      </c>
      <c r="D306">
        <f>TEXT(0.0395,"0.00%")</f>
        <v>0</v>
      </c>
      <c r="E306">
        <v>8985032</v>
      </c>
      <c r="F306">
        <v>133127890</v>
      </c>
      <c r="G306">
        <f>TEXT(0.048499999999999995,"0.00%")</f>
        <v>0</v>
      </c>
      <c r="H306">
        <f>TEXT(0.018799999999999997,"0.00%")</f>
        <v>0</v>
      </c>
      <c r="I306">
        <v>7167933819</v>
      </c>
      <c r="J306">
        <v>1.62</v>
      </c>
      <c r="K306">
        <v>15.08</v>
      </c>
      <c r="L306">
        <v>14.38</v>
      </c>
      <c r="M306">
        <v>14.49</v>
      </c>
      <c r="N306">
        <v>14.42</v>
      </c>
    </row>
    <row r="307" spans="1:14">
      <c r="A307" t="s">
        <v>319</v>
      </c>
      <c r="B307">
        <f>TEXT(688398,"000000")</f>
        <v>0</v>
      </c>
      <c r="C307">
        <v>32.39</v>
      </c>
      <c r="D307">
        <f>TEXT(0.0395,"0.00%")</f>
        <v>0</v>
      </c>
      <c r="E307">
        <v>972752</v>
      </c>
      <c r="F307">
        <v>31036315</v>
      </c>
      <c r="G307">
        <f>TEXT(0.0764,"0.00%")</f>
        <v>0</v>
      </c>
      <c r="H307">
        <f>TEXT(0.0084,"0.00%")</f>
        <v>0</v>
      </c>
      <c r="I307">
        <v>3757240000</v>
      </c>
      <c r="J307">
        <v>2.03</v>
      </c>
      <c r="K307">
        <v>32.87</v>
      </c>
      <c r="L307">
        <v>30.49</v>
      </c>
      <c r="M307">
        <v>31.16</v>
      </c>
      <c r="N307">
        <v>31.16</v>
      </c>
    </row>
    <row r="308" spans="1:14">
      <c r="A308" t="s">
        <v>320</v>
      </c>
      <c r="B308">
        <f>TEXT(688049,"000000")</f>
        <v>0</v>
      </c>
      <c r="C308">
        <v>36.89</v>
      </c>
      <c r="D308">
        <f>TEXT(0.0394,"0.00%")</f>
        <v>0</v>
      </c>
      <c r="E308">
        <v>3323779</v>
      </c>
      <c r="F308">
        <v>122584319</v>
      </c>
      <c r="G308">
        <f>TEXT(0.042300000000000004,"0.00%")</f>
        <v>0</v>
      </c>
      <c r="H308">
        <f>TEXT(0.0366,"0.00%")</f>
        <v>0</v>
      </c>
      <c r="I308">
        <v>4500580000</v>
      </c>
      <c r="J308">
        <v>1.1</v>
      </c>
      <c r="K308">
        <v>37.5</v>
      </c>
      <c r="L308">
        <v>36</v>
      </c>
      <c r="M308">
        <v>36.47</v>
      </c>
      <c r="N308">
        <v>35.49</v>
      </c>
    </row>
    <row r="309" spans="1:14">
      <c r="A309" t="s">
        <v>321</v>
      </c>
      <c r="B309">
        <f>TEXT(300242,"000000")</f>
        <v>0</v>
      </c>
      <c r="C309">
        <v>3.44</v>
      </c>
      <c r="D309">
        <f>TEXT(0.0393,"0.00%")</f>
        <v>0</v>
      </c>
      <c r="E309">
        <v>17003108</v>
      </c>
      <c r="F309">
        <v>57501778</v>
      </c>
      <c r="G309">
        <f>TEXT(0.0453,"0.00%")</f>
        <v>0</v>
      </c>
      <c r="H309">
        <f>TEXT(0.0271,"0.00%")</f>
        <v>0</v>
      </c>
      <c r="I309">
        <v>2182869970</v>
      </c>
      <c r="J309">
        <v>1.36</v>
      </c>
      <c r="K309">
        <v>3.45</v>
      </c>
      <c r="L309">
        <v>3.3</v>
      </c>
      <c r="M309">
        <v>3.33</v>
      </c>
      <c r="N309">
        <v>3.31</v>
      </c>
    </row>
    <row r="310" spans="1:14">
      <c r="A310" t="s">
        <v>322</v>
      </c>
      <c r="B310">
        <f>TEXT(600804,"000000")</f>
        <v>0</v>
      </c>
      <c r="C310">
        <v>4.77</v>
      </c>
      <c r="D310">
        <f>TEXT(0.0392,"0.00%")</f>
        <v>0</v>
      </c>
      <c r="E310">
        <v>29788100</v>
      </c>
      <c r="F310">
        <v>140990722</v>
      </c>
      <c r="G310">
        <f>TEXT(0.056600000000000004,"0.00%")</f>
        <v>0</v>
      </c>
      <c r="H310">
        <f>TEXT(0.021400000000000002,"0.00%")</f>
        <v>0</v>
      </c>
      <c r="I310">
        <v>7906102831</v>
      </c>
      <c r="J310">
        <v>0.9</v>
      </c>
      <c r="K310">
        <v>4.81</v>
      </c>
      <c r="L310">
        <v>4.55</v>
      </c>
      <c r="M310">
        <v>4.55</v>
      </c>
      <c r="N310">
        <v>4.59</v>
      </c>
    </row>
    <row r="311" spans="1:14">
      <c r="A311" t="s">
        <v>323</v>
      </c>
      <c r="B311">
        <f>TEXT(000623,"000000")</f>
        <v>0</v>
      </c>
      <c r="C311">
        <v>16.99</v>
      </c>
      <c r="D311">
        <f>TEXT(0.0391,"0.00%")</f>
        <v>0</v>
      </c>
      <c r="E311">
        <v>14858660</v>
      </c>
      <c r="F311">
        <v>249734466</v>
      </c>
      <c r="G311">
        <f>TEXT(0.061799999999999994,"0.00%")</f>
        <v>0</v>
      </c>
      <c r="H311">
        <f>TEXT(0.0128,"0.00%")</f>
        <v>0</v>
      </c>
      <c r="I311">
        <v>19761150636</v>
      </c>
      <c r="J311">
        <v>2.05</v>
      </c>
      <c r="K311">
        <v>17.25</v>
      </c>
      <c r="L311">
        <v>16.24</v>
      </c>
      <c r="M311">
        <v>16.31</v>
      </c>
      <c r="N311">
        <v>16.35</v>
      </c>
    </row>
    <row r="312" spans="1:14">
      <c r="A312" t="s">
        <v>324</v>
      </c>
      <c r="B312">
        <f>TEXT(688389,"000000")</f>
        <v>0</v>
      </c>
      <c r="C312">
        <v>27.12</v>
      </c>
      <c r="D312">
        <f>TEXT(0.0391,"0.00%")</f>
        <v>0</v>
      </c>
      <c r="E312">
        <v>1551622</v>
      </c>
      <c r="F312">
        <v>41438353</v>
      </c>
      <c r="G312">
        <f>TEXT(0.0479,"0.00%")</f>
        <v>0</v>
      </c>
      <c r="H312">
        <f>TEXT(0.0036,"0.00%")</f>
        <v>0</v>
      </c>
      <c r="I312">
        <v>11541695320</v>
      </c>
      <c r="J312">
        <v>0.95</v>
      </c>
      <c r="K312">
        <v>27.15</v>
      </c>
      <c r="L312">
        <v>25.9</v>
      </c>
      <c r="M312">
        <v>26.1</v>
      </c>
      <c r="N312">
        <v>26.1</v>
      </c>
    </row>
    <row r="313" spans="1:14">
      <c r="A313" t="s">
        <v>325</v>
      </c>
      <c r="B313">
        <f>TEXT(603083,"000000")</f>
        <v>0</v>
      </c>
      <c r="C313">
        <v>70.84999999999999</v>
      </c>
      <c r="D313">
        <f>TEXT(0.039,"0.00%")</f>
        <v>0</v>
      </c>
      <c r="E313">
        <v>95478027</v>
      </c>
      <c r="F313">
        <v>6642471010</v>
      </c>
      <c r="G313">
        <f>TEXT(0.1286,"0.00%")</f>
        <v>0</v>
      </c>
      <c r="H313">
        <f>TEXT(0.3665,"0.00%")</f>
        <v>0</v>
      </c>
      <c r="I313">
        <v>19003595369</v>
      </c>
      <c r="J313">
        <v>1.11</v>
      </c>
      <c r="K313">
        <v>74.8</v>
      </c>
      <c r="L313">
        <v>66.03</v>
      </c>
      <c r="M313">
        <v>67</v>
      </c>
      <c r="N313">
        <v>68.19</v>
      </c>
    </row>
    <row r="314" spans="1:14">
      <c r="A314" t="s">
        <v>326</v>
      </c>
      <c r="B314">
        <f>TEXT(002795,"000000")</f>
        <v>0</v>
      </c>
      <c r="C314">
        <v>12.83</v>
      </c>
      <c r="D314">
        <f>TEXT(0.038900000000000004,"0.00%")</f>
        <v>0</v>
      </c>
      <c r="E314">
        <v>6962540</v>
      </c>
      <c r="F314">
        <v>87844273</v>
      </c>
      <c r="G314">
        <f>TEXT(0.06559999999999999,"0.00%")</f>
        <v>0</v>
      </c>
      <c r="H314">
        <f>TEXT(0.0286,"0.00%")</f>
        <v>0</v>
      </c>
      <c r="I314">
        <v>4085502703</v>
      </c>
      <c r="J314">
        <v>1.03</v>
      </c>
      <c r="K314">
        <v>12.92</v>
      </c>
      <c r="L314">
        <v>12.11</v>
      </c>
      <c r="M314">
        <v>12.27</v>
      </c>
      <c r="N314">
        <v>12.35</v>
      </c>
    </row>
    <row r="315" spans="1:14">
      <c r="A315" t="s">
        <v>327</v>
      </c>
      <c r="B315">
        <f>TEXT(600535,"000000")</f>
        <v>0</v>
      </c>
      <c r="C315">
        <v>15.22</v>
      </c>
      <c r="D315">
        <f>TEXT(0.038900000000000004,"0.00%")</f>
        <v>0</v>
      </c>
      <c r="E315">
        <v>13987395</v>
      </c>
      <c r="F315">
        <v>211613587</v>
      </c>
      <c r="G315">
        <f>TEXT(0.0676,"0.00%")</f>
        <v>0</v>
      </c>
      <c r="H315">
        <f>TEXT(0.009300000000000001,"0.00%")</f>
        <v>0</v>
      </c>
      <c r="I315">
        <v>22825435978</v>
      </c>
      <c r="J315">
        <v>0.99</v>
      </c>
      <c r="K315">
        <v>15.55</v>
      </c>
      <c r="L315">
        <v>14.56</v>
      </c>
      <c r="M315">
        <v>14.56</v>
      </c>
      <c r="N315">
        <v>14.65</v>
      </c>
    </row>
    <row r="316" spans="1:14">
      <c r="A316" t="s">
        <v>328</v>
      </c>
      <c r="B316">
        <f>TEXT(688013,"000000")</f>
        <v>0</v>
      </c>
      <c r="C316">
        <v>24.46</v>
      </c>
      <c r="D316">
        <f>TEXT(0.038599999999999995,"0.00%")</f>
        <v>0</v>
      </c>
      <c r="E316">
        <v>1748388</v>
      </c>
      <c r="F316">
        <v>42461960</v>
      </c>
      <c r="G316">
        <f>TEXT(0.0552,"0.00%")</f>
        <v>0</v>
      </c>
      <c r="H316">
        <f>TEXT(0.044500000000000005,"0.00%")</f>
        <v>0</v>
      </c>
      <c r="I316">
        <v>1985065976</v>
      </c>
      <c r="J316">
        <v>2.19</v>
      </c>
      <c r="K316">
        <v>24.8</v>
      </c>
      <c r="L316">
        <v>23.5</v>
      </c>
      <c r="M316">
        <v>23.61</v>
      </c>
      <c r="N316">
        <v>23.55</v>
      </c>
    </row>
    <row r="317" spans="1:14">
      <c r="A317" t="s">
        <v>329</v>
      </c>
      <c r="B317">
        <f>TEXT(002621,"000000")</f>
        <v>0</v>
      </c>
      <c r="C317">
        <v>4.05</v>
      </c>
      <c r="D317">
        <f>TEXT(0.0385,"0.00%")</f>
        <v>0</v>
      </c>
      <c r="E317">
        <v>33829346</v>
      </c>
      <c r="F317">
        <v>134964322</v>
      </c>
      <c r="G317">
        <f>TEXT(0.0564,"0.00%")</f>
        <v>0</v>
      </c>
      <c r="H317">
        <f>TEXT(0.042199999999999994,"0.00%")</f>
        <v>0</v>
      </c>
      <c r="I317">
        <v>3330063616</v>
      </c>
      <c r="J317">
        <v>1.81</v>
      </c>
      <c r="K317">
        <v>4.05</v>
      </c>
      <c r="L317">
        <v>3.83</v>
      </c>
      <c r="M317">
        <v>3.92</v>
      </c>
      <c r="N317">
        <v>3.9</v>
      </c>
    </row>
    <row r="318" spans="1:14">
      <c r="A318" t="s">
        <v>330</v>
      </c>
      <c r="B318">
        <f>TEXT(600771,"000000")</f>
        <v>0</v>
      </c>
      <c r="C318">
        <v>39.77</v>
      </c>
      <c r="D318">
        <f>TEXT(0.0384,"0.00%")</f>
        <v>0</v>
      </c>
      <c r="E318">
        <v>9888065</v>
      </c>
      <c r="F318">
        <v>388630443</v>
      </c>
      <c r="G318">
        <f>TEXT(0.0512,"0.00%")</f>
        <v>0</v>
      </c>
      <c r="H318">
        <f>TEXT(0.0202,"0.00%")</f>
        <v>0</v>
      </c>
      <c r="I318">
        <v>19467062677</v>
      </c>
      <c r="J318">
        <v>1.54</v>
      </c>
      <c r="K318">
        <v>40.26</v>
      </c>
      <c r="L318">
        <v>38.3</v>
      </c>
      <c r="M318">
        <v>38.37</v>
      </c>
      <c r="N318">
        <v>38.3</v>
      </c>
    </row>
    <row r="319" spans="1:14">
      <c r="A319" t="s">
        <v>331</v>
      </c>
      <c r="B319">
        <f>TEXT(301312,"000000")</f>
        <v>0</v>
      </c>
      <c r="C319">
        <v>93.13</v>
      </c>
      <c r="D319">
        <f>TEXT(0.0382,"0.00%")</f>
        <v>0</v>
      </c>
      <c r="E319">
        <v>3139150</v>
      </c>
      <c r="F319">
        <v>287861455</v>
      </c>
      <c r="G319">
        <f>TEXT(0.0535,"0.00%")</f>
        <v>0</v>
      </c>
      <c r="H319">
        <f>TEXT(0.2045,"0.00%")</f>
        <v>0</v>
      </c>
      <c r="I319">
        <v>5827762762</v>
      </c>
      <c r="J319">
        <v>0.7</v>
      </c>
      <c r="K319">
        <v>93.8</v>
      </c>
      <c r="L319">
        <v>89</v>
      </c>
      <c r="M319">
        <v>89</v>
      </c>
      <c r="N319">
        <v>89.7</v>
      </c>
    </row>
    <row r="320" spans="1:14">
      <c r="A320" t="s">
        <v>332</v>
      </c>
      <c r="B320">
        <f>TEXT(688661,"000000")</f>
        <v>0</v>
      </c>
      <c r="C320">
        <v>95.5</v>
      </c>
      <c r="D320">
        <f>TEXT(0.0382,"0.00%")</f>
        <v>0</v>
      </c>
      <c r="E320">
        <v>3817785</v>
      </c>
      <c r="F320">
        <v>361577572</v>
      </c>
      <c r="G320">
        <f>TEXT(0.0915,"0.00%")</f>
        <v>0</v>
      </c>
      <c r="H320">
        <f>TEXT(0.10679999999999999,"0.00%")</f>
        <v>0</v>
      </c>
      <c r="I320">
        <v>8583010261</v>
      </c>
      <c r="J320">
        <v>1.51</v>
      </c>
      <c r="K320">
        <v>98.3</v>
      </c>
      <c r="L320">
        <v>89.88</v>
      </c>
      <c r="M320">
        <v>92.64</v>
      </c>
      <c r="N320">
        <v>91.98999999999999</v>
      </c>
    </row>
    <row r="321" spans="1:14">
      <c r="A321" t="s">
        <v>333</v>
      </c>
      <c r="B321">
        <f>TEXT(600624,"000000")</f>
        <v>0</v>
      </c>
      <c r="C321">
        <v>5.99</v>
      </c>
      <c r="D321">
        <f>TEXT(0.0381,"0.00%")</f>
        <v>0</v>
      </c>
      <c r="E321">
        <v>20640465</v>
      </c>
      <c r="F321">
        <v>126152804</v>
      </c>
      <c r="G321">
        <f>TEXT(0.10400000000000001,"0.00%")</f>
        <v>0</v>
      </c>
      <c r="H321">
        <f>TEXT(0.0301,"0.00%")</f>
        <v>0</v>
      </c>
      <c r="I321">
        <v>4101424939</v>
      </c>
      <c r="J321">
        <v>6.84</v>
      </c>
      <c r="K321">
        <v>6.35</v>
      </c>
      <c r="L321">
        <v>5.75</v>
      </c>
      <c r="M321">
        <v>5.75</v>
      </c>
      <c r="N321">
        <v>5.77</v>
      </c>
    </row>
    <row r="322" spans="1:14">
      <c r="A322" t="s">
        <v>334</v>
      </c>
      <c r="B322">
        <f>TEXT(003006,"000000")</f>
        <v>0</v>
      </c>
      <c r="C322">
        <v>17.99</v>
      </c>
      <c r="D322">
        <f>TEXT(0.0381,"0.00%")</f>
        <v>0</v>
      </c>
      <c r="E322">
        <v>2143300</v>
      </c>
      <c r="F322">
        <v>38010246</v>
      </c>
      <c r="G322">
        <f>TEXT(0.0537,"0.00%")</f>
        <v>0</v>
      </c>
      <c r="H322">
        <f>TEXT(0.009899999999999999,"0.00%")</f>
        <v>0</v>
      </c>
      <c r="I322">
        <v>7741642097</v>
      </c>
      <c r="J322">
        <v>1.06</v>
      </c>
      <c r="K322">
        <v>18.17</v>
      </c>
      <c r="L322">
        <v>17.24</v>
      </c>
      <c r="M322">
        <v>17.5</v>
      </c>
      <c r="N322">
        <v>17.33</v>
      </c>
    </row>
    <row r="323" spans="1:14">
      <c r="A323" t="s">
        <v>335</v>
      </c>
      <c r="B323">
        <f>TEXT(300711,"000000")</f>
        <v>0</v>
      </c>
      <c r="C323">
        <v>15.8</v>
      </c>
      <c r="D323">
        <f>TEXT(0.0381,"0.00%")</f>
        <v>0</v>
      </c>
      <c r="E323">
        <v>9914369</v>
      </c>
      <c r="F323">
        <v>157219955</v>
      </c>
      <c r="G323">
        <f>TEXT(0.0999,"0.00%")</f>
        <v>0</v>
      </c>
      <c r="H323">
        <f>TEXT(0.048,"0.00%")</f>
        <v>0</v>
      </c>
      <c r="I323">
        <v>3280746317</v>
      </c>
      <c r="J323">
        <v>1.84</v>
      </c>
      <c r="K323">
        <v>16.5</v>
      </c>
      <c r="L323">
        <v>14.98</v>
      </c>
      <c r="M323">
        <v>14.98</v>
      </c>
      <c r="N323">
        <v>15.22</v>
      </c>
    </row>
    <row r="324" spans="1:14">
      <c r="A324" t="s">
        <v>336</v>
      </c>
      <c r="B324">
        <f>TEXT(300133,"000000")</f>
        <v>0</v>
      </c>
      <c r="C324">
        <v>7.11</v>
      </c>
      <c r="D324">
        <f>TEXT(0.038,"0.00%")</f>
        <v>0</v>
      </c>
      <c r="E324">
        <v>62732154</v>
      </c>
      <c r="F324">
        <v>440831658</v>
      </c>
      <c r="G324">
        <f>TEXT(0.0584,"0.00%")</f>
        <v>0</v>
      </c>
      <c r="H324">
        <f>TEXT(0.0385,"0.00%")</f>
        <v>0</v>
      </c>
      <c r="I324">
        <v>13516634014</v>
      </c>
      <c r="J324">
        <v>1.05</v>
      </c>
      <c r="K324">
        <v>7.15</v>
      </c>
      <c r="L324">
        <v>6.75</v>
      </c>
      <c r="M324">
        <v>6.85</v>
      </c>
      <c r="N324">
        <v>6.85</v>
      </c>
    </row>
    <row r="325" spans="1:14">
      <c r="A325" t="s">
        <v>337</v>
      </c>
      <c r="B325">
        <f>TEXT(002510,"000000")</f>
        <v>0</v>
      </c>
      <c r="C325">
        <v>3.83</v>
      </c>
      <c r="D325">
        <f>TEXT(0.0379,"0.00%")</f>
        <v>0</v>
      </c>
      <c r="E325">
        <v>24069020</v>
      </c>
      <c r="F325">
        <v>92195781</v>
      </c>
      <c r="G325">
        <f>TEXT(0.0867,"0.00%")</f>
        <v>0</v>
      </c>
      <c r="H325">
        <f>TEXT(0.0258,"0.00%")</f>
        <v>0</v>
      </c>
      <c r="I325">
        <v>3606503268</v>
      </c>
      <c r="J325">
        <v>4.97</v>
      </c>
      <c r="K325">
        <v>4</v>
      </c>
      <c r="L325">
        <v>3.68</v>
      </c>
      <c r="M325">
        <v>3.72</v>
      </c>
      <c r="N325">
        <v>3.69</v>
      </c>
    </row>
    <row r="326" spans="1:14">
      <c r="A326" t="s">
        <v>338</v>
      </c>
      <c r="B326">
        <f>TEXT(688205,"000000")</f>
        <v>0</v>
      </c>
      <c r="C326">
        <v>70.88</v>
      </c>
      <c r="D326">
        <f>TEXT(0.0379,"0.00%")</f>
        <v>0</v>
      </c>
      <c r="E326">
        <v>2611966</v>
      </c>
      <c r="F326">
        <v>182724163</v>
      </c>
      <c r="G326">
        <f>TEXT(0.0861,"0.00%")</f>
        <v>0</v>
      </c>
      <c r="H326">
        <f>TEXT(0.1119,"0.00%")</f>
        <v>0</v>
      </c>
      <c r="I326">
        <v>6895206400</v>
      </c>
      <c r="J326">
        <v>1.16</v>
      </c>
      <c r="K326">
        <v>71.89</v>
      </c>
      <c r="L326">
        <v>66.01000000000001</v>
      </c>
      <c r="M326">
        <v>67</v>
      </c>
      <c r="N326">
        <v>68.29000000000001</v>
      </c>
    </row>
    <row r="327" spans="1:14">
      <c r="A327" t="s">
        <v>339</v>
      </c>
      <c r="B327">
        <f>TEXT(002777,"000000")</f>
        <v>0</v>
      </c>
      <c r="C327">
        <v>27.13</v>
      </c>
      <c r="D327">
        <f>TEXT(0.0379,"0.00%")</f>
        <v>0</v>
      </c>
      <c r="E327">
        <v>19012514</v>
      </c>
      <c r="F327">
        <v>508942592</v>
      </c>
      <c r="G327">
        <f>TEXT(0.0555,"0.00%")</f>
        <v>0</v>
      </c>
      <c r="H327">
        <f>TEXT(0.04769999999999999,"0.00%")</f>
        <v>0</v>
      </c>
      <c r="I327">
        <v>11075308060</v>
      </c>
      <c r="J327">
        <v>1.04</v>
      </c>
      <c r="K327">
        <v>27.25</v>
      </c>
      <c r="L327">
        <v>25.8</v>
      </c>
      <c r="M327">
        <v>26.26</v>
      </c>
      <c r="N327">
        <v>26.14</v>
      </c>
    </row>
    <row r="328" spans="1:14">
      <c r="A328" t="s">
        <v>340</v>
      </c>
      <c r="B328">
        <f>TEXT(002595,"000000")</f>
        <v>0</v>
      </c>
      <c r="C328">
        <v>33.26</v>
      </c>
      <c r="D328">
        <f>TEXT(0.0378,"0.00%")</f>
        <v>0</v>
      </c>
      <c r="E328">
        <v>3224473</v>
      </c>
      <c r="F328">
        <v>105409041</v>
      </c>
      <c r="G328">
        <f>TEXT(0.047400000000000005,"0.00%")</f>
        <v>0</v>
      </c>
      <c r="H328">
        <f>TEXT(0.006,"0.00%")</f>
        <v>0</v>
      </c>
      <c r="I328">
        <v>26608000000</v>
      </c>
      <c r="J328">
        <v>1.13</v>
      </c>
      <c r="K328">
        <v>33.32</v>
      </c>
      <c r="L328">
        <v>31.8</v>
      </c>
      <c r="M328">
        <v>31.97</v>
      </c>
      <c r="N328">
        <v>32.05</v>
      </c>
    </row>
    <row r="329" spans="1:14">
      <c r="A329" t="s">
        <v>341</v>
      </c>
      <c r="B329">
        <f>TEXT(600733,"000000")</f>
        <v>0</v>
      </c>
      <c r="C329">
        <v>5.5</v>
      </c>
      <c r="D329">
        <f>TEXT(0.0377,"0.00%")</f>
        <v>0</v>
      </c>
      <c r="E329">
        <v>52955407</v>
      </c>
      <c r="F329">
        <v>288823774</v>
      </c>
      <c r="G329">
        <f>TEXT(0.0868,"0.00%")</f>
        <v>0</v>
      </c>
      <c r="H329">
        <f>TEXT(0.013500000000000002,"0.00%")</f>
        <v>0</v>
      </c>
      <c r="I329">
        <v>30654267429</v>
      </c>
      <c r="J329">
        <v>1.76</v>
      </c>
      <c r="K329">
        <v>5.67</v>
      </c>
      <c r="L329">
        <v>5.21</v>
      </c>
      <c r="M329">
        <v>5.28</v>
      </c>
      <c r="N329">
        <v>5.3</v>
      </c>
    </row>
    <row r="330" spans="1:14">
      <c r="A330" t="s">
        <v>342</v>
      </c>
      <c r="B330">
        <f>TEXT(301165,"000000")</f>
        <v>0</v>
      </c>
      <c r="C330">
        <v>50.9</v>
      </c>
      <c r="D330">
        <f>TEXT(0.0375,"0.00%")</f>
        <v>0</v>
      </c>
      <c r="E330">
        <v>10414899</v>
      </c>
      <c r="F330">
        <v>528531411</v>
      </c>
      <c r="G330">
        <f>TEXT(0.0654,"0.00%")</f>
        <v>0</v>
      </c>
      <c r="H330">
        <f>TEXT(0.16949999999999998,"0.00%")</f>
        <v>0</v>
      </c>
      <c r="I330">
        <v>28920454536</v>
      </c>
      <c r="J330">
        <v>1.35</v>
      </c>
      <c r="K330">
        <v>51.87</v>
      </c>
      <c r="L330">
        <v>48.66</v>
      </c>
      <c r="M330">
        <v>49.72</v>
      </c>
      <c r="N330">
        <v>49.06</v>
      </c>
    </row>
    <row r="331" spans="1:14">
      <c r="A331" t="s">
        <v>343</v>
      </c>
      <c r="B331">
        <f>TEXT(000650,"000000")</f>
        <v>0</v>
      </c>
      <c r="C331">
        <v>6.66</v>
      </c>
      <c r="D331">
        <f>TEXT(0.0374,"0.00%")</f>
        <v>0</v>
      </c>
      <c r="E331">
        <v>49433243</v>
      </c>
      <c r="F331">
        <v>325847573</v>
      </c>
      <c r="G331">
        <f>TEXT(0.0545,"0.00%")</f>
        <v>0</v>
      </c>
      <c r="H331">
        <f>TEXT(0.0368,"0.00%")</f>
        <v>0</v>
      </c>
      <c r="I331">
        <v>9323588638</v>
      </c>
      <c r="J331">
        <v>1.36</v>
      </c>
      <c r="K331">
        <v>6.74</v>
      </c>
      <c r="L331">
        <v>6.39</v>
      </c>
      <c r="M331">
        <v>6.41</v>
      </c>
      <c r="N331">
        <v>6.42</v>
      </c>
    </row>
    <row r="332" spans="1:14">
      <c r="A332" t="s">
        <v>344</v>
      </c>
      <c r="B332">
        <f>TEXT(300657,"000000")</f>
        <v>0</v>
      </c>
      <c r="C332">
        <v>15.29</v>
      </c>
      <c r="D332">
        <f>TEXT(0.0373,"0.00%")</f>
        <v>0</v>
      </c>
      <c r="E332">
        <v>27364134</v>
      </c>
      <c r="F332">
        <v>414764934</v>
      </c>
      <c r="G332">
        <f>TEXT(0.06849999999999999,"0.00%")</f>
        <v>0</v>
      </c>
      <c r="H332">
        <f>TEXT(0.061399999999999996,"0.00%")</f>
        <v>0</v>
      </c>
      <c r="I332">
        <v>7467789756</v>
      </c>
      <c r="J332">
        <v>1.93</v>
      </c>
      <c r="K332">
        <v>15.57</v>
      </c>
      <c r="L332">
        <v>14.56</v>
      </c>
      <c r="M332">
        <v>14.84</v>
      </c>
      <c r="N332">
        <v>14.74</v>
      </c>
    </row>
    <row r="333" spans="1:14">
      <c r="A333" t="s">
        <v>345</v>
      </c>
      <c r="B333">
        <f>TEXT(300707,"000000")</f>
        <v>0</v>
      </c>
      <c r="C333">
        <v>15</v>
      </c>
      <c r="D333">
        <f>TEXT(0.0373,"0.00%")</f>
        <v>0</v>
      </c>
      <c r="E333">
        <v>16087180</v>
      </c>
      <c r="F333">
        <v>242846788</v>
      </c>
      <c r="G333">
        <f>TEXT(0.1093,"0.00%")</f>
        <v>0</v>
      </c>
      <c r="H333">
        <f>TEXT(0.1301,"0.00%")</f>
        <v>0</v>
      </c>
      <c r="I333">
        <v>2354862345</v>
      </c>
      <c r="J333">
        <v>6.23</v>
      </c>
      <c r="K333">
        <v>15.79</v>
      </c>
      <c r="L333">
        <v>14.21</v>
      </c>
      <c r="M333">
        <v>14.37</v>
      </c>
      <c r="N333">
        <v>14.46</v>
      </c>
    </row>
    <row r="334" spans="1:14">
      <c r="A334" t="s">
        <v>346</v>
      </c>
      <c r="B334">
        <f>TEXT(600498,"000000")</f>
        <v>0</v>
      </c>
      <c r="C334">
        <v>18.37</v>
      </c>
      <c r="D334">
        <f>TEXT(0.0373,"0.00%")</f>
        <v>0</v>
      </c>
      <c r="E334">
        <v>20680464</v>
      </c>
      <c r="F334">
        <v>375618699</v>
      </c>
      <c r="G334">
        <f>TEXT(0.049100000000000005,"0.00%")</f>
        <v>0</v>
      </c>
      <c r="H334">
        <f>TEXT(0.0183,"0.00%")</f>
        <v>0</v>
      </c>
      <c r="I334">
        <v>21797190526</v>
      </c>
      <c r="J334">
        <v>1.35</v>
      </c>
      <c r="K334">
        <v>18.5</v>
      </c>
      <c r="L334">
        <v>17.63</v>
      </c>
      <c r="M334">
        <v>17.69</v>
      </c>
      <c r="N334">
        <v>17.71</v>
      </c>
    </row>
    <row r="335" spans="1:14">
      <c r="A335" t="s">
        <v>347</v>
      </c>
      <c r="B335">
        <f>TEXT(002156,"000000")</f>
        <v>0</v>
      </c>
      <c r="C335">
        <v>22.01</v>
      </c>
      <c r="D335">
        <f>TEXT(0.037200000000000004,"0.00%")</f>
        <v>0</v>
      </c>
      <c r="E335">
        <v>86344212</v>
      </c>
      <c r="F335">
        <v>1893938128</v>
      </c>
      <c r="G335">
        <f>TEXT(0.0679,"0.00%")</f>
        <v>0</v>
      </c>
      <c r="H335">
        <f>TEXT(0.0571,"0.00%")</f>
        <v>0</v>
      </c>
      <c r="I335">
        <v>33306338644</v>
      </c>
      <c r="J335">
        <v>1.4</v>
      </c>
      <c r="K335">
        <v>22.5</v>
      </c>
      <c r="L335">
        <v>21.06</v>
      </c>
      <c r="M335">
        <v>21.15</v>
      </c>
      <c r="N335">
        <v>21.22</v>
      </c>
    </row>
    <row r="336" spans="1:14">
      <c r="A336" t="s">
        <v>348</v>
      </c>
      <c r="B336">
        <f>TEXT(002338,"000000")</f>
        <v>0</v>
      </c>
      <c r="C336">
        <v>32.1</v>
      </c>
      <c r="D336">
        <f>TEXT(0.037200000000000004,"0.00%")</f>
        <v>0</v>
      </c>
      <c r="E336">
        <v>7890007</v>
      </c>
      <c r="F336">
        <v>251272399</v>
      </c>
      <c r="G336">
        <f>TEXT(0.046799999999999994,"0.00%")</f>
        <v>0</v>
      </c>
      <c r="H336">
        <f>TEXT(0.0329,"0.00%")</f>
        <v>0</v>
      </c>
      <c r="I336">
        <v>7704000000</v>
      </c>
      <c r="J336">
        <v>1.01</v>
      </c>
      <c r="K336">
        <v>32.4</v>
      </c>
      <c r="L336">
        <v>30.95</v>
      </c>
      <c r="M336">
        <v>31.17</v>
      </c>
      <c r="N336">
        <v>30.95</v>
      </c>
    </row>
    <row r="337" spans="1:14">
      <c r="A337" t="s">
        <v>349</v>
      </c>
      <c r="B337">
        <f>TEXT(300025,"000000")</f>
        <v>0</v>
      </c>
      <c r="C337">
        <v>10.05</v>
      </c>
      <c r="D337">
        <f>TEXT(0.037200000000000004,"0.00%")</f>
        <v>0</v>
      </c>
      <c r="E337">
        <v>16686700</v>
      </c>
      <c r="F337">
        <v>163850976</v>
      </c>
      <c r="G337">
        <f>TEXT(0.0702,"0.00%")</f>
        <v>0</v>
      </c>
      <c r="H337">
        <f>TEXT(0.038900000000000004,"0.00%")</f>
        <v>0</v>
      </c>
      <c r="I337">
        <v>5061688148</v>
      </c>
      <c r="J337">
        <v>0.86</v>
      </c>
      <c r="K337">
        <v>10.1</v>
      </c>
      <c r="L337">
        <v>9.42</v>
      </c>
      <c r="M337">
        <v>9.51</v>
      </c>
      <c r="N337">
        <v>9.69</v>
      </c>
    </row>
    <row r="338" spans="1:14">
      <c r="A338" t="s">
        <v>350</v>
      </c>
      <c r="B338">
        <f>TEXT(601607,"000000")</f>
        <v>0</v>
      </c>
      <c r="C338">
        <v>22.6</v>
      </c>
      <c r="D338">
        <f>TEXT(0.037200000000000004,"0.00%")</f>
        <v>0</v>
      </c>
      <c r="E338">
        <v>13946583</v>
      </c>
      <c r="F338">
        <v>311881890</v>
      </c>
      <c r="G338">
        <f>TEXT(0.051399999999999994,"0.00%")</f>
        <v>0</v>
      </c>
      <c r="H338">
        <f>TEXT(0.0072,"0.00%")</f>
        <v>0</v>
      </c>
      <c r="I338">
        <v>83622623588</v>
      </c>
      <c r="J338">
        <v>1.13</v>
      </c>
      <c r="K338">
        <v>22.75</v>
      </c>
      <c r="L338">
        <v>21.63</v>
      </c>
      <c r="M338">
        <v>21.87</v>
      </c>
      <c r="N338">
        <v>21.79</v>
      </c>
    </row>
    <row r="339" spans="1:14">
      <c r="A339" t="s">
        <v>351</v>
      </c>
      <c r="B339">
        <f>TEXT(688030,"000000")</f>
        <v>0</v>
      </c>
      <c r="C339">
        <v>22.14</v>
      </c>
      <c r="D339">
        <f>TEXT(0.037000000000000005,"0.00%")</f>
        <v>0</v>
      </c>
      <c r="E339">
        <v>1217923</v>
      </c>
      <c r="F339">
        <v>26731146</v>
      </c>
      <c r="G339">
        <f>TEXT(0.0487,"0.00%")</f>
        <v>0</v>
      </c>
      <c r="H339">
        <f>TEXT(0.0068000000000000005,"0.00%")</f>
        <v>0</v>
      </c>
      <c r="I339">
        <v>3990267226</v>
      </c>
      <c r="J339">
        <v>1.2</v>
      </c>
      <c r="K339">
        <v>22.29</v>
      </c>
      <c r="L339">
        <v>21.25</v>
      </c>
      <c r="M339">
        <v>21.38</v>
      </c>
      <c r="N339">
        <v>21.35</v>
      </c>
    </row>
    <row r="340" spans="1:14">
      <c r="A340" t="s">
        <v>352</v>
      </c>
      <c r="B340">
        <f>TEXT(300074,"000000")</f>
        <v>0</v>
      </c>
      <c r="C340">
        <v>4.23</v>
      </c>
      <c r="D340">
        <f>TEXT(0.0368,"0.00%")</f>
        <v>0</v>
      </c>
      <c r="E340">
        <v>14882602</v>
      </c>
      <c r="F340">
        <v>62146638</v>
      </c>
      <c r="G340">
        <f>TEXT(0.051500000000000004,"0.00%")</f>
        <v>0</v>
      </c>
      <c r="H340">
        <f>TEXT(0.0281,"0.00%")</f>
        <v>0</v>
      </c>
      <c r="I340">
        <v>2246218407</v>
      </c>
      <c r="J340">
        <v>1.53</v>
      </c>
      <c r="K340">
        <v>4.25</v>
      </c>
      <c r="L340">
        <v>4.04</v>
      </c>
      <c r="M340">
        <v>4.07</v>
      </c>
      <c r="N340">
        <v>4.08</v>
      </c>
    </row>
    <row r="341" spans="1:14">
      <c r="A341" t="s">
        <v>353</v>
      </c>
      <c r="B341">
        <f>TEXT(300415,"000000")</f>
        <v>0</v>
      </c>
      <c r="C341">
        <v>18.36</v>
      </c>
      <c r="D341">
        <f>TEXT(0.036699999999999997,"0.00%")</f>
        <v>0</v>
      </c>
      <c r="E341">
        <v>9061307</v>
      </c>
      <c r="F341">
        <v>163562422</v>
      </c>
      <c r="G341">
        <f>TEXT(0.0599,"0.00%")</f>
        <v>0</v>
      </c>
      <c r="H341">
        <f>TEXT(0.0215,"0.00%")</f>
        <v>0</v>
      </c>
      <c r="I341">
        <v>8603626062</v>
      </c>
      <c r="J341">
        <v>1.78</v>
      </c>
      <c r="K341">
        <v>18.42</v>
      </c>
      <c r="L341">
        <v>17.36</v>
      </c>
      <c r="M341">
        <v>17.64</v>
      </c>
      <c r="N341">
        <v>17.71</v>
      </c>
    </row>
    <row r="342" spans="1:14">
      <c r="A342" t="s">
        <v>354</v>
      </c>
      <c r="B342">
        <f>TEXT(300290,"000000")</f>
        <v>0</v>
      </c>
      <c r="C342">
        <v>4.8</v>
      </c>
      <c r="D342">
        <f>TEXT(0.036699999999999997,"0.00%")</f>
        <v>0</v>
      </c>
      <c r="E342">
        <v>14060500</v>
      </c>
      <c r="F342">
        <v>66836871</v>
      </c>
      <c r="G342">
        <f>TEXT(0.049699999999999994,"0.00%")</f>
        <v>0</v>
      </c>
      <c r="H342">
        <f>TEXT(0.022000000000000002,"0.00%")</f>
        <v>0</v>
      </c>
      <c r="I342">
        <v>3074676331</v>
      </c>
      <c r="J342">
        <v>1.24</v>
      </c>
      <c r="K342">
        <v>4.85</v>
      </c>
      <c r="L342">
        <v>4.62</v>
      </c>
      <c r="M342">
        <v>4.63</v>
      </c>
      <c r="N342">
        <v>4.63</v>
      </c>
    </row>
    <row r="343" spans="1:14">
      <c r="A343" t="s">
        <v>355</v>
      </c>
      <c r="B343">
        <f>TEXT(002045,"000000")</f>
        <v>0</v>
      </c>
      <c r="C343">
        <v>16.66</v>
      </c>
      <c r="D343">
        <f>TEXT(0.036699999999999997,"0.00%")</f>
        <v>0</v>
      </c>
      <c r="E343">
        <v>39092644</v>
      </c>
      <c r="F343">
        <v>641099344</v>
      </c>
      <c r="G343">
        <f>TEXT(0.0591,"0.00%")</f>
        <v>0</v>
      </c>
      <c r="H343">
        <f>TEXT(0.0836,"0.00%")</f>
        <v>0</v>
      </c>
      <c r="I343">
        <v>7803275990</v>
      </c>
      <c r="J343">
        <v>1.09</v>
      </c>
      <c r="K343">
        <v>16.78</v>
      </c>
      <c r="L343">
        <v>15.83</v>
      </c>
      <c r="M343">
        <v>15.94</v>
      </c>
      <c r="N343">
        <v>16.07</v>
      </c>
    </row>
    <row r="344" spans="1:14">
      <c r="A344" t="s">
        <v>356</v>
      </c>
      <c r="B344">
        <f>TEXT(300292,"000000")</f>
        <v>0</v>
      </c>
      <c r="C344">
        <v>3.95</v>
      </c>
      <c r="D344">
        <f>TEXT(0.036699999999999997,"0.00%")</f>
        <v>0</v>
      </c>
      <c r="E344">
        <v>93212836</v>
      </c>
      <c r="F344">
        <v>369566614</v>
      </c>
      <c r="G344">
        <f>TEXT(0.084,"0.00%")</f>
        <v>0</v>
      </c>
      <c r="H344">
        <f>TEXT(0.08349999999999999,"0.00%")</f>
        <v>0</v>
      </c>
      <c r="I344">
        <v>5299971647</v>
      </c>
      <c r="J344">
        <v>1.71</v>
      </c>
      <c r="K344">
        <v>4.08</v>
      </c>
      <c r="L344">
        <v>3.76</v>
      </c>
      <c r="M344">
        <v>3.78</v>
      </c>
      <c r="N344">
        <v>3.81</v>
      </c>
    </row>
    <row r="345" spans="1:14">
      <c r="A345" t="s">
        <v>357</v>
      </c>
      <c r="B345">
        <f>TEXT(002401,"000000")</f>
        <v>0</v>
      </c>
      <c r="C345">
        <v>23.47</v>
      </c>
      <c r="D345">
        <f>TEXT(0.036699999999999997,"0.00%")</f>
        <v>0</v>
      </c>
      <c r="E345">
        <v>24689233</v>
      </c>
      <c r="F345">
        <v>576869677</v>
      </c>
      <c r="G345">
        <f>TEXT(0.0676,"0.00%")</f>
        <v>0</v>
      </c>
      <c r="H345">
        <f>TEXT(0.06709999999999999,"0.00%")</f>
        <v>0</v>
      </c>
      <c r="I345">
        <v>8728600023</v>
      </c>
      <c r="J345">
        <v>1</v>
      </c>
      <c r="K345">
        <v>23.88</v>
      </c>
      <c r="L345">
        <v>22.35</v>
      </c>
      <c r="M345">
        <v>22.35</v>
      </c>
      <c r="N345">
        <v>22.64</v>
      </c>
    </row>
    <row r="346" spans="1:14">
      <c r="A346" t="s">
        <v>358</v>
      </c>
      <c r="B346">
        <f>TEXT(600845,"000000")</f>
        <v>0</v>
      </c>
      <c r="C346">
        <v>55.19</v>
      </c>
      <c r="D346">
        <f>TEXT(0.0366,"0.00%")</f>
        <v>0</v>
      </c>
      <c r="E346">
        <v>6273168</v>
      </c>
      <c r="F346">
        <v>342273880</v>
      </c>
      <c r="G346">
        <f>TEXT(0.0558,"0.00%")</f>
        <v>0</v>
      </c>
      <c r="H346">
        <f>TEXT(0.0043,"0.00%")</f>
        <v>0</v>
      </c>
      <c r="I346">
        <v>110499143123</v>
      </c>
      <c r="J346">
        <v>1.83</v>
      </c>
      <c r="K346">
        <v>55.49</v>
      </c>
      <c r="L346">
        <v>52.52</v>
      </c>
      <c r="M346">
        <v>52.52</v>
      </c>
      <c r="N346">
        <v>53.24</v>
      </c>
    </row>
    <row r="347" spans="1:14">
      <c r="A347" t="s">
        <v>359</v>
      </c>
      <c r="B347">
        <f>TEXT(000977,"000000")</f>
        <v>0</v>
      </c>
      <c r="C347">
        <v>41.38</v>
      </c>
      <c r="D347">
        <f>TEXT(0.0366,"0.00%")</f>
        <v>0</v>
      </c>
      <c r="E347">
        <v>135871266</v>
      </c>
      <c r="F347">
        <v>5616717636</v>
      </c>
      <c r="G347">
        <f>TEXT(0.0451,"0.00%")</f>
        <v>0</v>
      </c>
      <c r="H347">
        <f>TEXT(0.09300000000000001,"0.00%")</f>
        <v>0</v>
      </c>
      <c r="I347">
        <v>60568299772</v>
      </c>
      <c r="J347">
        <v>1.24</v>
      </c>
      <c r="K347">
        <v>41.98</v>
      </c>
      <c r="L347">
        <v>40.18</v>
      </c>
      <c r="M347">
        <v>40.45</v>
      </c>
      <c r="N347">
        <v>39.92</v>
      </c>
    </row>
    <row r="348" spans="1:14">
      <c r="A348" t="s">
        <v>360</v>
      </c>
      <c r="B348">
        <f>TEXT(600664,"000000")</f>
        <v>0</v>
      </c>
      <c r="C348">
        <v>3.68</v>
      </c>
      <c r="D348">
        <f>TEXT(0.0366,"0.00%")</f>
        <v>0</v>
      </c>
      <c r="E348">
        <v>62027359</v>
      </c>
      <c r="F348">
        <v>227109751</v>
      </c>
      <c r="G348">
        <f>TEXT(0.062,"0.00%")</f>
        <v>0</v>
      </c>
      <c r="H348">
        <f>TEXT(0.0246,"0.00%")</f>
        <v>0</v>
      </c>
      <c r="I348">
        <v>9287617399</v>
      </c>
      <c r="J348">
        <v>0.86</v>
      </c>
      <c r="K348">
        <v>3.75</v>
      </c>
      <c r="L348">
        <v>3.53</v>
      </c>
      <c r="M348">
        <v>3.55</v>
      </c>
      <c r="N348">
        <v>3.55</v>
      </c>
    </row>
    <row r="349" spans="1:14">
      <c r="A349" t="s">
        <v>361</v>
      </c>
      <c r="B349">
        <f>TEXT(300638,"000000")</f>
        <v>0</v>
      </c>
      <c r="C349">
        <v>25.59</v>
      </c>
      <c r="D349">
        <f>TEXT(0.0365,"0.00%")</f>
        <v>0</v>
      </c>
      <c r="E349">
        <v>22319319</v>
      </c>
      <c r="F349">
        <v>568863335</v>
      </c>
      <c r="G349">
        <f>TEXT(0.0608,"0.00%")</f>
        <v>0</v>
      </c>
      <c r="H349">
        <f>TEXT(0.054400000000000004,"0.00%")</f>
        <v>0</v>
      </c>
      <c r="I349">
        <v>16157724552</v>
      </c>
      <c r="J349">
        <v>1.02</v>
      </c>
      <c r="K349">
        <v>25.95</v>
      </c>
      <c r="L349">
        <v>24.45</v>
      </c>
      <c r="M349">
        <v>24.71</v>
      </c>
      <c r="N349">
        <v>24.69</v>
      </c>
    </row>
    <row r="350" spans="1:14">
      <c r="A350" t="s">
        <v>362</v>
      </c>
      <c r="B350">
        <f>TEXT(002131,"000000")</f>
        <v>0</v>
      </c>
      <c r="C350">
        <v>2.27</v>
      </c>
      <c r="D350">
        <f>TEXT(0.0365,"0.00%")</f>
        <v>0</v>
      </c>
      <c r="E350">
        <v>147792612</v>
      </c>
      <c r="F350">
        <v>331522262</v>
      </c>
      <c r="G350">
        <f>TEXT(0.045700000000000005,"0.00%")</f>
        <v>0</v>
      </c>
      <c r="H350">
        <f>TEXT(0.0253,"0.00%")</f>
        <v>0</v>
      </c>
      <c r="I350">
        <v>15333405545</v>
      </c>
      <c r="J350">
        <v>1.25</v>
      </c>
      <c r="K350">
        <v>2.29</v>
      </c>
      <c r="L350">
        <v>2.19</v>
      </c>
      <c r="M350">
        <v>2.21</v>
      </c>
      <c r="N350">
        <v>2.19</v>
      </c>
    </row>
    <row r="351" spans="1:14">
      <c r="A351" t="s">
        <v>363</v>
      </c>
      <c r="B351">
        <f>TEXT(688072,"000000")</f>
        <v>0</v>
      </c>
      <c r="C351">
        <v>407.23</v>
      </c>
      <c r="D351">
        <f>TEXT(0.0365,"0.00%")</f>
        <v>0</v>
      </c>
      <c r="E351">
        <v>1637337</v>
      </c>
      <c r="F351">
        <v>663554864</v>
      </c>
      <c r="G351">
        <f>TEXT(0.0526,"0.00%")</f>
        <v>0</v>
      </c>
      <c r="H351">
        <f>TEXT(0.023799999999999998,"0.00%")</f>
        <v>0</v>
      </c>
      <c r="I351">
        <v>51505960502</v>
      </c>
      <c r="J351">
        <v>1.3</v>
      </c>
      <c r="K351">
        <v>411.75</v>
      </c>
      <c r="L351">
        <v>391.1</v>
      </c>
      <c r="M351">
        <v>396.2</v>
      </c>
      <c r="N351">
        <v>392.9</v>
      </c>
    </row>
    <row r="352" spans="1:14">
      <c r="A352" t="s">
        <v>364</v>
      </c>
      <c r="B352">
        <f>TEXT(301231,"000000")</f>
        <v>0</v>
      </c>
      <c r="C352">
        <v>35.61</v>
      </c>
      <c r="D352">
        <f>TEXT(0.0364,"0.00%")</f>
        <v>0</v>
      </c>
      <c r="E352">
        <v>8291183</v>
      </c>
      <c r="F352">
        <v>293889093</v>
      </c>
      <c r="G352">
        <f>TEXT(0.0632,"0.00%")</f>
        <v>0</v>
      </c>
      <c r="H352">
        <f>TEXT(0.39289999999999997,"0.00%")</f>
        <v>0</v>
      </c>
      <c r="I352">
        <v>3005484000</v>
      </c>
      <c r="J352">
        <v>1.05</v>
      </c>
      <c r="K352">
        <v>36.21</v>
      </c>
      <c r="L352">
        <v>34.04</v>
      </c>
      <c r="M352">
        <v>34.38</v>
      </c>
      <c r="N352">
        <v>34.36</v>
      </c>
    </row>
    <row r="353" spans="1:14">
      <c r="A353" t="s">
        <v>365</v>
      </c>
      <c r="B353">
        <f>TEXT(605588,"000000")</f>
        <v>0</v>
      </c>
      <c r="C353">
        <v>37.93</v>
      </c>
      <c r="D353">
        <f>TEXT(0.0363,"0.00%")</f>
        <v>0</v>
      </c>
      <c r="E353">
        <v>1305732</v>
      </c>
      <c r="F353">
        <v>49083678</v>
      </c>
      <c r="G353">
        <f>TEXT(0.0555,"0.00%")</f>
        <v>0</v>
      </c>
      <c r="H353">
        <f>TEXT(0.0565,"0.00%")</f>
        <v>0</v>
      </c>
      <c r="I353">
        <v>2772666348</v>
      </c>
      <c r="J353">
        <v>1.69</v>
      </c>
      <c r="K353">
        <v>38.2</v>
      </c>
      <c r="L353">
        <v>36.17</v>
      </c>
      <c r="M353">
        <v>36.65</v>
      </c>
      <c r="N353">
        <v>36.6</v>
      </c>
    </row>
    <row r="354" spans="1:14">
      <c r="A354" t="s">
        <v>366</v>
      </c>
      <c r="B354">
        <f>TEXT(600382,"000000")</f>
        <v>0</v>
      </c>
      <c r="C354">
        <v>5.43</v>
      </c>
      <c r="D354">
        <f>TEXT(0.0363,"0.00%")</f>
        <v>0</v>
      </c>
      <c r="E354">
        <v>7668210</v>
      </c>
      <c r="F354">
        <v>40635580</v>
      </c>
      <c r="G354">
        <f>TEXT(0.04769999999999999,"0.00%")</f>
        <v>0</v>
      </c>
      <c r="H354">
        <f>TEXT(0.0097,"0.00%")</f>
        <v>0</v>
      </c>
      <c r="I354">
        <v>4283910615</v>
      </c>
      <c r="J354">
        <v>1.32</v>
      </c>
      <c r="K354">
        <v>5.44</v>
      </c>
      <c r="L354">
        <v>5.19</v>
      </c>
      <c r="M354">
        <v>5.22</v>
      </c>
      <c r="N354">
        <v>5.24</v>
      </c>
    </row>
    <row r="355" spans="1:14">
      <c r="A355" t="s">
        <v>367</v>
      </c>
      <c r="B355">
        <f>TEXT(002393,"000000")</f>
        <v>0</v>
      </c>
      <c r="C355">
        <v>25.66</v>
      </c>
      <c r="D355">
        <f>TEXT(0.0363,"0.00%")</f>
        <v>0</v>
      </c>
      <c r="E355">
        <v>3000312</v>
      </c>
      <c r="F355">
        <v>75982645</v>
      </c>
      <c r="G355">
        <f>TEXT(0.0412,"0.00%")</f>
        <v>0</v>
      </c>
      <c r="H355">
        <f>TEXT(0.016399999999999998,"0.00%")</f>
        <v>0</v>
      </c>
      <c r="I355">
        <v>4721260174</v>
      </c>
      <c r="J355">
        <v>2.71</v>
      </c>
      <c r="K355">
        <v>25.7</v>
      </c>
      <c r="L355">
        <v>24.68</v>
      </c>
      <c r="M355">
        <v>24.9</v>
      </c>
      <c r="N355">
        <v>24.76</v>
      </c>
    </row>
    <row r="356" spans="1:14">
      <c r="A356" t="s">
        <v>368</v>
      </c>
      <c r="B356">
        <f>TEXT(000403,"000000")</f>
        <v>0</v>
      </c>
      <c r="C356">
        <v>22.02</v>
      </c>
      <c r="D356">
        <f>TEXT(0.0362,"0.00%")</f>
        <v>0</v>
      </c>
      <c r="E356">
        <v>5472739</v>
      </c>
      <c r="F356">
        <v>119526011</v>
      </c>
      <c r="G356">
        <f>TEXT(0.048499999999999995,"0.00%")</f>
        <v>0</v>
      </c>
      <c r="H356">
        <f>TEXT(0.0086,"0.00%")</f>
        <v>0</v>
      </c>
      <c r="I356">
        <v>16132792077</v>
      </c>
      <c r="J356">
        <v>1.82</v>
      </c>
      <c r="K356">
        <v>22.3</v>
      </c>
      <c r="L356">
        <v>21.27</v>
      </c>
      <c r="M356">
        <v>21.38</v>
      </c>
      <c r="N356">
        <v>21.25</v>
      </c>
    </row>
    <row r="357" spans="1:14">
      <c r="A357" t="s">
        <v>369</v>
      </c>
      <c r="B357">
        <f>TEXT(300275,"000000")</f>
        <v>0</v>
      </c>
      <c r="C357">
        <v>22.05</v>
      </c>
      <c r="D357">
        <f>TEXT(0.0362,"0.00%")</f>
        <v>0</v>
      </c>
      <c r="E357">
        <v>7202536</v>
      </c>
      <c r="F357">
        <v>158165724</v>
      </c>
      <c r="G357">
        <f>TEXT(0.0663,"0.00%")</f>
        <v>0</v>
      </c>
      <c r="H357">
        <f>TEXT(0.0467,"0.00%")</f>
        <v>0</v>
      </c>
      <c r="I357">
        <v>4147873017</v>
      </c>
      <c r="J357">
        <v>0.96</v>
      </c>
      <c r="K357">
        <v>22.44</v>
      </c>
      <c r="L357">
        <v>21.03</v>
      </c>
      <c r="M357">
        <v>21.31</v>
      </c>
      <c r="N357">
        <v>21.28</v>
      </c>
    </row>
    <row r="358" spans="1:14">
      <c r="A358" t="s">
        <v>370</v>
      </c>
      <c r="B358">
        <f>TEXT(002281,"000000")</f>
        <v>0</v>
      </c>
      <c r="C358">
        <v>27</v>
      </c>
      <c r="D358">
        <f>TEXT(0.0361,"0.00%")</f>
        <v>0</v>
      </c>
      <c r="E358">
        <v>51376546</v>
      </c>
      <c r="F358">
        <v>1383350742</v>
      </c>
      <c r="G358">
        <f>TEXT(0.08560000000000001,"0.00%")</f>
        <v>0</v>
      </c>
      <c r="H358">
        <f>TEXT(0.0755,"0.00%")</f>
        <v>0</v>
      </c>
      <c r="I358">
        <v>21140410104</v>
      </c>
      <c r="J358">
        <v>1.31</v>
      </c>
      <c r="K358">
        <v>27.74</v>
      </c>
      <c r="L358">
        <v>25.51</v>
      </c>
      <c r="M358">
        <v>25.66</v>
      </c>
      <c r="N358">
        <v>26.06</v>
      </c>
    </row>
    <row r="359" spans="1:14">
      <c r="A359" t="s">
        <v>371</v>
      </c>
      <c r="B359">
        <f>TEXT(688318,"000000")</f>
        <v>0</v>
      </c>
      <c r="C359">
        <v>147.03</v>
      </c>
      <c r="D359">
        <f>TEXT(0.0358,"0.00%")</f>
        <v>0</v>
      </c>
      <c r="E359">
        <v>1914819</v>
      </c>
      <c r="F359">
        <v>278346172</v>
      </c>
      <c r="G359">
        <f>TEXT(0.08810000000000001,"0.00%")</f>
        <v>0</v>
      </c>
      <c r="H359">
        <f>TEXT(0.020499999999999997,"0.00%")</f>
        <v>0</v>
      </c>
      <c r="I359">
        <v>13723486140</v>
      </c>
      <c r="J359">
        <v>1.79</v>
      </c>
      <c r="K359">
        <v>151</v>
      </c>
      <c r="L359">
        <v>138.5</v>
      </c>
      <c r="M359">
        <v>142.38</v>
      </c>
      <c r="N359">
        <v>141.95</v>
      </c>
    </row>
    <row r="360" spans="1:14">
      <c r="A360" t="s">
        <v>372</v>
      </c>
      <c r="B360">
        <f>TEXT(002328,"000000")</f>
        <v>0</v>
      </c>
      <c r="C360">
        <v>5.81</v>
      </c>
      <c r="D360">
        <f>TEXT(0.035699999999999996,"0.00%")</f>
        <v>0</v>
      </c>
      <c r="E360">
        <v>16796532</v>
      </c>
      <c r="F360">
        <v>96423689</v>
      </c>
      <c r="G360">
        <f>TEXT(0.060599999999999994,"0.00%")</f>
        <v>0</v>
      </c>
      <c r="H360">
        <f>TEXT(0.0297,"0.00%")</f>
        <v>0</v>
      </c>
      <c r="I360">
        <v>4483983700</v>
      </c>
      <c r="J360">
        <v>2.49</v>
      </c>
      <c r="K360">
        <v>5.88</v>
      </c>
      <c r="L360">
        <v>5.54</v>
      </c>
      <c r="M360">
        <v>5.61</v>
      </c>
      <c r="N360">
        <v>5.61</v>
      </c>
    </row>
    <row r="361" spans="1:14">
      <c r="A361" t="s">
        <v>373</v>
      </c>
      <c r="B361">
        <f>TEXT(688099,"000000")</f>
        <v>0</v>
      </c>
      <c r="C361">
        <v>84.59999999999999</v>
      </c>
      <c r="D361">
        <f>TEXT(0.0355,"0.00%")</f>
        <v>0</v>
      </c>
      <c r="E361">
        <v>4057057</v>
      </c>
      <c r="F361">
        <v>331785430</v>
      </c>
      <c r="G361">
        <f>TEXT(0.0662,"0.00%")</f>
        <v>0</v>
      </c>
      <c r="H361">
        <f>TEXT(0.0098,"0.00%")</f>
        <v>0</v>
      </c>
      <c r="I361">
        <v>35131300813</v>
      </c>
      <c r="J361">
        <v>0.9</v>
      </c>
      <c r="K361">
        <v>85.41</v>
      </c>
      <c r="L361">
        <v>80</v>
      </c>
      <c r="M361">
        <v>82.51000000000001</v>
      </c>
      <c r="N361">
        <v>81.7</v>
      </c>
    </row>
    <row r="362" spans="1:14">
      <c r="A362" t="s">
        <v>374</v>
      </c>
      <c r="B362">
        <f>TEXT(300660,"000000")</f>
        <v>0</v>
      </c>
      <c r="C362">
        <v>33.24</v>
      </c>
      <c r="D362">
        <f>TEXT(0.0355,"0.00%")</f>
        <v>0</v>
      </c>
      <c r="E362">
        <v>11608522</v>
      </c>
      <c r="F362">
        <v>380068150</v>
      </c>
      <c r="G362">
        <f>TEXT(0.061399999999999996,"0.00%")</f>
        <v>0</v>
      </c>
      <c r="H362">
        <f>TEXT(0.0443,"0.00%")</f>
        <v>0</v>
      </c>
      <c r="I362">
        <v>8713159184</v>
      </c>
      <c r="J362">
        <v>0.87</v>
      </c>
      <c r="K362">
        <v>33.48</v>
      </c>
      <c r="L362">
        <v>31.51</v>
      </c>
      <c r="M362">
        <v>31.61</v>
      </c>
      <c r="N362">
        <v>32.1</v>
      </c>
    </row>
    <row r="363" spans="1:14">
      <c r="A363" t="s">
        <v>375</v>
      </c>
      <c r="B363">
        <f>TEXT(002391,"000000")</f>
        <v>0</v>
      </c>
      <c r="C363">
        <v>7.29</v>
      </c>
      <c r="D363">
        <f>TEXT(0.0355,"0.00%")</f>
        <v>0</v>
      </c>
      <c r="E363">
        <v>6770252</v>
      </c>
      <c r="F363">
        <v>48764251</v>
      </c>
      <c r="G363">
        <f>TEXT(0.0426,"0.00%")</f>
        <v>0</v>
      </c>
      <c r="H363">
        <f>TEXT(0.0146,"0.00%")</f>
        <v>0</v>
      </c>
      <c r="I363">
        <v>4735529689</v>
      </c>
      <c r="J363">
        <v>1.98</v>
      </c>
      <c r="K363">
        <v>7.32</v>
      </c>
      <c r="L363">
        <v>7.02</v>
      </c>
      <c r="M363">
        <v>7.03</v>
      </c>
      <c r="N363">
        <v>7.04</v>
      </c>
    </row>
    <row r="364" spans="1:14">
      <c r="A364" t="s">
        <v>376</v>
      </c>
      <c r="B364">
        <f>TEXT(600594,"000000")</f>
        <v>0</v>
      </c>
      <c r="C364">
        <v>6.12</v>
      </c>
      <c r="D364">
        <f>TEXT(0.0355,"0.00%")</f>
        <v>0</v>
      </c>
      <c r="E364">
        <v>23628995</v>
      </c>
      <c r="F364">
        <v>143102567</v>
      </c>
      <c r="G364">
        <f>TEXT(0.049100000000000005,"0.00%")</f>
        <v>0</v>
      </c>
      <c r="H364">
        <f>TEXT(0.0298,"0.00%")</f>
        <v>0</v>
      </c>
      <c r="I364">
        <v>4846595688</v>
      </c>
      <c r="J364">
        <v>1.2</v>
      </c>
      <c r="K364">
        <v>6.15</v>
      </c>
      <c r="L364">
        <v>5.86</v>
      </c>
      <c r="M364">
        <v>5.89</v>
      </c>
      <c r="N364">
        <v>5.91</v>
      </c>
    </row>
    <row r="365" spans="1:14">
      <c r="A365" t="s">
        <v>377</v>
      </c>
      <c r="B365">
        <f>TEXT(300826,"000000")</f>
        <v>0</v>
      </c>
      <c r="C365">
        <v>14.91</v>
      </c>
      <c r="D365">
        <f>TEXT(0.0354,"0.00%")</f>
        <v>0</v>
      </c>
      <c r="E365">
        <v>10517028</v>
      </c>
      <c r="F365">
        <v>158601792</v>
      </c>
      <c r="G365">
        <f>TEXT(0.075,"0.00%")</f>
        <v>0</v>
      </c>
      <c r="H365">
        <f>TEXT(0.0757,"0.00%")</f>
        <v>0</v>
      </c>
      <c r="I365">
        <v>2170896000</v>
      </c>
      <c r="J365">
        <v>1.89</v>
      </c>
      <c r="K365">
        <v>15.77</v>
      </c>
      <c r="L365">
        <v>14.69</v>
      </c>
      <c r="M365">
        <v>14.69</v>
      </c>
      <c r="N365">
        <v>14.4</v>
      </c>
    </row>
    <row r="366" spans="1:14">
      <c r="A366" t="s">
        <v>378</v>
      </c>
      <c r="B366">
        <f>TEXT(601991,"000000")</f>
        <v>0</v>
      </c>
      <c r="C366">
        <v>3.51</v>
      </c>
      <c r="D366">
        <f>TEXT(0.0354,"0.00%")</f>
        <v>0</v>
      </c>
      <c r="E366">
        <v>145714944</v>
      </c>
      <c r="F366">
        <v>507181532</v>
      </c>
      <c r="G366">
        <f>TEXT(0.0383,"0.00%")</f>
        <v>0</v>
      </c>
      <c r="H366">
        <f>TEXT(0.0118,"0.00%")</f>
        <v>0</v>
      </c>
      <c r="I366">
        <v>64958553869</v>
      </c>
      <c r="J366">
        <v>1.13</v>
      </c>
      <c r="K366">
        <v>3.53</v>
      </c>
      <c r="L366">
        <v>3.4</v>
      </c>
      <c r="M366">
        <v>3.4</v>
      </c>
      <c r="N366">
        <v>3.39</v>
      </c>
    </row>
    <row r="367" spans="1:14">
      <c r="A367" t="s">
        <v>379</v>
      </c>
      <c r="B367">
        <f>TEXT(300084,"000000")</f>
        <v>0</v>
      </c>
      <c r="C367">
        <v>6.46</v>
      </c>
      <c r="D367">
        <f>TEXT(0.0353,"0.00%")</f>
        <v>0</v>
      </c>
      <c r="E367">
        <v>8058480</v>
      </c>
      <c r="F367">
        <v>51244149</v>
      </c>
      <c r="G367">
        <f>TEXT(0.049699999999999994,"0.00%")</f>
        <v>0</v>
      </c>
      <c r="H367">
        <f>TEXT(0.024399999999999998,"0.00%")</f>
        <v>0</v>
      </c>
      <c r="I367">
        <v>2485586667</v>
      </c>
      <c r="J367">
        <v>1.94</v>
      </c>
      <c r="K367">
        <v>6.49</v>
      </c>
      <c r="L367">
        <v>6.18</v>
      </c>
      <c r="M367">
        <v>6.25</v>
      </c>
      <c r="N367">
        <v>6.24</v>
      </c>
    </row>
    <row r="368" spans="1:14">
      <c r="A368" t="s">
        <v>380</v>
      </c>
      <c r="B368">
        <f>TEXT(000566,"000000")</f>
        <v>0</v>
      </c>
      <c r="C368">
        <v>4.99</v>
      </c>
      <c r="D368">
        <f>TEXT(0.0353,"0.00%")</f>
        <v>0</v>
      </c>
      <c r="E368">
        <v>24330244</v>
      </c>
      <c r="F368">
        <v>120017160</v>
      </c>
      <c r="G368">
        <f>TEXT(0.049800000000000004,"0.00%")</f>
        <v>0</v>
      </c>
      <c r="H368">
        <f>TEXT(0.0209,"0.00%")</f>
        <v>0</v>
      </c>
      <c r="I368">
        <v>6473851978</v>
      </c>
      <c r="J368">
        <v>1.02</v>
      </c>
      <c r="K368">
        <v>5.03</v>
      </c>
      <c r="L368">
        <v>4.79</v>
      </c>
      <c r="M368">
        <v>4.83</v>
      </c>
      <c r="N368">
        <v>4.82</v>
      </c>
    </row>
    <row r="369" spans="1:14">
      <c r="A369" t="s">
        <v>381</v>
      </c>
      <c r="B369">
        <f>TEXT(300113,"000000")</f>
        <v>0</v>
      </c>
      <c r="C369">
        <v>14.66</v>
      </c>
      <c r="D369">
        <f>TEXT(0.0353,"0.00%")</f>
        <v>0</v>
      </c>
      <c r="E369">
        <v>24281208</v>
      </c>
      <c r="F369">
        <v>352930603</v>
      </c>
      <c r="G369">
        <f>TEXT(0.0579,"0.00%")</f>
        <v>0</v>
      </c>
      <c r="H369">
        <f>TEXT(0.035,"0.00%")</f>
        <v>0</v>
      </c>
      <c r="I369">
        <v>10178250938</v>
      </c>
      <c r="J369">
        <v>1.07</v>
      </c>
      <c r="K369">
        <v>14.82</v>
      </c>
      <c r="L369">
        <v>14</v>
      </c>
      <c r="M369">
        <v>14.16</v>
      </c>
      <c r="N369">
        <v>14.16</v>
      </c>
    </row>
    <row r="370" spans="1:14">
      <c r="A370" t="s">
        <v>382</v>
      </c>
      <c r="B370">
        <f>TEXT(301169,"000000")</f>
        <v>0</v>
      </c>
      <c r="C370">
        <v>43.8</v>
      </c>
      <c r="D370">
        <f>TEXT(0.0352,"0.00%")</f>
        <v>0</v>
      </c>
      <c r="E370">
        <v>1380235</v>
      </c>
      <c r="F370">
        <v>59877419</v>
      </c>
      <c r="G370">
        <f>TEXT(0.052000000000000005,"0.00%")</f>
        <v>0</v>
      </c>
      <c r="H370">
        <f>TEXT(0.049100000000000005,"0.00%")</f>
        <v>0</v>
      </c>
      <c r="I370">
        <v>3164102101</v>
      </c>
      <c r="J370">
        <v>1.23</v>
      </c>
      <c r="K370">
        <v>44</v>
      </c>
      <c r="L370">
        <v>41.8</v>
      </c>
      <c r="M370">
        <v>42.32</v>
      </c>
      <c r="N370">
        <v>42.31</v>
      </c>
    </row>
    <row r="371" spans="1:14">
      <c r="A371" t="s">
        <v>383</v>
      </c>
      <c r="B371">
        <f>TEXT(002395,"000000")</f>
        <v>0</v>
      </c>
      <c r="C371">
        <v>10.63</v>
      </c>
      <c r="D371">
        <f>TEXT(0.0351,"0.00%")</f>
        <v>0</v>
      </c>
      <c r="E371">
        <v>30096060</v>
      </c>
      <c r="F371">
        <v>317566598</v>
      </c>
      <c r="G371">
        <f>TEXT(0.1285,"0.00%")</f>
        <v>0</v>
      </c>
      <c r="H371">
        <f>TEXT(0.11220000000000001,"0.00%")</f>
        <v>0</v>
      </c>
      <c r="I371">
        <v>2851061670</v>
      </c>
      <c r="J371">
        <v>1.2</v>
      </c>
      <c r="K371">
        <v>11.23</v>
      </c>
      <c r="L371">
        <v>9.91</v>
      </c>
      <c r="M371">
        <v>10.03</v>
      </c>
      <c r="N371">
        <v>10.27</v>
      </c>
    </row>
    <row r="372" spans="1:14">
      <c r="A372" t="s">
        <v>384</v>
      </c>
      <c r="B372">
        <f>TEXT(300599,"000000")</f>
        <v>0</v>
      </c>
      <c r="C372">
        <v>8.25</v>
      </c>
      <c r="D372">
        <f>TEXT(0.0351,"0.00%")</f>
        <v>0</v>
      </c>
      <c r="E372">
        <v>14257780</v>
      </c>
      <c r="F372">
        <v>119306775</v>
      </c>
      <c r="G372">
        <f>TEXT(0.09789999999999999,"0.00%")</f>
        <v>0</v>
      </c>
      <c r="H372">
        <f>TEXT(0.0688,"0.00%")</f>
        <v>0</v>
      </c>
      <c r="I372">
        <v>2954585427</v>
      </c>
      <c r="J372">
        <v>7.87</v>
      </c>
      <c r="K372">
        <v>8.9</v>
      </c>
      <c r="L372">
        <v>8.119999999999999</v>
      </c>
      <c r="M372">
        <v>8.52</v>
      </c>
      <c r="N372">
        <v>7.97</v>
      </c>
    </row>
    <row r="373" spans="1:14">
      <c r="A373" t="s">
        <v>385</v>
      </c>
      <c r="B373">
        <f>TEXT(603728,"000000")</f>
        <v>0</v>
      </c>
      <c r="C373">
        <v>50.72</v>
      </c>
      <c r="D373">
        <f>TEXT(0.0351,"0.00%")</f>
        <v>0</v>
      </c>
      <c r="E373">
        <v>10209830</v>
      </c>
      <c r="F373">
        <v>508584529</v>
      </c>
      <c r="G373">
        <f>TEXT(0.0635,"0.00%")</f>
        <v>0</v>
      </c>
      <c r="H373">
        <f>TEXT(0.024399999999999998,"0.00%")</f>
        <v>0</v>
      </c>
      <c r="I373">
        <v>21305595360</v>
      </c>
      <c r="J373">
        <v>0.53</v>
      </c>
      <c r="K373">
        <v>51.51</v>
      </c>
      <c r="L373">
        <v>48.4</v>
      </c>
      <c r="M373">
        <v>48.64</v>
      </c>
      <c r="N373">
        <v>49</v>
      </c>
    </row>
    <row r="374" spans="1:14">
      <c r="A374" t="s">
        <v>386</v>
      </c>
      <c r="B374">
        <f>TEXT(300856,"000000")</f>
        <v>0</v>
      </c>
      <c r="C374">
        <v>75.81</v>
      </c>
      <c r="D374">
        <f>TEXT(0.0349,"0.00%")</f>
        <v>0</v>
      </c>
      <c r="E374">
        <v>2007159</v>
      </c>
      <c r="F374">
        <v>150020165</v>
      </c>
      <c r="G374">
        <f>TEXT(0.055,"0.00%")</f>
        <v>0</v>
      </c>
      <c r="H374">
        <f>TEXT(0.034,"0.00%")</f>
        <v>0</v>
      </c>
      <c r="I374">
        <v>12836149200</v>
      </c>
      <c r="J374">
        <v>0.65</v>
      </c>
      <c r="K374">
        <v>76.36</v>
      </c>
      <c r="L374">
        <v>72.33</v>
      </c>
      <c r="M374">
        <v>73.25</v>
      </c>
      <c r="N374">
        <v>73.25</v>
      </c>
    </row>
    <row r="375" spans="1:14">
      <c r="A375" t="s">
        <v>387</v>
      </c>
      <c r="B375">
        <f>TEXT(600713,"000000")</f>
        <v>0</v>
      </c>
      <c r="C375">
        <v>5.63</v>
      </c>
      <c r="D375">
        <f>TEXT(0.0349,"0.00%")</f>
        <v>0</v>
      </c>
      <c r="E375">
        <v>15221201</v>
      </c>
      <c r="F375">
        <v>84746344</v>
      </c>
      <c r="G375">
        <f>TEXT(0.055099999999999996,"0.00%")</f>
        <v>0</v>
      </c>
      <c r="H375">
        <f>TEXT(0.0146,"0.00%")</f>
        <v>0</v>
      </c>
      <c r="I375">
        <v>7377073517</v>
      </c>
      <c r="J375">
        <v>1.12</v>
      </c>
      <c r="K375">
        <v>5.69</v>
      </c>
      <c r="L375">
        <v>5.39</v>
      </c>
      <c r="M375">
        <v>5.44</v>
      </c>
      <c r="N375">
        <v>5.44</v>
      </c>
    </row>
    <row r="376" spans="1:14">
      <c r="A376" t="s">
        <v>388</v>
      </c>
      <c r="B376">
        <f>TEXT(002117,"000000")</f>
        <v>0</v>
      </c>
      <c r="C376">
        <v>8.91</v>
      </c>
      <c r="D376">
        <f>TEXT(0.0348,"0.00%")</f>
        <v>0</v>
      </c>
      <c r="E376">
        <v>11089429</v>
      </c>
      <c r="F376">
        <v>97327099</v>
      </c>
      <c r="G376">
        <f>TEXT(0.043,"0.00%")</f>
        <v>0</v>
      </c>
      <c r="H376">
        <f>TEXT(0.0203,"0.00%")</f>
        <v>0</v>
      </c>
      <c r="I376">
        <v>4861887811</v>
      </c>
      <c r="J376">
        <v>1.31</v>
      </c>
      <c r="K376">
        <v>8.94</v>
      </c>
      <c r="L376">
        <v>8.57</v>
      </c>
      <c r="M376">
        <v>8.57</v>
      </c>
      <c r="N376">
        <v>8.609999999999999</v>
      </c>
    </row>
    <row r="377" spans="1:14">
      <c r="A377" t="s">
        <v>389</v>
      </c>
      <c r="B377">
        <f>TEXT(002222,"000000")</f>
        <v>0</v>
      </c>
      <c r="C377">
        <v>24.1</v>
      </c>
      <c r="D377">
        <f>TEXT(0.0348,"0.00%")</f>
        <v>0</v>
      </c>
      <c r="E377">
        <v>22605670</v>
      </c>
      <c r="F377">
        <v>539831014</v>
      </c>
      <c r="G377">
        <f>TEXT(0.044199999999999996,"0.00%")</f>
        <v>0</v>
      </c>
      <c r="H377">
        <f>TEXT(0.053099999999999994,"0.00%")</f>
        <v>0</v>
      </c>
      <c r="I377">
        <v>10302750000</v>
      </c>
      <c r="J377">
        <v>0.55</v>
      </c>
      <c r="K377">
        <v>24.18</v>
      </c>
      <c r="L377">
        <v>23.15</v>
      </c>
      <c r="M377">
        <v>23.15</v>
      </c>
      <c r="N377">
        <v>23.29</v>
      </c>
    </row>
    <row r="378" spans="1:14">
      <c r="A378" t="s">
        <v>390</v>
      </c>
      <c r="B378">
        <f>TEXT(300852,"000000")</f>
        <v>0</v>
      </c>
      <c r="C378">
        <v>42.32</v>
      </c>
      <c r="D378">
        <f>TEXT(0.0347,"0.00%")</f>
        <v>0</v>
      </c>
      <c r="E378">
        <v>2835839</v>
      </c>
      <c r="F378">
        <v>119313608</v>
      </c>
      <c r="G378">
        <f>TEXT(0.0438,"0.00%")</f>
        <v>0</v>
      </c>
      <c r="H378">
        <f>TEXT(0.0797,"0.00%")</f>
        <v>0</v>
      </c>
      <c r="I378">
        <v>4313709763</v>
      </c>
      <c r="J378">
        <v>1.26</v>
      </c>
      <c r="K378">
        <v>42.68</v>
      </c>
      <c r="L378">
        <v>40.89</v>
      </c>
      <c r="M378">
        <v>41</v>
      </c>
      <c r="N378">
        <v>40.9</v>
      </c>
    </row>
    <row r="379" spans="1:14">
      <c r="A379" t="s">
        <v>391</v>
      </c>
      <c r="B379">
        <f>TEXT(002990,"000000")</f>
        <v>0</v>
      </c>
      <c r="C379">
        <v>35.53</v>
      </c>
      <c r="D379">
        <f>TEXT(0.0347,"0.00%")</f>
        <v>0</v>
      </c>
      <c r="E379">
        <v>2184200</v>
      </c>
      <c r="F379">
        <v>77049756</v>
      </c>
      <c r="G379">
        <f>TEXT(0.037599999999999995,"0.00%")</f>
        <v>0</v>
      </c>
      <c r="H379">
        <f>TEXT(0.0337,"0.00%")</f>
        <v>0</v>
      </c>
      <c r="I379">
        <v>9168223377</v>
      </c>
      <c r="J379">
        <v>0.87</v>
      </c>
      <c r="K379">
        <v>35.73</v>
      </c>
      <c r="L379">
        <v>34.44</v>
      </c>
      <c r="M379">
        <v>34.44</v>
      </c>
      <c r="N379">
        <v>34.34</v>
      </c>
    </row>
    <row r="380" spans="1:14">
      <c r="A380" t="s">
        <v>392</v>
      </c>
      <c r="B380">
        <f>TEXT(605577,"000000")</f>
        <v>0</v>
      </c>
      <c r="C380">
        <v>12</v>
      </c>
      <c r="D380">
        <f>TEXT(0.0345,"0.00%")</f>
        <v>0</v>
      </c>
      <c r="E380">
        <v>7135000</v>
      </c>
      <c r="F380">
        <v>84656636</v>
      </c>
      <c r="G380">
        <f>TEXT(0.0526,"0.00%")</f>
        <v>0</v>
      </c>
      <c r="H380">
        <f>TEXT(0.0379,"0.00%")</f>
        <v>0</v>
      </c>
      <c r="I380">
        <v>5333333340</v>
      </c>
      <c r="J380">
        <v>1.31</v>
      </c>
      <c r="K380">
        <v>12.08</v>
      </c>
      <c r="L380">
        <v>11.47</v>
      </c>
      <c r="M380">
        <v>11.56</v>
      </c>
      <c r="N380">
        <v>11.6</v>
      </c>
    </row>
    <row r="381" spans="1:14">
      <c r="A381" t="s">
        <v>393</v>
      </c>
      <c r="B381">
        <f>TEXT(300047,"000000")</f>
        <v>0</v>
      </c>
      <c r="C381">
        <v>7.79</v>
      </c>
      <c r="D381">
        <f>TEXT(0.0345,"0.00%")</f>
        <v>0</v>
      </c>
      <c r="E381">
        <v>30078738</v>
      </c>
      <c r="F381">
        <v>231828850</v>
      </c>
      <c r="G381">
        <f>TEXT(0.0452,"0.00%")</f>
        <v>0</v>
      </c>
      <c r="H381">
        <f>TEXT(0.0562,"0.00%")</f>
        <v>0</v>
      </c>
      <c r="I381">
        <v>4968030994</v>
      </c>
      <c r="J381">
        <v>0.86</v>
      </c>
      <c r="K381">
        <v>7.81</v>
      </c>
      <c r="L381">
        <v>7.47</v>
      </c>
      <c r="M381">
        <v>7.5</v>
      </c>
      <c r="N381">
        <v>7.53</v>
      </c>
    </row>
    <row r="382" spans="1:14">
      <c r="A382" t="s">
        <v>394</v>
      </c>
      <c r="B382">
        <f>TEXT(002547,"000000")</f>
        <v>0</v>
      </c>
      <c r="C382">
        <v>4.51</v>
      </c>
      <c r="D382">
        <f>TEXT(0.0344,"0.00%")</f>
        <v>0</v>
      </c>
      <c r="E382">
        <v>44338741</v>
      </c>
      <c r="F382">
        <v>199089389</v>
      </c>
      <c r="G382">
        <f>TEXT(0.078,"0.00%")</f>
        <v>0</v>
      </c>
      <c r="H382">
        <f>TEXT(0.04019999999999999,"0.00%")</f>
        <v>0</v>
      </c>
      <c r="I382">
        <v>5087537827</v>
      </c>
      <c r="J382">
        <v>2.51</v>
      </c>
      <c r="K382">
        <v>4.63</v>
      </c>
      <c r="L382">
        <v>4.29</v>
      </c>
      <c r="M382">
        <v>4.37</v>
      </c>
      <c r="N382">
        <v>4.36</v>
      </c>
    </row>
    <row r="383" spans="1:14">
      <c r="A383" t="s">
        <v>395</v>
      </c>
      <c r="B383">
        <f>TEXT(603228,"000000")</f>
        <v>0</v>
      </c>
      <c r="C383">
        <v>22.62</v>
      </c>
      <c r="D383">
        <f>TEXT(0.034300000000000004,"0.00%")</f>
        <v>0</v>
      </c>
      <c r="E383">
        <v>11980912</v>
      </c>
      <c r="F383">
        <v>268760742</v>
      </c>
      <c r="G383">
        <f>TEXT(0.053,"0.00%")</f>
        <v>0</v>
      </c>
      <c r="H383">
        <f>TEXT(0.014199999999999999,"0.00%")</f>
        <v>0</v>
      </c>
      <c r="I383">
        <v>19164803392</v>
      </c>
      <c r="J383">
        <v>2.46</v>
      </c>
      <c r="K383">
        <v>22.87</v>
      </c>
      <c r="L383">
        <v>21.71</v>
      </c>
      <c r="M383">
        <v>21.88</v>
      </c>
      <c r="N383">
        <v>21.87</v>
      </c>
    </row>
    <row r="384" spans="1:14">
      <c r="A384" t="s">
        <v>396</v>
      </c>
      <c r="B384">
        <f>TEXT(600829,"000000")</f>
        <v>0</v>
      </c>
      <c r="C384">
        <v>7.25</v>
      </c>
      <c r="D384">
        <f>TEXT(0.0342,"0.00%")</f>
        <v>0</v>
      </c>
      <c r="E384">
        <v>7931701</v>
      </c>
      <c r="F384">
        <v>56903317</v>
      </c>
      <c r="G384">
        <f>TEXT(0.0471,"0.00%")</f>
        <v>0</v>
      </c>
      <c r="H384">
        <f>TEXT(0.0137,"0.00%")</f>
        <v>0</v>
      </c>
      <c r="I384">
        <v>4204192328</v>
      </c>
      <c r="J384">
        <v>1.36</v>
      </c>
      <c r="K384">
        <v>7.29</v>
      </c>
      <c r="L384">
        <v>6.96</v>
      </c>
      <c r="M384">
        <v>7.02</v>
      </c>
      <c r="N384">
        <v>7.01</v>
      </c>
    </row>
    <row r="385" spans="1:14">
      <c r="A385" t="s">
        <v>397</v>
      </c>
      <c r="B385">
        <f>TEXT(300738,"000000")</f>
        <v>0</v>
      </c>
      <c r="C385">
        <v>10.29</v>
      </c>
      <c r="D385">
        <f>TEXT(0.0342,"0.00%")</f>
        <v>0</v>
      </c>
      <c r="E385">
        <v>18845605</v>
      </c>
      <c r="F385">
        <v>191686780</v>
      </c>
      <c r="G385">
        <f>TEXT(0.042199999999999994,"0.00%")</f>
        <v>0</v>
      </c>
      <c r="H385">
        <f>TEXT(0.0229,"0.00%")</f>
        <v>0</v>
      </c>
      <c r="I385">
        <v>9812162518</v>
      </c>
      <c r="J385">
        <v>1.57</v>
      </c>
      <c r="K385">
        <v>10.32</v>
      </c>
      <c r="L385">
        <v>9.9</v>
      </c>
      <c r="M385">
        <v>10</v>
      </c>
      <c r="N385">
        <v>9.949999999999999</v>
      </c>
    </row>
    <row r="386" spans="1:14">
      <c r="A386" t="s">
        <v>398</v>
      </c>
      <c r="B386">
        <f>TEXT(000980,"000000")</f>
        <v>0</v>
      </c>
      <c r="C386">
        <v>2.73</v>
      </c>
      <c r="D386">
        <f>TEXT(0.0341,"0.00%")</f>
        <v>0</v>
      </c>
      <c r="E386">
        <v>157159720</v>
      </c>
      <c r="F386">
        <v>435593606</v>
      </c>
      <c r="G386">
        <f>TEXT(0.0833,"0.00%")</f>
        <v>0</v>
      </c>
      <c r="H386">
        <f>TEXT(0.036699999999999997,"0.00%")</f>
        <v>0</v>
      </c>
      <c r="I386">
        <v>13766155327</v>
      </c>
      <c r="J386">
        <v>2.95</v>
      </c>
      <c r="K386">
        <v>2.9</v>
      </c>
      <c r="L386">
        <v>2.68</v>
      </c>
      <c r="M386">
        <v>2.71</v>
      </c>
      <c r="N386">
        <v>2.64</v>
      </c>
    </row>
    <row r="387" spans="1:14">
      <c r="A387" t="s">
        <v>399</v>
      </c>
      <c r="B387">
        <f>TEXT(301229,"000000")</f>
        <v>0</v>
      </c>
      <c r="C387">
        <v>28.85</v>
      </c>
      <c r="D387">
        <f>TEXT(0.0341,"0.00%")</f>
        <v>0</v>
      </c>
      <c r="E387">
        <v>2903060</v>
      </c>
      <c r="F387">
        <v>82768270</v>
      </c>
      <c r="G387">
        <f>TEXT(0.049800000000000004,"0.00%")</f>
        <v>0</v>
      </c>
      <c r="H387">
        <f>TEXT(0.0872,"0.00%")</f>
        <v>0</v>
      </c>
      <c r="I387">
        <v>2308000000</v>
      </c>
      <c r="J387">
        <v>5.2</v>
      </c>
      <c r="K387">
        <v>28.9</v>
      </c>
      <c r="L387">
        <v>27.51</v>
      </c>
      <c r="M387">
        <v>27.9</v>
      </c>
      <c r="N387">
        <v>27.9</v>
      </c>
    </row>
    <row r="388" spans="1:14">
      <c r="A388" t="s">
        <v>400</v>
      </c>
      <c r="B388">
        <f>TEXT(002997,"000000")</f>
        <v>0</v>
      </c>
      <c r="C388">
        <v>27.32</v>
      </c>
      <c r="D388">
        <f>TEXT(0.0341,"0.00%")</f>
        <v>0</v>
      </c>
      <c r="E388">
        <v>5168321</v>
      </c>
      <c r="F388">
        <v>140031419</v>
      </c>
      <c r="G388">
        <f>TEXT(0.0647,"0.00%")</f>
        <v>0</v>
      </c>
      <c r="H388">
        <f>TEXT(0.0451,"0.00%")</f>
        <v>0</v>
      </c>
      <c r="I388">
        <v>5016830146</v>
      </c>
      <c r="J388">
        <v>1.65</v>
      </c>
      <c r="K388">
        <v>27.85</v>
      </c>
      <c r="L388">
        <v>26.14</v>
      </c>
      <c r="M388">
        <v>26.21</v>
      </c>
      <c r="N388">
        <v>26.42</v>
      </c>
    </row>
    <row r="389" spans="1:14">
      <c r="A389" t="s">
        <v>401</v>
      </c>
      <c r="B389">
        <f>TEXT(002175,"000000")</f>
        <v>0</v>
      </c>
      <c r="C389">
        <v>2.74</v>
      </c>
      <c r="D389">
        <f>TEXT(0.034,"0.00%")</f>
        <v>0</v>
      </c>
      <c r="E389">
        <v>32579840</v>
      </c>
      <c r="F389">
        <v>89522582</v>
      </c>
      <c r="G389">
        <f>TEXT(0.083,"0.00%")</f>
        <v>0</v>
      </c>
      <c r="H389">
        <f>TEXT(0.0255,"0.00%")</f>
        <v>0</v>
      </c>
      <c r="I389">
        <v>3498379191</v>
      </c>
      <c r="J389">
        <v>2.94</v>
      </c>
      <c r="K389">
        <v>2.85</v>
      </c>
      <c r="L389">
        <v>2.63</v>
      </c>
      <c r="M389">
        <v>2.65</v>
      </c>
      <c r="N389">
        <v>2.65</v>
      </c>
    </row>
    <row r="390" spans="1:14">
      <c r="A390" t="s">
        <v>402</v>
      </c>
      <c r="B390">
        <f>TEXT(000719,"000000")</f>
        <v>0</v>
      </c>
      <c r="C390">
        <v>10.94</v>
      </c>
      <c r="D390">
        <f>TEXT(0.034,"0.00%")</f>
        <v>0</v>
      </c>
      <c r="E390">
        <v>14085900</v>
      </c>
      <c r="F390">
        <v>152768672</v>
      </c>
      <c r="G390">
        <f>TEXT(0.053899999999999997,"0.00%")</f>
        <v>0</v>
      </c>
      <c r="H390">
        <f>TEXT(0.021099999999999997,"0.00%")</f>
        <v>0</v>
      </c>
      <c r="I390">
        <v>11193849014</v>
      </c>
      <c r="J390">
        <v>0.96</v>
      </c>
      <c r="K390">
        <v>11.11</v>
      </c>
      <c r="L390">
        <v>10.54</v>
      </c>
      <c r="M390">
        <v>10.58</v>
      </c>
      <c r="N390">
        <v>10.58</v>
      </c>
    </row>
    <row r="391" spans="1:14">
      <c r="A391" t="s">
        <v>403</v>
      </c>
      <c r="B391">
        <f>TEXT(600982,"000000")</f>
        <v>0</v>
      </c>
      <c r="C391">
        <v>4.86</v>
      </c>
      <c r="D391">
        <f>TEXT(0.034,"0.00%")</f>
        <v>0</v>
      </c>
      <c r="E391">
        <v>159697541</v>
      </c>
      <c r="F391">
        <v>803985268</v>
      </c>
      <c r="G391">
        <f>TEXT(0.0702,"0.00%")</f>
        <v>0</v>
      </c>
      <c r="H391">
        <f>TEXT(0.1442,"0.00%")</f>
        <v>0</v>
      </c>
      <c r="I391">
        <v>5432353505</v>
      </c>
      <c r="J391">
        <v>5.5</v>
      </c>
      <c r="K391">
        <v>5.17</v>
      </c>
      <c r="L391">
        <v>4.84</v>
      </c>
      <c r="M391">
        <v>5.17</v>
      </c>
      <c r="N391">
        <v>4.7</v>
      </c>
    </row>
    <row r="392" spans="1:14">
      <c r="A392" t="s">
        <v>404</v>
      </c>
      <c r="B392">
        <f>TEXT(600100,"000000")</f>
        <v>0</v>
      </c>
      <c r="C392">
        <v>8.210000000000001</v>
      </c>
      <c r="D392">
        <f>TEXT(0.034,"0.00%")</f>
        <v>0</v>
      </c>
      <c r="E392">
        <v>140695064</v>
      </c>
      <c r="F392">
        <v>1142698649</v>
      </c>
      <c r="G392">
        <f>TEXT(0.0554,"0.00%")</f>
        <v>0</v>
      </c>
      <c r="H392">
        <f>TEXT(0.0475,"0.00%")</f>
        <v>0</v>
      </c>
      <c r="I392">
        <v>27505944223</v>
      </c>
      <c r="J392">
        <v>1.41</v>
      </c>
      <c r="K392">
        <v>8.26</v>
      </c>
      <c r="L392">
        <v>7.82</v>
      </c>
      <c r="M392">
        <v>7.83</v>
      </c>
      <c r="N392">
        <v>7.94</v>
      </c>
    </row>
    <row r="393" spans="1:14">
      <c r="A393" t="s">
        <v>405</v>
      </c>
      <c r="B393">
        <f>TEXT(300900,"000000")</f>
        <v>0</v>
      </c>
      <c r="C393">
        <v>29.47</v>
      </c>
      <c r="D393">
        <f>TEXT(0.034,"0.00%")</f>
        <v>0</v>
      </c>
      <c r="E393">
        <v>3133064</v>
      </c>
      <c r="F393">
        <v>91231622</v>
      </c>
      <c r="G393">
        <f>TEXT(0.0449,"0.00%")</f>
        <v>0</v>
      </c>
      <c r="H393">
        <f>TEXT(0.0235,"0.00%")</f>
        <v>0</v>
      </c>
      <c r="I393">
        <v>6240481737</v>
      </c>
      <c r="J393">
        <v>1.68</v>
      </c>
      <c r="K393">
        <v>29.56</v>
      </c>
      <c r="L393">
        <v>28.28</v>
      </c>
      <c r="M393">
        <v>28.5</v>
      </c>
      <c r="N393">
        <v>28.5</v>
      </c>
    </row>
    <row r="394" spans="1:14">
      <c r="A394" t="s">
        <v>406</v>
      </c>
      <c r="B394">
        <f>TEXT(300223,"000000")</f>
        <v>0</v>
      </c>
      <c r="C394">
        <v>94.01000000000001</v>
      </c>
      <c r="D394">
        <f>TEXT(0.0339,"0.00%")</f>
        <v>0</v>
      </c>
      <c r="E394">
        <v>21954511</v>
      </c>
      <c r="F394">
        <v>2053104234</v>
      </c>
      <c r="G394">
        <f>TEXT(0.0701,"0.00%")</f>
        <v>0</v>
      </c>
      <c r="H394">
        <f>TEXT(0.0528,"0.00%")</f>
        <v>0</v>
      </c>
      <c r="I394">
        <v>45272387333</v>
      </c>
      <c r="J394">
        <v>1.19</v>
      </c>
      <c r="K394">
        <v>96</v>
      </c>
      <c r="L394">
        <v>89.63</v>
      </c>
      <c r="M394">
        <v>90.20999999999999</v>
      </c>
      <c r="N394">
        <v>90.93000000000001</v>
      </c>
    </row>
    <row r="395" spans="1:14">
      <c r="A395" t="s">
        <v>407</v>
      </c>
      <c r="B395">
        <f>TEXT(600864,"000000")</f>
        <v>0</v>
      </c>
      <c r="C395">
        <v>5.5</v>
      </c>
      <c r="D395">
        <f>TEXT(0.0338,"0.00%")</f>
        <v>0</v>
      </c>
      <c r="E395">
        <v>37696807</v>
      </c>
      <c r="F395">
        <v>205549451</v>
      </c>
      <c r="G395">
        <f>TEXT(0.0602,"0.00%")</f>
        <v>0</v>
      </c>
      <c r="H395">
        <f>TEXT(0.0181,"0.00%")</f>
        <v>0</v>
      </c>
      <c r="I395">
        <v>11443137860</v>
      </c>
      <c r="J395">
        <v>1.93</v>
      </c>
      <c r="K395">
        <v>5.58</v>
      </c>
      <c r="L395">
        <v>5.26</v>
      </c>
      <c r="M395">
        <v>5.28</v>
      </c>
      <c r="N395">
        <v>5.32</v>
      </c>
    </row>
    <row r="396" spans="1:14">
      <c r="A396" t="s">
        <v>408</v>
      </c>
      <c r="B396">
        <f>TEXT(688025,"000000")</f>
        <v>0</v>
      </c>
      <c r="C396">
        <v>63.4</v>
      </c>
      <c r="D396">
        <f>TEXT(0.0338,"0.00%")</f>
        <v>0</v>
      </c>
      <c r="E396">
        <v>4316799</v>
      </c>
      <c r="F396">
        <v>268241136</v>
      </c>
      <c r="G396">
        <f>TEXT(0.0797,"0.00%")</f>
        <v>0</v>
      </c>
      <c r="H396">
        <f>TEXT(0.0454,"0.00%")</f>
        <v>0</v>
      </c>
      <c r="I396">
        <v>6022425913</v>
      </c>
      <c r="J396">
        <v>0.8</v>
      </c>
      <c r="K396">
        <v>64.25</v>
      </c>
      <c r="L396">
        <v>59.36</v>
      </c>
      <c r="M396">
        <v>61.58</v>
      </c>
      <c r="N396">
        <v>61.33</v>
      </c>
    </row>
    <row r="397" spans="1:14">
      <c r="A397" t="s">
        <v>409</v>
      </c>
      <c r="B397">
        <f>TEXT(300669,"000000")</f>
        <v>0</v>
      </c>
      <c r="C397">
        <v>13.51</v>
      </c>
      <c r="D397">
        <f>TEXT(0.0337,"0.00%")</f>
        <v>0</v>
      </c>
      <c r="E397">
        <v>3317005</v>
      </c>
      <c r="F397">
        <v>44114999</v>
      </c>
      <c r="G397">
        <f>TEXT(0.052000000000000005,"0.00%")</f>
        <v>0</v>
      </c>
      <c r="H397">
        <f>TEXT(0.018500000000000003,"0.00%")</f>
        <v>0</v>
      </c>
      <c r="I397">
        <v>2603451656</v>
      </c>
      <c r="J397">
        <v>0.8100000000000001</v>
      </c>
      <c r="K397">
        <v>13.59</v>
      </c>
      <c r="L397">
        <v>12.91</v>
      </c>
      <c r="M397">
        <v>13.03</v>
      </c>
      <c r="N397">
        <v>13.07</v>
      </c>
    </row>
    <row r="398" spans="1:14">
      <c r="A398" t="s">
        <v>410</v>
      </c>
      <c r="B398">
        <f>TEXT(001287,"000000")</f>
        <v>0</v>
      </c>
      <c r="C398">
        <v>28.37</v>
      </c>
      <c r="D398">
        <f>TEXT(0.0335,"0.00%")</f>
        <v>0</v>
      </c>
      <c r="E398">
        <v>41928884</v>
      </c>
      <c r="F398">
        <v>1184194938</v>
      </c>
      <c r="G398">
        <f>TEXT(0.0594,"0.00%")</f>
        <v>0</v>
      </c>
      <c r="H398">
        <f>TEXT(0.2275,"0.00%")</f>
        <v>0</v>
      </c>
      <c r="I398">
        <v>21558365751</v>
      </c>
      <c r="J398">
        <v>1.19</v>
      </c>
      <c r="K398">
        <v>28.88</v>
      </c>
      <c r="L398">
        <v>27.25</v>
      </c>
      <c r="M398">
        <v>27.5</v>
      </c>
      <c r="N398">
        <v>27.45</v>
      </c>
    </row>
    <row r="399" spans="1:14">
      <c r="A399" t="s">
        <v>411</v>
      </c>
      <c r="B399">
        <f>TEXT(603186,"000000")</f>
        <v>0</v>
      </c>
      <c r="C399">
        <v>31.81</v>
      </c>
      <c r="D399">
        <f>TEXT(0.0335,"0.00%")</f>
        <v>0</v>
      </c>
      <c r="E399">
        <v>3654031</v>
      </c>
      <c r="F399">
        <v>115641643</v>
      </c>
      <c r="G399">
        <f>TEXT(0.0471,"0.00%")</f>
        <v>0</v>
      </c>
      <c r="H399">
        <f>TEXT(0.0258,"0.00%")</f>
        <v>0</v>
      </c>
      <c r="I399">
        <v>4517392845</v>
      </c>
      <c r="J399">
        <v>0.88</v>
      </c>
      <c r="K399">
        <v>32.08</v>
      </c>
      <c r="L399">
        <v>30.63</v>
      </c>
      <c r="M399">
        <v>30.82</v>
      </c>
      <c r="N399">
        <v>30.78</v>
      </c>
    </row>
    <row r="400" spans="1:14">
      <c r="A400" t="s">
        <v>412</v>
      </c>
      <c r="B400">
        <f>TEXT(002291,"000000")</f>
        <v>0</v>
      </c>
      <c r="C400">
        <v>16.77</v>
      </c>
      <c r="D400">
        <f>TEXT(0.0333,"0.00%")</f>
        <v>0</v>
      </c>
      <c r="E400">
        <v>51471602</v>
      </c>
      <c r="F400">
        <v>849049201</v>
      </c>
      <c r="G400">
        <f>TEXT(0.0739,"0.00%")</f>
        <v>0</v>
      </c>
      <c r="H400">
        <f>TEXT(0.0601,"0.00%")</f>
        <v>0</v>
      </c>
      <c r="I400">
        <v>15284374829</v>
      </c>
      <c r="J400">
        <v>0.85</v>
      </c>
      <c r="K400">
        <v>16.98</v>
      </c>
      <c r="L400">
        <v>15.78</v>
      </c>
      <c r="M400">
        <v>16.2</v>
      </c>
      <c r="N400">
        <v>16.23</v>
      </c>
    </row>
    <row r="401" spans="1:14">
      <c r="A401" t="s">
        <v>413</v>
      </c>
      <c r="B401">
        <f>TEXT(600072,"000000")</f>
        <v>0</v>
      </c>
      <c r="C401">
        <v>23.32</v>
      </c>
      <c r="D401">
        <f>TEXT(0.0332,"0.00%")</f>
        <v>0</v>
      </c>
      <c r="E401">
        <v>101592774</v>
      </c>
      <c r="F401">
        <v>2316710685</v>
      </c>
      <c r="G401">
        <f>TEXT(0.09300000000000001,"0.00%")</f>
        <v>0</v>
      </c>
      <c r="H401">
        <f>TEXT(0.138,"0.00%")</f>
        <v>0</v>
      </c>
      <c r="I401">
        <v>17169347271</v>
      </c>
      <c r="J401">
        <v>1.08</v>
      </c>
      <c r="K401">
        <v>23.66</v>
      </c>
      <c r="L401">
        <v>21.56</v>
      </c>
      <c r="M401">
        <v>22</v>
      </c>
      <c r="N401">
        <v>22.57</v>
      </c>
    </row>
    <row r="402" spans="1:14">
      <c r="A402" t="s">
        <v>414</v>
      </c>
      <c r="B402">
        <f>TEXT(300147,"000000")</f>
        <v>0</v>
      </c>
      <c r="C402">
        <v>5.62</v>
      </c>
      <c r="D402">
        <f>TEXT(0.0331,"0.00%")</f>
        <v>0</v>
      </c>
      <c r="E402">
        <v>14683474</v>
      </c>
      <c r="F402">
        <v>81414311</v>
      </c>
      <c r="G402">
        <f>TEXT(0.051500000000000004,"0.00%")</f>
        <v>0</v>
      </c>
      <c r="H402">
        <f>TEXT(0.0223,"0.00%")</f>
        <v>0</v>
      </c>
      <c r="I402">
        <v>3716388232</v>
      </c>
      <c r="J402">
        <v>1.03</v>
      </c>
      <c r="K402">
        <v>5.65</v>
      </c>
      <c r="L402">
        <v>5.37</v>
      </c>
      <c r="M402">
        <v>5.46</v>
      </c>
      <c r="N402">
        <v>5.44</v>
      </c>
    </row>
    <row r="403" spans="1:14">
      <c r="A403" t="s">
        <v>415</v>
      </c>
      <c r="B403">
        <f>TEXT(300448,"000000")</f>
        <v>0</v>
      </c>
      <c r="C403">
        <v>5.94</v>
      </c>
      <c r="D403">
        <f>TEXT(0.033,"0.00%")</f>
        <v>0</v>
      </c>
      <c r="E403">
        <v>10214717</v>
      </c>
      <c r="F403">
        <v>59804122</v>
      </c>
      <c r="G403">
        <f>TEXT(0.0487,"0.00%")</f>
        <v>0</v>
      </c>
      <c r="H403">
        <f>TEXT(0.021400000000000002,"0.00%")</f>
        <v>0</v>
      </c>
      <c r="I403">
        <v>4018511449</v>
      </c>
      <c r="J403">
        <v>1.2</v>
      </c>
      <c r="K403">
        <v>5.98</v>
      </c>
      <c r="L403">
        <v>5.7</v>
      </c>
      <c r="M403">
        <v>5.71</v>
      </c>
      <c r="N403">
        <v>5.75</v>
      </c>
    </row>
    <row r="404" spans="1:14">
      <c r="A404" t="s">
        <v>416</v>
      </c>
      <c r="B404">
        <f>TEXT(000690,"000000")</f>
        <v>0</v>
      </c>
      <c r="C404">
        <v>7.53</v>
      </c>
      <c r="D404">
        <f>TEXT(0.0329,"0.00%")</f>
        <v>0</v>
      </c>
      <c r="E404">
        <v>72700735</v>
      </c>
      <c r="F404">
        <v>555353426</v>
      </c>
      <c r="G404">
        <f>TEXT(0.0782,"0.00%")</f>
        <v>0</v>
      </c>
      <c r="H404">
        <f>TEXT(0.0334,"0.00%")</f>
        <v>0</v>
      </c>
      <c r="I404">
        <v>16384435600</v>
      </c>
      <c r="J404">
        <v>1.79</v>
      </c>
      <c r="K404">
        <v>7.8</v>
      </c>
      <c r="L404">
        <v>7.23</v>
      </c>
      <c r="M404">
        <v>7.23</v>
      </c>
      <c r="N404">
        <v>7.29</v>
      </c>
    </row>
    <row r="405" spans="1:14">
      <c r="A405" t="s">
        <v>417</v>
      </c>
      <c r="B405">
        <f>TEXT(600228,"000000")</f>
        <v>0</v>
      </c>
      <c r="C405">
        <v>11.62</v>
      </c>
      <c r="D405">
        <f>TEXT(0.0329,"0.00%")</f>
        <v>0</v>
      </c>
      <c r="E405">
        <v>34421887</v>
      </c>
      <c r="F405">
        <v>393416969</v>
      </c>
      <c r="G405">
        <f>TEXT(0.0702,"0.00%")</f>
        <v>0</v>
      </c>
      <c r="H405">
        <f>TEXT(0.1235,"0.00%")</f>
        <v>0</v>
      </c>
      <c r="I405">
        <v>8480248716</v>
      </c>
      <c r="J405">
        <v>1.15</v>
      </c>
      <c r="K405">
        <v>11.75</v>
      </c>
      <c r="L405">
        <v>10.96</v>
      </c>
      <c r="M405">
        <v>11.03</v>
      </c>
      <c r="N405">
        <v>11.25</v>
      </c>
    </row>
    <row r="406" spans="1:14">
      <c r="A406" t="s">
        <v>418</v>
      </c>
      <c r="B406">
        <f>TEXT(300033,"000000")</f>
        <v>0</v>
      </c>
      <c r="C406">
        <v>159.6</v>
      </c>
      <c r="D406">
        <f>TEXT(0.0329,"0.00%")</f>
        <v>0</v>
      </c>
      <c r="E406">
        <v>9026598</v>
      </c>
      <c r="F406">
        <v>1435282204</v>
      </c>
      <c r="G406">
        <f>TEXT(0.0639,"0.00%")</f>
        <v>0</v>
      </c>
      <c r="H406">
        <f>TEXT(0.0332,"0.00%")</f>
        <v>0</v>
      </c>
      <c r="I406">
        <v>85800960000</v>
      </c>
      <c r="J406">
        <v>0.78</v>
      </c>
      <c r="K406">
        <v>162.88</v>
      </c>
      <c r="L406">
        <v>153.01</v>
      </c>
      <c r="M406">
        <v>155</v>
      </c>
      <c r="N406">
        <v>154.51</v>
      </c>
    </row>
    <row r="407" spans="1:14">
      <c r="A407" t="s">
        <v>419</v>
      </c>
      <c r="B407">
        <f>TEXT(600633,"000000")</f>
        <v>0</v>
      </c>
      <c r="C407">
        <v>12.23</v>
      </c>
      <c r="D407">
        <f>TEXT(0.0329,"0.00%")</f>
        <v>0</v>
      </c>
      <c r="E407">
        <v>30074545</v>
      </c>
      <c r="F407">
        <v>364173511</v>
      </c>
      <c r="G407">
        <f>TEXT(0.049800000000000004,"0.00%")</f>
        <v>0</v>
      </c>
      <c r="H407">
        <f>TEXT(0.023799999999999998,"0.00%")</f>
        <v>0</v>
      </c>
      <c r="I407">
        <v>15479884296</v>
      </c>
      <c r="J407">
        <v>1.02</v>
      </c>
      <c r="K407">
        <v>12.3</v>
      </c>
      <c r="L407">
        <v>11.71</v>
      </c>
      <c r="M407">
        <v>11.8</v>
      </c>
      <c r="N407">
        <v>11.84</v>
      </c>
    </row>
    <row r="408" spans="1:14">
      <c r="A408" t="s">
        <v>420</v>
      </c>
      <c r="B408">
        <f>TEXT(688568,"000000")</f>
        <v>0</v>
      </c>
      <c r="C408">
        <v>75.90000000000001</v>
      </c>
      <c r="D408">
        <f>TEXT(0.032799999999999996,"0.00%")</f>
        <v>0</v>
      </c>
      <c r="E408">
        <v>968789</v>
      </c>
      <c r="F408">
        <v>72770705</v>
      </c>
      <c r="G408">
        <f>TEXT(0.0426,"0.00%")</f>
        <v>0</v>
      </c>
      <c r="H408">
        <f>TEXT(0.0073,"0.00%")</f>
        <v>0</v>
      </c>
      <c r="I408">
        <v>18615291380</v>
      </c>
      <c r="J408">
        <v>0.79</v>
      </c>
      <c r="K408">
        <v>76.15000000000001</v>
      </c>
      <c r="L408">
        <v>73.02</v>
      </c>
      <c r="M408">
        <v>73.47</v>
      </c>
      <c r="N408">
        <v>73.48999999999999</v>
      </c>
    </row>
    <row r="409" spans="1:14">
      <c r="A409" t="s">
        <v>421</v>
      </c>
      <c r="B409">
        <f>TEXT(301053,"000000")</f>
        <v>0</v>
      </c>
      <c r="C409">
        <v>27.72</v>
      </c>
      <c r="D409">
        <f>TEXT(0.032799999999999996,"0.00%")</f>
        <v>0</v>
      </c>
      <c r="E409">
        <v>6184327</v>
      </c>
      <c r="F409">
        <v>165346743</v>
      </c>
      <c r="G409">
        <f>TEXT(0.1155,"0.00%")</f>
        <v>0</v>
      </c>
      <c r="H409">
        <f>TEXT(0.2658,"0.00%")</f>
        <v>0</v>
      </c>
      <c r="I409">
        <v>2266179300</v>
      </c>
      <c r="J409">
        <v>2.14</v>
      </c>
      <c r="K409">
        <v>28.4</v>
      </c>
      <c r="L409">
        <v>25.3</v>
      </c>
      <c r="M409">
        <v>26.15</v>
      </c>
      <c r="N409">
        <v>26.84</v>
      </c>
    </row>
    <row r="410" spans="1:14">
      <c r="A410" t="s">
        <v>422</v>
      </c>
      <c r="B410">
        <f>TEXT(002903,"000000")</f>
        <v>0</v>
      </c>
      <c r="C410">
        <v>25.85</v>
      </c>
      <c r="D410">
        <f>TEXT(0.032799999999999996,"0.00%")</f>
        <v>0</v>
      </c>
      <c r="E410">
        <v>5059863</v>
      </c>
      <c r="F410">
        <v>128575315</v>
      </c>
      <c r="G410">
        <f>TEXT(0.0639,"0.00%")</f>
        <v>0</v>
      </c>
      <c r="H410">
        <f>TEXT(0.051,"0.00%")</f>
        <v>0</v>
      </c>
      <c r="I410">
        <v>3935507400</v>
      </c>
      <c r="J410">
        <v>1.23</v>
      </c>
      <c r="K410">
        <v>25.92</v>
      </c>
      <c r="L410">
        <v>24.32</v>
      </c>
      <c r="M410">
        <v>24.89</v>
      </c>
      <c r="N410">
        <v>25.03</v>
      </c>
    </row>
    <row r="411" spans="1:14">
      <c r="A411" t="s">
        <v>423</v>
      </c>
      <c r="B411">
        <f>TEXT(600103,"000000")</f>
        <v>0</v>
      </c>
      <c r="C411">
        <v>2.53</v>
      </c>
      <c r="D411">
        <f>TEXT(0.0327,"0.00%")</f>
        <v>0</v>
      </c>
      <c r="E411">
        <v>42551846</v>
      </c>
      <c r="F411">
        <v>106901677</v>
      </c>
      <c r="G411">
        <f>TEXT(0.0408,"0.00%")</f>
        <v>0</v>
      </c>
      <c r="H411">
        <f>TEXT(0.018500000000000003,"0.00%")</f>
        <v>0</v>
      </c>
      <c r="I411">
        <v>5833719051</v>
      </c>
      <c r="J411">
        <v>1.47</v>
      </c>
      <c r="K411">
        <v>2.56</v>
      </c>
      <c r="L411">
        <v>2.46</v>
      </c>
      <c r="M411">
        <v>2.48</v>
      </c>
      <c r="N411">
        <v>2.45</v>
      </c>
    </row>
    <row r="412" spans="1:14">
      <c r="A412" t="s">
        <v>424</v>
      </c>
      <c r="B412">
        <f>TEXT(002384,"000000")</f>
        <v>0</v>
      </c>
      <c r="C412">
        <v>26.2</v>
      </c>
      <c r="D412">
        <f>TEXT(0.0327,"0.00%")</f>
        <v>0</v>
      </c>
      <c r="E412">
        <v>28845754</v>
      </c>
      <c r="F412">
        <v>736170862</v>
      </c>
      <c r="G412">
        <f>TEXT(0.0674,"0.00%")</f>
        <v>0</v>
      </c>
      <c r="H412">
        <f>TEXT(0.0207,"0.00%")</f>
        <v>0</v>
      </c>
      <c r="I412">
        <v>44798523967</v>
      </c>
      <c r="J412">
        <v>1.43</v>
      </c>
      <c r="K412">
        <v>26.35</v>
      </c>
      <c r="L412">
        <v>24.64</v>
      </c>
      <c r="M412">
        <v>25.2</v>
      </c>
      <c r="N412">
        <v>25.37</v>
      </c>
    </row>
    <row r="413" spans="1:14">
      <c r="A413" t="s">
        <v>425</v>
      </c>
      <c r="B413">
        <f>TEXT(300800,"000000")</f>
        <v>0</v>
      </c>
      <c r="C413">
        <v>13.66</v>
      </c>
      <c r="D413">
        <f>TEXT(0.0325,"0.00%")</f>
        <v>0</v>
      </c>
      <c r="E413">
        <v>3417500</v>
      </c>
      <c r="F413">
        <v>46149920</v>
      </c>
      <c r="G413">
        <f>TEXT(0.042300000000000004,"0.00%")</f>
        <v>0</v>
      </c>
      <c r="H413">
        <f>TEXT(0.0203,"0.00%")</f>
        <v>0</v>
      </c>
      <c r="I413">
        <v>3256544000</v>
      </c>
      <c r="J413">
        <v>1.74</v>
      </c>
      <c r="K413">
        <v>13.7</v>
      </c>
      <c r="L413">
        <v>13.14</v>
      </c>
      <c r="M413">
        <v>13.47</v>
      </c>
      <c r="N413">
        <v>13.23</v>
      </c>
    </row>
    <row r="414" spans="1:14">
      <c r="A414" t="s">
        <v>426</v>
      </c>
      <c r="B414">
        <f>TEXT(300634,"000000")</f>
        <v>0</v>
      </c>
      <c r="C414">
        <v>25.11</v>
      </c>
      <c r="D414">
        <f>TEXT(0.0325,"0.00%")</f>
        <v>0</v>
      </c>
      <c r="E414">
        <v>20407801</v>
      </c>
      <c r="F414">
        <v>508074322</v>
      </c>
      <c r="G414">
        <f>TEXT(0.0592,"0.00%")</f>
        <v>0</v>
      </c>
      <c r="H414">
        <f>TEXT(0.048600000000000004,"0.00%")</f>
        <v>0</v>
      </c>
      <c r="I414">
        <v>11149118721</v>
      </c>
      <c r="J414">
        <v>0.83</v>
      </c>
      <c r="K414">
        <v>25.36</v>
      </c>
      <c r="L414">
        <v>23.92</v>
      </c>
      <c r="M414">
        <v>23.92</v>
      </c>
      <c r="N414">
        <v>24.32</v>
      </c>
    </row>
    <row r="415" spans="1:14">
      <c r="A415" t="s">
        <v>427</v>
      </c>
      <c r="B415">
        <f>TEXT(300558,"000000")</f>
        <v>0</v>
      </c>
      <c r="C415">
        <v>70.61</v>
      </c>
      <c r="D415">
        <f>TEXT(0.0325,"0.00%")</f>
        <v>0</v>
      </c>
      <c r="E415">
        <v>5350158</v>
      </c>
      <c r="F415">
        <v>379511197</v>
      </c>
      <c r="G415">
        <f>TEXT(0.07980000000000001,"0.00%")</f>
        <v>0</v>
      </c>
      <c r="H415">
        <f>TEXT(0.0129,"0.00%")</f>
        <v>0</v>
      </c>
      <c r="I415">
        <v>29477348047</v>
      </c>
      <c r="J415">
        <v>1.51</v>
      </c>
      <c r="K415">
        <v>73.11</v>
      </c>
      <c r="L415">
        <v>67.65000000000001</v>
      </c>
      <c r="M415">
        <v>67.65000000000001</v>
      </c>
      <c r="N415">
        <v>68.39</v>
      </c>
    </row>
    <row r="416" spans="1:14">
      <c r="A416" t="s">
        <v>428</v>
      </c>
      <c r="B416">
        <f>TEXT(002412,"000000")</f>
        <v>0</v>
      </c>
      <c r="C416">
        <v>7.01</v>
      </c>
      <c r="D416">
        <f>TEXT(0.032400000000000005,"0.00%")</f>
        <v>0</v>
      </c>
      <c r="E416">
        <v>10053670</v>
      </c>
      <c r="F416">
        <v>69687962</v>
      </c>
      <c r="G416">
        <f>TEXT(0.048600000000000004,"0.00%")</f>
        <v>0</v>
      </c>
      <c r="H416">
        <f>TEXT(0.0204,"0.00%")</f>
        <v>0</v>
      </c>
      <c r="I416">
        <v>3527432000</v>
      </c>
      <c r="J416">
        <v>0.88</v>
      </c>
      <c r="K416">
        <v>7.06</v>
      </c>
      <c r="L416">
        <v>6.73</v>
      </c>
      <c r="M416">
        <v>6.79</v>
      </c>
      <c r="N416">
        <v>6.79</v>
      </c>
    </row>
    <row r="417" spans="1:14">
      <c r="A417" t="s">
        <v>429</v>
      </c>
      <c r="B417">
        <f>TEXT(688373,"000000")</f>
        <v>0</v>
      </c>
      <c r="C417">
        <v>9.26</v>
      </c>
      <c r="D417">
        <f>TEXT(0.0323,"0.00%")</f>
        <v>0</v>
      </c>
      <c r="E417">
        <v>5554156</v>
      </c>
      <c r="F417">
        <v>51083434</v>
      </c>
      <c r="G417">
        <f>TEXT(0.050199999999999995,"0.00%")</f>
        <v>0</v>
      </c>
      <c r="H417">
        <f>TEXT(0.044500000000000005,"0.00%")</f>
        <v>0</v>
      </c>
      <c r="I417">
        <v>6067245377</v>
      </c>
      <c r="J417">
        <v>1.67</v>
      </c>
      <c r="K417">
        <v>9.35</v>
      </c>
      <c r="L417">
        <v>8.9</v>
      </c>
      <c r="M417">
        <v>8.99</v>
      </c>
      <c r="N417">
        <v>8.970000000000001</v>
      </c>
    </row>
    <row r="418" spans="1:14">
      <c r="A418" t="s">
        <v>430</v>
      </c>
      <c r="B418">
        <f>TEXT(300893,"000000")</f>
        <v>0</v>
      </c>
      <c r="C418">
        <v>24.02</v>
      </c>
      <c r="D418">
        <f>TEXT(0.0322,"0.00%")</f>
        <v>0</v>
      </c>
      <c r="E418">
        <v>2552043</v>
      </c>
      <c r="F418">
        <v>60984378</v>
      </c>
      <c r="G418">
        <f>TEXT(0.0902,"0.00%")</f>
        <v>0</v>
      </c>
      <c r="H418">
        <f>TEXT(0.0454,"0.00%")</f>
        <v>0</v>
      </c>
      <c r="I418">
        <v>5404500000</v>
      </c>
      <c r="J418">
        <v>2.22</v>
      </c>
      <c r="K418">
        <v>24.8</v>
      </c>
      <c r="L418">
        <v>22.7</v>
      </c>
      <c r="M418">
        <v>23.49</v>
      </c>
      <c r="N418">
        <v>23.27</v>
      </c>
    </row>
    <row r="419" spans="1:14">
      <c r="A419" t="s">
        <v>431</v>
      </c>
      <c r="B419">
        <f>TEXT(002913,"000000")</f>
        <v>0</v>
      </c>
      <c r="C419">
        <v>36.01</v>
      </c>
      <c r="D419">
        <f>TEXT(0.0321,"0.00%")</f>
        <v>0</v>
      </c>
      <c r="E419">
        <v>8652672</v>
      </c>
      <c r="F419">
        <v>308765599</v>
      </c>
      <c r="G419">
        <f>TEXT(0.098,"0.00%")</f>
        <v>0</v>
      </c>
      <c r="H419">
        <f>TEXT(0.0325,"0.00%")</f>
        <v>0</v>
      </c>
      <c r="I419">
        <v>11428151749</v>
      </c>
      <c r="J419">
        <v>2.8</v>
      </c>
      <c r="K419">
        <v>36.78</v>
      </c>
      <c r="L419">
        <v>33.36</v>
      </c>
      <c r="M419">
        <v>34</v>
      </c>
      <c r="N419">
        <v>34.89</v>
      </c>
    </row>
    <row r="420" spans="1:14">
      <c r="A420" t="s">
        <v>432</v>
      </c>
      <c r="B420">
        <f>TEXT(300075,"000000")</f>
        <v>0</v>
      </c>
      <c r="C420">
        <v>26.45</v>
      </c>
      <c r="D420">
        <f>TEXT(0.032,"0.00%")</f>
        <v>0</v>
      </c>
      <c r="E420">
        <v>33455688</v>
      </c>
      <c r="F420">
        <v>878694080</v>
      </c>
      <c r="G420">
        <f>TEXT(0.0441,"0.00%")</f>
        <v>0</v>
      </c>
      <c r="H420">
        <f>TEXT(0.0803,"0.00%")</f>
        <v>0</v>
      </c>
      <c r="I420">
        <v>13503610149</v>
      </c>
      <c r="J420">
        <v>1</v>
      </c>
      <c r="K420">
        <v>26.76</v>
      </c>
      <c r="L420">
        <v>25.63</v>
      </c>
      <c r="M420">
        <v>25.91</v>
      </c>
      <c r="N420">
        <v>25.63</v>
      </c>
    </row>
    <row r="421" spans="1:14">
      <c r="A421" t="s">
        <v>433</v>
      </c>
      <c r="B421">
        <f>TEXT(688270,"000000")</f>
        <v>0</v>
      </c>
      <c r="C421">
        <v>89.01000000000001</v>
      </c>
      <c r="D421">
        <f>TEXT(0.032,"0.00%")</f>
        <v>0</v>
      </c>
      <c r="E421">
        <v>1684993</v>
      </c>
      <c r="F421">
        <v>148415715</v>
      </c>
      <c r="G421">
        <f>TEXT(0.0452,"0.00%")</f>
        <v>0</v>
      </c>
      <c r="H421">
        <f>TEXT(0.027200000000000002,"0.00%")</f>
        <v>0</v>
      </c>
      <c r="I421">
        <v>9720782100</v>
      </c>
      <c r="J421">
        <v>1.3</v>
      </c>
      <c r="K421">
        <v>90</v>
      </c>
      <c r="L421">
        <v>86.09999999999999</v>
      </c>
      <c r="M421">
        <v>86.36</v>
      </c>
      <c r="N421">
        <v>86.25</v>
      </c>
    </row>
    <row r="422" spans="1:14">
      <c r="A422" t="s">
        <v>434</v>
      </c>
      <c r="B422">
        <f>TEXT(300159,"000000")</f>
        <v>0</v>
      </c>
      <c r="C422">
        <v>2.9</v>
      </c>
      <c r="D422">
        <f>TEXT(0.032,"0.00%")</f>
        <v>0</v>
      </c>
      <c r="E422">
        <v>18194204</v>
      </c>
      <c r="F422">
        <v>51911403</v>
      </c>
      <c r="G422">
        <f>TEXT(0.053399999999999996,"0.00%")</f>
        <v>0</v>
      </c>
      <c r="H422">
        <f>TEXT(0.012199999999999999,"0.00%")</f>
        <v>0</v>
      </c>
      <c r="I422">
        <v>4322044585</v>
      </c>
      <c r="J422">
        <v>0.86</v>
      </c>
      <c r="K422">
        <v>2.94</v>
      </c>
      <c r="L422">
        <v>2.79</v>
      </c>
      <c r="M422">
        <v>2.83</v>
      </c>
      <c r="N422">
        <v>2.81</v>
      </c>
    </row>
    <row r="423" spans="1:14">
      <c r="A423" t="s">
        <v>435</v>
      </c>
      <c r="B423">
        <f>TEXT(600426,"000000")</f>
        <v>0</v>
      </c>
      <c r="C423">
        <v>30.62</v>
      </c>
      <c r="D423">
        <f>TEXT(0.032,"0.00%")</f>
        <v>0</v>
      </c>
      <c r="E423">
        <v>10854379</v>
      </c>
      <c r="F423">
        <v>328951978</v>
      </c>
      <c r="G423">
        <f>TEXT(0.0458,"0.00%")</f>
        <v>0</v>
      </c>
      <c r="H423">
        <f>TEXT(0.0051,"0.00%")</f>
        <v>0</v>
      </c>
      <c r="I423">
        <v>65016058369</v>
      </c>
      <c r="J423">
        <v>0.97</v>
      </c>
      <c r="K423">
        <v>30.89</v>
      </c>
      <c r="L423">
        <v>29.53</v>
      </c>
      <c r="M423">
        <v>29.7</v>
      </c>
      <c r="N423">
        <v>29.67</v>
      </c>
    </row>
    <row r="424" spans="1:14">
      <c r="A424" t="s">
        <v>436</v>
      </c>
      <c r="B424">
        <f>TEXT(600547,"000000")</f>
        <v>0</v>
      </c>
      <c r="C424">
        <v>24.86</v>
      </c>
      <c r="D424">
        <f>TEXT(0.032,"0.00%")</f>
        <v>0</v>
      </c>
      <c r="E424">
        <v>28157102</v>
      </c>
      <c r="F424">
        <v>694461563</v>
      </c>
      <c r="G424">
        <f>TEXT(0.0677,"0.00%")</f>
        <v>0</v>
      </c>
      <c r="H424">
        <f>TEXT(0.0078000000000000005,"0.00%")</f>
        <v>0</v>
      </c>
      <c r="I424">
        <v>111209457991</v>
      </c>
      <c r="J424">
        <v>1.14</v>
      </c>
      <c r="K424">
        <v>25.34</v>
      </c>
      <c r="L424">
        <v>23.71</v>
      </c>
      <c r="M424">
        <v>23.78</v>
      </c>
      <c r="N424">
        <v>24.09</v>
      </c>
    </row>
    <row r="425" spans="1:14">
      <c r="A425" t="s">
        <v>437</v>
      </c>
      <c r="B425">
        <f>TEXT(300603,"000000")</f>
        <v>0</v>
      </c>
      <c r="C425">
        <v>11.62</v>
      </c>
      <c r="D425">
        <f>TEXT(0.032,"0.00%")</f>
        <v>0</v>
      </c>
      <c r="E425">
        <v>12836753</v>
      </c>
      <c r="F425">
        <v>146685990</v>
      </c>
      <c r="G425">
        <f>TEXT(0.0355,"0.00%")</f>
        <v>0</v>
      </c>
      <c r="H425">
        <f>TEXT(0.0509,"0.00%")</f>
        <v>0</v>
      </c>
      <c r="I425">
        <v>5406966086</v>
      </c>
      <c r="J425">
        <v>1.47</v>
      </c>
      <c r="K425">
        <v>11.62</v>
      </c>
      <c r="L425">
        <v>11.22</v>
      </c>
      <c r="M425">
        <v>11.28</v>
      </c>
      <c r="N425">
        <v>11.26</v>
      </c>
    </row>
    <row r="426" spans="1:14">
      <c r="A426" t="s">
        <v>438</v>
      </c>
      <c r="B426">
        <f>TEXT(002429,"000000")</f>
        <v>0</v>
      </c>
      <c r="C426">
        <v>4.84</v>
      </c>
      <c r="D426">
        <f>TEXT(0.032,"0.00%")</f>
        <v>0</v>
      </c>
      <c r="E426">
        <v>25372350</v>
      </c>
      <c r="F426">
        <v>121394191</v>
      </c>
      <c r="G426">
        <f>TEXT(0.0384,"0.00%")</f>
        <v>0</v>
      </c>
      <c r="H426">
        <f>TEXT(0.005699999999999999,"0.00%")</f>
        <v>0</v>
      </c>
      <c r="I426">
        <v>21910392537</v>
      </c>
      <c r="J426">
        <v>0.6</v>
      </c>
      <c r="K426">
        <v>4.84</v>
      </c>
      <c r="L426">
        <v>4.66</v>
      </c>
      <c r="M426">
        <v>4.69</v>
      </c>
      <c r="N426">
        <v>4.69</v>
      </c>
    </row>
    <row r="427" spans="1:14">
      <c r="A427" t="s">
        <v>439</v>
      </c>
      <c r="B427">
        <f>TEXT(600642,"000000")</f>
        <v>0</v>
      </c>
      <c r="C427">
        <v>7.12</v>
      </c>
      <c r="D427">
        <f>TEXT(0.0319,"0.00%")</f>
        <v>0</v>
      </c>
      <c r="E427">
        <v>33166151</v>
      </c>
      <c r="F427">
        <v>235125875</v>
      </c>
      <c r="G427">
        <f>TEXT(0.0391,"0.00%")</f>
        <v>0</v>
      </c>
      <c r="H427">
        <f>TEXT(0.0068000000000000005,"0.00%")</f>
        <v>0</v>
      </c>
      <c r="I427">
        <v>34955129396</v>
      </c>
      <c r="J427">
        <v>1.64</v>
      </c>
      <c r="K427">
        <v>7.14</v>
      </c>
      <c r="L427">
        <v>6.87</v>
      </c>
      <c r="M427">
        <v>6.89</v>
      </c>
      <c r="N427">
        <v>6.9</v>
      </c>
    </row>
    <row r="428" spans="1:14">
      <c r="A428" t="s">
        <v>440</v>
      </c>
      <c r="B428">
        <f>TEXT(000045,"000000")</f>
        <v>0</v>
      </c>
      <c r="C428">
        <v>10.99</v>
      </c>
      <c r="D428">
        <f>TEXT(0.0319,"0.00%")</f>
        <v>0</v>
      </c>
      <c r="E428">
        <v>11155120</v>
      </c>
      <c r="F428">
        <v>121191548</v>
      </c>
      <c r="G428">
        <f>TEXT(0.0441,"0.00%")</f>
        <v>0</v>
      </c>
      <c r="H428">
        <f>TEXT(0.024399999999999998,"0.00%")</f>
        <v>0</v>
      </c>
      <c r="I428">
        <v>5566675120</v>
      </c>
      <c r="J428">
        <v>1.78</v>
      </c>
      <c r="K428">
        <v>11.04</v>
      </c>
      <c r="L428">
        <v>10.57</v>
      </c>
      <c r="M428">
        <v>10.65</v>
      </c>
      <c r="N428">
        <v>10.65</v>
      </c>
    </row>
    <row r="429" spans="1:14">
      <c r="A429" t="s">
        <v>441</v>
      </c>
      <c r="B429">
        <f>TEXT(600011,"000000")</f>
        <v>0</v>
      </c>
      <c r="C429">
        <v>9.710000000000001</v>
      </c>
      <c r="D429">
        <f>TEXT(0.0319,"0.00%")</f>
        <v>0</v>
      </c>
      <c r="E429">
        <v>90671500</v>
      </c>
      <c r="F429">
        <v>880559130</v>
      </c>
      <c r="G429">
        <f>TEXT(0.0436,"0.00%")</f>
        <v>0</v>
      </c>
      <c r="H429">
        <f>TEXT(0.008199999999999999,"0.00%")</f>
        <v>0</v>
      </c>
      <c r="I429">
        <v>152428486515</v>
      </c>
      <c r="J429">
        <v>1.65</v>
      </c>
      <c r="K429">
        <v>9.869999999999999</v>
      </c>
      <c r="L429">
        <v>9.460000000000001</v>
      </c>
      <c r="M429">
        <v>9.460000000000001</v>
      </c>
      <c r="N429">
        <v>9.41</v>
      </c>
    </row>
    <row r="430" spans="1:14">
      <c r="A430" t="s">
        <v>442</v>
      </c>
      <c r="B430">
        <f>TEXT(600839,"000000")</f>
        <v>0</v>
      </c>
      <c r="C430">
        <v>4.21</v>
      </c>
      <c r="D430">
        <f>TEXT(0.0319,"0.00%")</f>
        <v>0</v>
      </c>
      <c r="E430">
        <v>348767855</v>
      </c>
      <c r="F430">
        <v>1446057256</v>
      </c>
      <c r="G430">
        <f>TEXT(0.0833,"0.00%")</f>
        <v>0</v>
      </c>
      <c r="H430">
        <f>TEXT(0.0756,"0.00%")</f>
        <v>0</v>
      </c>
      <c r="I430">
        <v>19434388174</v>
      </c>
      <c r="J430">
        <v>1.41</v>
      </c>
      <c r="K430">
        <v>4.27</v>
      </c>
      <c r="L430">
        <v>3.93</v>
      </c>
      <c r="M430">
        <v>4.06</v>
      </c>
      <c r="N430">
        <v>4.08</v>
      </c>
    </row>
    <row r="431" spans="1:14">
      <c r="A431" t="s">
        <v>443</v>
      </c>
      <c r="B431">
        <f>TEXT(300552,"000000")</f>
        <v>0</v>
      </c>
      <c r="C431">
        <v>18.49</v>
      </c>
      <c r="D431">
        <f>TEXT(0.0318,"0.00%")</f>
        <v>0</v>
      </c>
      <c r="E431">
        <v>2255380</v>
      </c>
      <c r="F431">
        <v>41166059</v>
      </c>
      <c r="G431">
        <f>TEXT(0.0368,"0.00%")</f>
        <v>0</v>
      </c>
      <c r="H431">
        <f>TEXT(0.0179,"0.00%")</f>
        <v>0</v>
      </c>
      <c r="I431">
        <v>3940831240</v>
      </c>
      <c r="J431">
        <v>0.78</v>
      </c>
      <c r="K431">
        <v>18.5</v>
      </c>
      <c r="L431">
        <v>17.84</v>
      </c>
      <c r="M431">
        <v>17.84</v>
      </c>
      <c r="N431">
        <v>17.92</v>
      </c>
    </row>
    <row r="432" spans="1:14">
      <c r="A432" t="s">
        <v>444</v>
      </c>
      <c r="B432">
        <f>TEXT(300161,"000000")</f>
        <v>0</v>
      </c>
      <c r="C432">
        <v>42.2</v>
      </c>
      <c r="D432">
        <f>TEXT(0.0318,"0.00%")</f>
        <v>0</v>
      </c>
      <c r="E432">
        <v>8792374</v>
      </c>
      <c r="F432">
        <v>364112147</v>
      </c>
      <c r="G432">
        <f>TEXT(0.0641,"0.00%")</f>
        <v>0</v>
      </c>
      <c r="H432">
        <f>TEXT(0.0521,"0.00%")</f>
        <v>0</v>
      </c>
      <c r="I432">
        <v>8385009433</v>
      </c>
      <c r="J432">
        <v>1.03</v>
      </c>
      <c r="K432">
        <v>42.62</v>
      </c>
      <c r="L432">
        <v>40</v>
      </c>
      <c r="M432">
        <v>40.66</v>
      </c>
      <c r="N432">
        <v>40.9</v>
      </c>
    </row>
    <row r="433" spans="1:14">
      <c r="A433" t="s">
        <v>445</v>
      </c>
      <c r="B433">
        <f>TEXT(300098,"000000")</f>
        <v>0</v>
      </c>
      <c r="C433">
        <v>3.57</v>
      </c>
      <c r="D433">
        <f>TEXT(0.0318,"0.00%")</f>
        <v>0</v>
      </c>
      <c r="E433">
        <v>22553471</v>
      </c>
      <c r="F433">
        <v>79393180</v>
      </c>
      <c r="G433">
        <f>TEXT(0.037599999999999995,"0.00%")</f>
        <v>0</v>
      </c>
      <c r="H433">
        <f>TEXT(0.0148,"0.00%")</f>
        <v>0</v>
      </c>
      <c r="I433">
        <v>6203882721</v>
      </c>
      <c r="J433">
        <v>0.98</v>
      </c>
      <c r="K433">
        <v>3.58</v>
      </c>
      <c r="L433">
        <v>3.45</v>
      </c>
      <c r="M433">
        <v>3.46</v>
      </c>
      <c r="N433">
        <v>3.46</v>
      </c>
    </row>
    <row r="434" spans="1:14">
      <c r="A434" t="s">
        <v>446</v>
      </c>
      <c r="B434">
        <f>TEXT(300212,"000000")</f>
        <v>0</v>
      </c>
      <c r="C434">
        <v>32.5</v>
      </c>
      <c r="D434">
        <f>TEXT(0.0317,"0.00%")</f>
        <v>0</v>
      </c>
      <c r="E434">
        <v>37119026</v>
      </c>
      <c r="F434">
        <v>1198129204</v>
      </c>
      <c r="G434">
        <f>TEXT(0.056799999999999996,"0.00%")</f>
        <v>0</v>
      </c>
      <c r="H434">
        <f>TEXT(0.0579,"0.00%")</f>
        <v>0</v>
      </c>
      <c r="I434">
        <v>21638965042</v>
      </c>
      <c r="J434">
        <v>1.42</v>
      </c>
      <c r="K434">
        <v>32.99</v>
      </c>
      <c r="L434">
        <v>31.2</v>
      </c>
      <c r="M434">
        <v>31.2</v>
      </c>
      <c r="N434">
        <v>31.5</v>
      </c>
    </row>
    <row r="435" spans="1:14">
      <c r="A435" t="s">
        <v>447</v>
      </c>
      <c r="B435">
        <f>TEXT(300536,"000000")</f>
        <v>0</v>
      </c>
      <c r="C435">
        <v>14.64</v>
      </c>
      <c r="D435">
        <f>TEXT(0.0317,"0.00%")</f>
        <v>0</v>
      </c>
      <c r="E435">
        <v>4251872</v>
      </c>
      <c r="F435">
        <v>61908602</v>
      </c>
      <c r="G435">
        <f>TEXT(0.0529,"0.00%")</f>
        <v>0</v>
      </c>
      <c r="H435">
        <f>TEXT(0.014499999999999999,"0.00%")</f>
        <v>0</v>
      </c>
      <c r="I435">
        <v>4293738267</v>
      </c>
      <c r="J435">
        <v>1.18</v>
      </c>
      <c r="K435">
        <v>14.77</v>
      </c>
      <c r="L435">
        <v>14.02</v>
      </c>
      <c r="M435">
        <v>14.16</v>
      </c>
      <c r="N435">
        <v>14.19</v>
      </c>
    </row>
    <row r="436" spans="1:14">
      <c r="A436" t="s">
        <v>448</v>
      </c>
      <c r="B436">
        <f>TEXT(002019,"000000")</f>
        <v>0</v>
      </c>
      <c r="C436">
        <v>15.67</v>
      </c>
      <c r="D436">
        <f>TEXT(0.0316,"0.00%")</f>
        <v>0</v>
      </c>
      <c r="E436">
        <v>10773074</v>
      </c>
      <c r="F436">
        <v>167478477</v>
      </c>
      <c r="G436">
        <f>TEXT(0.0375,"0.00%")</f>
        <v>0</v>
      </c>
      <c r="H436">
        <f>TEXT(0.0126,"0.00%")</f>
        <v>0</v>
      </c>
      <c r="I436">
        <v>19211809039</v>
      </c>
      <c r="J436">
        <v>1.73</v>
      </c>
      <c r="K436">
        <v>15.74</v>
      </c>
      <c r="L436">
        <v>15.17</v>
      </c>
      <c r="M436">
        <v>15.2</v>
      </c>
      <c r="N436">
        <v>15.19</v>
      </c>
    </row>
    <row r="437" spans="1:14">
      <c r="A437" t="s">
        <v>449</v>
      </c>
      <c r="B437">
        <f>TEXT(603035,"000000")</f>
        <v>0</v>
      </c>
      <c r="C437">
        <v>19.01</v>
      </c>
      <c r="D437">
        <f>TEXT(0.0315,"0.00%")</f>
        <v>0</v>
      </c>
      <c r="E437">
        <v>7344375</v>
      </c>
      <c r="F437">
        <v>138977810</v>
      </c>
      <c r="G437">
        <f>TEXT(0.0581,"0.00%")</f>
        <v>0</v>
      </c>
      <c r="H437">
        <f>TEXT(0.019299999999999998,"0.00%")</f>
        <v>0</v>
      </c>
      <c r="I437">
        <v>7224388036</v>
      </c>
      <c r="J437">
        <v>1.32</v>
      </c>
      <c r="K437">
        <v>19.28</v>
      </c>
      <c r="L437">
        <v>18.21</v>
      </c>
      <c r="M437">
        <v>18.5</v>
      </c>
      <c r="N437">
        <v>18.43</v>
      </c>
    </row>
    <row r="438" spans="1:14">
      <c r="A438" t="s">
        <v>450</v>
      </c>
      <c r="B438">
        <f>TEXT(603768,"000000")</f>
        <v>0</v>
      </c>
      <c r="C438">
        <v>15.74</v>
      </c>
      <c r="D438">
        <f>TEXT(0.0315,"0.00%")</f>
        <v>0</v>
      </c>
      <c r="E438">
        <v>2218500</v>
      </c>
      <c r="F438">
        <v>34469244</v>
      </c>
      <c r="G438">
        <f>TEXT(0.053099999999999994,"0.00%")</f>
        <v>0</v>
      </c>
      <c r="H438">
        <f>TEXT(0.0109,"0.00%")</f>
        <v>0</v>
      </c>
      <c r="I438">
        <v>3210960000</v>
      </c>
      <c r="J438">
        <v>1.84</v>
      </c>
      <c r="K438">
        <v>15.86</v>
      </c>
      <c r="L438">
        <v>15.05</v>
      </c>
      <c r="M438">
        <v>15.25</v>
      </c>
      <c r="N438">
        <v>15.26</v>
      </c>
    </row>
    <row r="439" spans="1:14">
      <c r="A439" t="s">
        <v>451</v>
      </c>
      <c r="B439">
        <f>TEXT(002275,"000000")</f>
        <v>0</v>
      </c>
      <c r="C439">
        <v>19.45</v>
      </c>
      <c r="D439">
        <f>TEXT(0.0313,"0.00%")</f>
        <v>0</v>
      </c>
      <c r="E439">
        <v>5353653</v>
      </c>
      <c r="F439">
        <v>103496024</v>
      </c>
      <c r="G439">
        <f>TEXT(0.058899999999999994,"0.00%")</f>
        <v>0</v>
      </c>
      <c r="H439">
        <f>TEXT(0.0097,"0.00%")</f>
        <v>0</v>
      </c>
      <c r="I439">
        <v>11428209270</v>
      </c>
      <c r="J439">
        <v>1.2</v>
      </c>
      <c r="K439">
        <v>19.81</v>
      </c>
      <c r="L439">
        <v>18.7</v>
      </c>
      <c r="M439">
        <v>18.88</v>
      </c>
      <c r="N439">
        <v>18.86</v>
      </c>
    </row>
    <row r="440" spans="1:14">
      <c r="A440" t="s">
        <v>452</v>
      </c>
      <c r="B440">
        <f>TEXT(688163,"000000")</f>
        <v>0</v>
      </c>
      <c r="C440">
        <v>24.4</v>
      </c>
      <c r="D440">
        <f>TEXT(0.0313,"0.00%")</f>
        <v>0</v>
      </c>
      <c r="E440">
        <v>783443</v>
      </c>
      <c r="F440">
        <v>18936222</v>
      </c>
      <c r="G440">
        <f>TEXT(0.0516,"0.00%")</f>
        <v>0</v>
      </c>
      <c r="H440">
        <f>TEXT(0.0183,"0.00%")</f>
        <v>0</v>
      </c>
      <c r="I440">
        <v>2640568000</v>
      </c>
      <c r="J440">
        <v>1.42</v>
      </c>
      <c r="K440">
        <v>24.74</v>
      </c>
      <c r="L440">
        <v>23.52</v>
      </c>
      <c r="M440">
        <v>23.98</v>
      </c>
      <c r="N440">
        <v>23.66</v>
      </c>
    </row>
    <row r="441" spans="1:14">
      <c r="A441" t="s">
        <v>453</v>
      </c>
      <c r="B441">
        <f>TEXT(300002,"000000")</f>
        <v>0</v>
      </c>
      <c r="C441">
        <v>11.21</v>
      </c>
      <c r="D441">
        <f>TEXT(0.0313,"0.00%")</f>
        <v>0</v>
      </c>
      <c r="E441">
        <v>135481751</v>
      </c>
      <c r="F441">
        <v>1498388777</v>
      </c>
      <c r="G441">
        <f>TEXT(0.08,"0.00%")</f>
        <v>0</v>
      </c>
      <c r="H441">
        <f>TEXT(0.0745,"0.00%")</f>
        <v>0</v>
      </c>
      <c r="I441">
        <v>21983841140</v>
      </c>
      <c r="J441">
        <v>0.95</v>
      </c>
      <c r="K441">
        <v>11.37</v>
      </c>
      <c r="L441">
        <v>10.5</v>
      </c>
      <c r="M441">
        <v>10.74</v>
      </c>
      <c r="N441">
        <v>10.87</v>
      </c>
    </row>
    <row r="442" spans="1:14">
      <c r="A442" t="s">
        <v>454</v>
      </c>
      <c r="B442">
        <f>TEXT(000409,"000000")</f>
        <v>0</v>
      </c>
      <c r="C442">
        <v>8.6</v>
      </c>
      <c r="D442">
        <f>TEXT(0.031200000000000002,"0.00%")</f>
        <v>0</v>
      </c>
      <c r="E442">
        <v>11080933</v>
      </c>
      <c r="F442">
        <v>94122796</v>
      </c>
      <c r="G442">
        <f>TEXT(0.0408,"0.00%")</f>
        <v>0</v>
      </c>
      <c r="H442">
        <f>TEXT(0.0262,"0.00%")</f>
        <v>0</v>
      </c>
      <c r="I442">
        <v>5712210343</v>
      </c>
      <c r="J442">
        <v>1.67</v>
      </c>
      <c r="K442">
        <v>8.609999999999999</v>
      </c>
      <c r="L442">
        <v>8.27</v>
      </c>
      <c r="M442">
        <v>8.300000000000001</v>
      </c>
      <c r="N442">
        <v>8.34</v>
      </c>
    </row>
    <row r="443" spans="1:14">
      <c r="A443" t="s">
        <v>455</v>
      </c>
      <c r="B443">
        <f>TEXT(603896,"000000")</f>
        <v>0</v>
      </c>
      <c r="C443">
        <v>44.8</v>
      </c>
      <c r="D443">
        <f>TEXT(0.0311,"0.00%")</f>
        <v>0</v>
      </c>
      <c r="E443">
        <v>3210787</v>
      </c>
      <c r="F443">
        <v>140863395</v>
      </c>
      <c r="G443">
        <f>TEXT(0.044000000000000004,"0.00%")</f>
        <v>0</v>
      </c>
      <c r="H443">
        <f>TEXT(0.0163,"0.00%")</f>
        <v>0</v>
      </c>
      <c r="I443">
        <v>8834807116</v>
      </c>
      <c r="J443">
        <v>1.12</v>
      </c>
      <c r="K443">
        <v>44.88</v>
      </c>
      <c r="L443">
        <v>42.97</v>
      </c>
      <c r="M443">
        <v>43.5</v>
      </c>
      <c r="N443">
        <v>43.45</v>
      </c>
    </row>
    <row r="444" spans="1:14">
      <c r="A444" t="s">
        <v>456</v>
      </c>
      <c r="B444">
        <f>TEXT(600351,"000000")</f>
        <v>0</v>
      </c>
      <c r="C444">
        <v>6.99</v>
      </c>
      <c r="D444">
        <f>TEXT(0.031,"0.00%")</f>
        <v>0</v>
      </c>
      <c r="E444">
        <v>17778745</v>
      </c>
      <c r="F444">
        <v>123031362</v>
      </c>
      <c r="G444">
        <f>TEXT(0.0383,"0.00%")</f>
        <v>0</v>
      </c>
      <c r="H444">
        <f>TEXT(0.0231,"0.00%")</f>
        <v>0</v>
      </c>
      <c r="I444">
        <v>5382300160</v>
      </c>
      <c r="J444">
        <v>1.65</v>
      </c>
      <c r="K444">
        <v>7.02</v>
      </c>
      <c r="L444">
        <v>6.76</v>
      </c>
      <c r="M444">
        <v>6.78</v>
      </c>
      <c r="N444">
        <v>6.78</v>
      </c>
    </row>
    <row r="445" spans="1:14">
      <c r="A445" t="s">
        <v>457</v>
      </c>
      <c r="B445">
        <f>TEXT(300612,"000000")</f>
        <v>0</v>
      </c>
      <c r="C445">
        <v>20.63</v>
      </c>
      <c r="D445">
        <f>TEXT(0.031,"0.00%")</f>
        <v>0</v>
      </c>
      <c r="E445">
        <v>8510400</v>
      </c>
      <c r="F445">
        <v>173420776</v>
      </c>
      <c r="G445">
        <f>TEXT(0.0435,"0.00%")</f>
        <v>0</v>
      </c>
      <c r="H445">
        <f>TEXT(0.0535,"0.00%")</f>
        <v>0</v>
      </c>
      <c r="I445">
        <v>3280994684</v>
      </c>
      <c r="J445">
        <v>1.15</v>
      </c>
      <c r="K445">
        <v>20.71</v>
      </c>
      <c r="L445">
        <v>19.84</v>
      </c>
      <c r="M445">
        <v>20</v>
      </c>
      <c r="N445">
        <v>20.01</v>
      </c>
    </row>
    <row r="446" spans="1:14">
      <c r="A446" t="s">
        <v>458</v>
      </c>
      <c r="B446">
        <f>TEXT(600105,"000000")</f>
        <v>0</v>
      </c>
      <c r="C446">
        <v>6.32</v>
      </c>
      <c r="D446">
        <f>TEXT(0.031,"0.00%")</f>
        <v>0</v>
      </c>
      <c r="E446">
        <v>155404853</v>
      </c>
      <c r="F446">
        <v>976197829</v>
      </c>
      <c r="G446">
        <f>TEXT(0.0816,"0.00%")</f>
        <v>0</v>
      </c>
      <c r="H446">
        <f>TEXT(0.1125,"0.00%")</f>
        <v>0</v>
      </c>
      <c r="I446">
        <v>8880561012</v>
      </c>
      <c r="J446">
        <v>1.21</v>
      </c>
      <c r="K446">
        <v>6.43</v>
      </c>
      <c r="L446">
        <v>5.93</v>
      </c>
      <c r="M446">
        <v>5.99</v>
      </c>
      <c r="N446">
        <v>6.13</v>
      </c>
    </row>
    <row r="447" spans="1:14">
      <c r="A447" t="s">
        <v>459</v>
      </c>
      <c r="B447">
        <f>TEXT(688425,"000000")</f>
        <v>0</v>
      </c>
      <c r="C447">
        <v>5.33</v>
      </c>
      <c r="D447">
        <f>TEXT(0.030899999999999997,"0.00%")</f>
        <v>0</v>
      </c>
      <c r="E447">
        <v>36303087</v>
      </c>
      <c r="F447">
        <v>192369542</v>
      </c>
      <c r="G447">
        <f>TEXT(0.056100000000000004,"0.00%")</f>
        <v>0</v>
      </c>
      <c r="H447">
        <f>TEXT(0.0252,"0.00%")</f>
        <v>0</v>
      </c>
      <c r="I447">
        <v>28427539010</v>
      </c>
      <c r="J447">
        <v>1.14</v>
      </c>
      <c r="K447">
        <v>5.43</v>
      </c>
      <c r="L447">
        <v>5.14</v>
      </c>
      <c r="M447">
        <v>5.17</v>
      </c>
      <c r="N447">
        <v>5.17</v>
      </c>
    </row>
    <row r="448" spans="1:14">
      <c r="A448" t="s">
        <v>460</v>
      </c>
      <c r="B448">
        <f>TEXT(301282,"000000")</f>
        <v>0</v>
      </c>
      <c r="C448">
        <v>28.32</v>
      </c>
      <c r="D448">
        <f>TEXT(0.030899999999999997,"0.00%")</f>
        <v>0</v>
      </c>
      <c r="E448">
        <v>3761210</v>
      </c>
      <c r="F448">
        <v>105277204</v>
      </c>
      <c r="G448">
        <f>TEXT(0.0473,"0.00%")</f>
        <v>0</v>
      </c>
      <c r="H448">
        <f>TEXT(0.09949999999999999,"0.00%")</f>
        <v>0</v>
      </c>
      <c r="I448">
        <v>4280283893</v>
      </c>
      <c r="J448">
        <v>2.35</v>
      </c>
      <c r="K448">
        <v>28.38</v>
      </c>
      <c r="L448">
        <v>27.08</v>
      </c>
      <c r="M448">
        <v>27.4</v>
      </c>
      <c r="N448">
        <v>27.47</v>
      </c>
    </row>
    <row r="449" spans="1:14">
      <c r="A449" t="s">
        <v>461</v>
      </c>
      <c r="B449">
        <f>TEXT(600566,"000000")</f>
        <v>0</v>
      </c>
      <c r="C449">
        <v>31.4</v>
      </c>
      <c r="D449">
        <f>TEXT(0.030899999999999997,"0.00%")</f>
        <v>0</v>
      </c>
      <c r="E449">
        <v>7844100</v>
      </c>
      <c r="F449">
        <v>243995910</v>
      </c>
      <c r="G449">
        <f>TEXT(0.045,"0.00%")</f>
        <v>0</v>
      </c>
      <c r="H449">
        <f>TEXT(0.0086,"0.00%")</f>
        <v>0</v>
      </c>
      <c r="I449">
        <v>28945215824</v>
      </c>
      <c r="J449">
        <v>1.35</v>
      </c>
      <c r="K449">
        <v>31.63</v>
      </c>
      <c r="L449">
        <v>30.26</v>
      </c>
      <c r="M449">
        <v>30.26</v>
      </c>
      <c r="N449">
        <v>30.46</v>
      </c>
    </row>
    <row r="450" spans="1:14">
      <c r="A450" t="s">
        <v>462</v>
      </c>
      <c r="B450">
        <f>TEXT(603982,"000000")</f>
        <v>0</v>
      </c>
      <c r="C450">
        <v>16.76</v>
      </c>
      <c r="D450">
        <f>TEXT(0.0308,"0.00%")</f>
        <v>0</v>
      </c>
      <c r="E450">
        <v>8014743</v>
      </c>
      <c r="F450">
        <v>133795496</v>
      </c>
      <c r="G450">
        <f>TEXT(0.0836,"0.00%")</f>
        <v>0</v>
      </c>
      <c r="H450">
        <f>TEXT(0.039900000000000005,"0.00%")</f>
        <v>0</v>
      </c>
      <c r="I450">
        <v>4421969243</v>
      </c>
      <c r="J450">
        <v>2.18</v>
      </c>
      <c r="K450">
        <v>17.2</v>
      </c>
      <c r="L450">
        <v>15.84</v>
      </c>
      <c r="M450">
        <v>16.22</v>
      </c>
      <c r="N450">
        <v>16.26</v>
      </c>
    </row>
    <row r="451" spans="1:14">
      <c r="A451" t="s">
        <v>463</v>
      </c>
      <c r="B451">
        <f>TEXT(000807,"000000")</f>
        <v>0</v>
      </c>
      <c r="C451">
        <v>12.39</v>
      </c>
      <c r="D451">
        <f>TEXT(0.0308,"0.00%")</f>
        <v>0</v>
      </c>
      <c r="E451">
        <v>28307963</v>
      </c>
      <c r="F451">
        <v>345379385</v>
      </c>
      <c r="G451">
        <f>TEXT(0.0524,"0.00%")</f>
        <v>0</v>
      </c>
      <c r="H451">
        <f>TEXT(0.008199999999999999,"0.00%")</f>
        <v>0</v>
      </c>
      <c r="I451">
        <v>42967992247</v>
      </c>
      <c r="J451">
        <v>1.08</v>
      </c>
      <c r="K451">
        <v>12.48</v>
      </c>
      <c r="L451">
        <v>11.85</v>
      </c>
      <c r="M451">
        <v>12.02</v>
      </c>
      <c r="N451">
        <v>12.02</v>
      </c>
    </row>
    <row r="452" spans="1:14">
      <c r="A452" t="s">
        <v>464</v>
      </c>
      <c r="B452">
        <f>TEXT(003032,"000000")</f>
        <v>0</v>
      </c>
      <c r="C452">
        <v>14.06</v>
      </c>
      <c r="D452">
        <f>TEXT(0.0308,"0.00%")</f>
        <v>0</v>
      </c>
      <c r="E452">
        <v>14381866</v>
      </c>
      <c r="F452">
        <v>199887225</v>
      </c>
      <c r="G452">
        <f>TEXT(0.0484,"0.00%")</f>
        <v>0</v>
      </c>
      <c r="H452">
        <f>TEXT(0.08259999999999999,"0.00%")</f>
        <v>0</v>
      </c>
      <c r="I452">
        <v>5658411850</v>
      </c>
      <c r="J452">
        <v>1.53</v>
      </c>
      <c r="K452">
        <v>14.12</v>
      </c>
      <c r="L452">
        <v>13.46</v>
      </c>
      <c r="M452">
        <v>13.55</v>
      </c>
      <c r="N452">
        <v>13.64</v>
      </c>
    </row>
    <row r="453" spans="1:14">
      <c r="A453" t="s">
        <v>465</v>
      </c>
      <c r="B453">
        <f>TEXT(600502,"000000")</f>
        <v>0</v>
      </c>
      <c r="C453">
        <v>5.7</v>
      </c>
      <c r="D453">
        <f>TEXT(0.030699999999999998,"0.00%")</f>
        <v>0</v>
      </c>
      <c r="E453">
        <v>60283621</v>
      </c>
      <c r="F453">
        <v>346795833</v>
      </c>
      <c r="G453">
        <f>TEXT(0.038,"0.00%")</f>
        <v>0</v>
      </c>
      <c r="H453">
        <f>TEXT(0.0351,"0.00%")</f>
        <v>0</v>
      </c>
      <c r="I453">
        <v>9784243446</v>
      </c>
      <c r="J453">
        <v>2.06</v>
      </c>
      <c r="K453">
        <v>5.87</v>
      </c>
      <c r="L453">
        <v>5.66</v>
      </c>
      <c r="M453">
        <v>5.84</v>
      </c>
      <c r="N453">
        <v>5.53</v>
      </c>
    </row>
    <row r="454" spans="1:14">
      <c r="A454" t="s">
        <v>466</v>
      </c>
      <c r="B454">
        <f>TEXT(600107,"000000")</f>
        <v>0</v>
      </c>
      <c r="C454">
        <v>5.71</v>
      </c>
      <c r="D454">
        <f>TEXT(0.030699999999999998,"0.00%")</f>
        <v>0</v>
      </c>
      <c r="E454">
        <v>3290554</v>
      </c>
      <c r="F454">
        <v>18355045</v>
      </c>
      <c r="G454">
        <f>TEXT(0.0487,"0.00%")</f>
        <v>0</v>
      </c>
      <c r="H454">
        <f>TEXT(0.0091,"0.00%")</f>
        <v>0</v>
      </c>
      <c r="I454">
        <v>2055600000</v>
      </c>
      <c r="J454">
        <v>1.56</v>
      </c>
      <c r="K454">
        <v>5.72</v>
      </c>
      <c r="L454">
        <v>5.45</v>
      </c>
      <c r="M454">
        <v>5.55</v>
      </c>
      <c r="N454">
        <v>5.54</v>
      </c>
    </row>
    <row r="455" spans="1:14">
      <c r="A455" t="s">
        <v>467</v>
      </c>
      <c r="B455">
        <f>TEXT(002644,"000000")</f>
        <v>0</v>
      </c>
      <c r="C455">
        <v>13.14</v>
      </c>
      <c r="D455">
        <f>TEXT(0.030600000000000002,"0.00%")</f>
        <v>0</v>
      </c>
      <c r="E455">
        <v>5602300</v>
      </c>
      <c r="F455">
        <v>72715829</v>
      </c>
      <c r="G455">
        <f>TEXT(0.0447,"0.00%")</f>
        <v>0</v>
      </c>
      <c r="H455">
        <f>TEXT(0.011000000000000001,"0.00%")</f>
        <v>0</v>
      </c>
      <c r="I455">
        <v>6710032980</v>
      </c>
      <c r="J455">
        <v>1.03</v>
      </c>
      <c r="K455">
        <v>13.28</v>
      </c>
      <c r="L455">
        <v>12.71</v>
      </c>
      <c r="M455">
        <v>12.84</v>
      </c>
      <c r="N455">
        <v>12.75</v>
      </c>
    </row>
    <row r="456" spans="1:14">
      <c r="A456" t="s">
        <v>468</v>
      </c>
      <c r="B456">
        <f>TEXT(688012,"000000")</f>
        <v>0</v>
      </c>
      <c r="C456">
        <v>164.53</v>
      </c>
      <c r="D456">
        <f>TEXT(0.030600000000000002,"0.00%")</f>
        <v>0</v>
      </c>
      <c r="E456">
        <v>9648834</v>
      </c>
      <c r="F456">
        <v>1581512165</v>
      </c>
      <c r="G456">
        <f>TEXT(0.0426,"0.00%")</f>
        <v>0</v>
      </c>
      <c r="H456">
        <f>TEXT(0.015600000000000001,"0.00%")</f>
        <v>0</v>
      </c>
      <c r="I456">
        <v>101712202989</v>
      </c>
      <c r="J456">
        <v>1.32</v>
      </c>
      <c r="K456">
        <v>166.8</v>
      </c>
      <c r="L456">
        <v>160</v>
      </c>
      <c r="M456">
        <v>161</v>
      </c>
      <c r="N456">
        <v>159.65</v>
      </c>
    </row>
    <row r="457" spans="1:14">
      <c r="A457" t="s">
        <v>469</v>
      </c>
      <c r="B457">
        <f>TEXT(002925,"000000")</f>
        <v>0</v>
      </c>
      <c r="C457">
        <v>18.92</v>
      </c>
      <c r="D457">
        <f>TEXT(0.0305,"0.00%")</f>
        <v>0</v>
      </c>
      <c r="E457">
        <v>4080800</v>
      </c>
      <c r="F457">
        <v>76538359</v>
      </c>
      <c r="G457">
        <f>TEXT(0.0387,"0.00%")</f>
        <v>0</v>
      </c>
      <c r="H457">
        <f>TEXT(0.0055000000000000005,"0.00%")</f>
        <v>0</v>
      </c>
      <c r="I457">
        <v>14805349709</v>
      </c>
      <c r="J457">
        <v>1.11</v>
      </c>
      <c r="K457">
        <v>18.97</v>
      </c>
      <c r="L457">
        <v>18.26</v>
      </c>
      <c r="M457">
        <v>18.45</v>
      </c>
      <c r="N457">
        <v>18.36</v>
      </c>
    </row>
    <row r="458" spans="1:14">
      <c r="A458" t="s">
        <v>470</v>
      </c>
      <c r="B458">
        <f>TEXT(301097,"000000")</f>
        <v>0</v>
      </c>
      <c r="C458">
        <v>51.01</v>
      </c>
      <c r="D458">
        <f>TEXT(0.0305,"0.00%")</f>
        <v>0</v>
      </c>
      <c r="E458">
        <v>332021</v>
      </c>
      <c r="F458">
        <v>16863973</v>
      </c>
      <c r="G458">
        <f>TEXT(0.0453,"0.00%")</f>
        <v>0</v>
      </c>
      <c r="H458">
        <f>TEXT(0.0181,"0.00%")</f>
        <v>0</v>
      </c>
      <c r="I458">
        <v>3006905241</v>
      </c>
      <c r="J458">
        <v>1.32</v>
      </c>
      <c r="K458">
        <v>51.75</v>
      </c>
      <c r="L458">
        <v>49.51</v>
      </c>
      <c r="M458">
        <v>49.51</v>
      </c>
      <c r="N458">
        <v>49.5</v>
      </c>
    </row>
    <row r="459" spans="1:14">
      <c r="A459" t="s">
        <v>471</v>
      </c>
      <c r="B459">
        <f>TEXT(002590,"000000")</f>
        <v>0</v>
      </c>
      <c r="C459">
        <v>8.779999999999999</v>
      </c>
      <c r="D459">
        <f>TEXT(0.0305,"0.00%")</f>
        <v>0</v>
      </c>
      <c r="E459">
        <v>4662790</v>
      </c>
      <c r="F459">
        <v>40327306</v>
      </c>
      <c r="G459">
        <f>TEXT(0.050499999999999996,"0.00%")</f>
        <v>0</v>
      </c>
      <c r="H459">
        <f>TEXT(0.0102,"0.00%")</f>
        <v>0</v>
      </c>
      <c r="I459">
        <v>4211300010</v>
      </c>
      <c r="J459">
        <v>1.76</v>
      </c>
      <c r="K459">
        <v>8.84</v>
      </c>
      <c r="L459">
        <v>8.41</v>
      </c>
      <c r="M459">
        <v>8.550000000000001</v>
      </c>
      <c r="N459">
        <v>8.52</v>
      </c>
    </row>
    <row r="460" spans="1:14">
      <c r="A460" t="s">
        <v>472</v>
      </c>
      <c r="B460">
        <f>TEXT(300250,"000000")</f>
        <v>0</v>
      </c>
      <c r="C460">
        <v>15.55</v>
      </c>
      <c r="D460">
        <f>TEXT(0.0305,"0.00%")</f>
        <v>0</v>
      </c>
      <c r="E460">
        <v>12190935</v>
      </c>
      <c r="F460">
        <v>187625752</v>
      </c>
      <c r="G460">
        <f>TEXT(0.0431,"0.00%")</f>
        <v>0</v>
      </c>
      <c r="H460">
        <f>TEXT(0.0765,"0.00%")</f>
        <v>0</v>
      </c>
      <c r="I460">
        <v>3420842976</v>
      </c>
      <c r="J460">
        <v>0.5600000000000001</v>
      </c>
      <c r="K460">
        <v>15.65</v>
      </c>
      <c r="L460">
        <v>15</v>
      </c>
      <c r="M460">
        <v>15</v>
      </c>
      <c r="N460">
        <v>15.09</v>
      </c>
    </row>
    <row r="461" spans="1:14">
      <c r="A461" t="s">
        <v>473</v>
      </c>
      <c r="B461">
        <f>TEXT(688309,"000000")</f>
        <v>0</v>
      </c>
      <c r="C461">
        <v>21.98</v>
      </c>
      <c r="D461">
        <f>TEXT(0.0305,"0.00%")</f>
        <v>0</v>
      </c>
      <c r="E461">
        <v>853574</v>
      </c>
      <c r="F461">
        <v>18611578</v>
      </c>
      <c r="G461">
        <f>TEXT(0.0408,"0.00%")</f>
        <v>0</v>
      </c>
      <c r="H461">
        <f>TEXT(0.019,"0.00%")</f>
        <v>0</v>
      </c>
      <c r="I461">
        <v>1758635911</v>
      </c>
      <c r="J461">
        <v>1.67</v>
      </c>
      <c r="K461">
        <v>22.18</v>
      </c>
      <c r="L461">
        <v>21.31</v>
      </c>
      <c r="M461">
        <v>21.34</v>
      </c>
      <c r="N461">
        <v>21.33</v>
      </c>
    </row>
    <row r="462" spans="1:14">
      <c r="A462" t="s">
        <v>474</v>
      </c>
      <c r="B462">
        <f>TEXT(002126,"000000")</f>
        <v>0</v>
      </c>
      <c r="C462">
        <v>13.85</v>
      </c>
      <c r="D462">
        <f>TEXT(0.0305,"0.00%")</f>
        <v>0</v>
      </c>
      <c r="E462">
        <v>23414710</v>
      </c>
      <c r="F462">
        <v>319826410</v>
      </c>
      <c r="G462">
        <f>TEXT(0.057300000000000004,"0.00%")</f>
        <v>0</v>
      </c>
      <c r="H462">
        <f>TEXT(0.031400000000000004,"0.00%")</f>
        <v>0</v>
      </c>
      <c r="I462">
        <v>10971270893</v>
      </c>
      <c r="J462">
        <v>1.67</v>
      </c>
      <c r="K462">
        <v>13.98</v>
      </c>
      <c r="L462">
        <v>13.21</v>
      </c>
      <c r="M462">
        <v>13.55</v>
      </c>
      <c r="N462">
        <v>13.44</v>
      </c>
    </row>
    <row r="463" spans="1:14">
      <c r="A463" t="s">
        <v>475</v>
      </c>
      <c r="B463">
        <f>TEXT(601019,"000000")</f>
        <v>0</v>
      </c>
      <c r="C463">
        <v>9.789999999999999</v>
      </c>
      <c r="D463">
        <f>TEXT(0.0305,"0.00%")</f>
        <v>0</v>
      </c>
      <c r="E463">
        <v>12558663</v>
      </c>
      <c r="F463">
        <v>122679885</v>
      </c>
      <c r="G463">
        <f>TEXT(0.0453,"0.00%")</f>
        <v>0</v>
      </c>
      <c r="H463">
        <f>TEXT(0.006,"0.00%")</f>
        <v>0</v>
      </c>
      <c r="I463">
        <v>20430751000</v>
      </c>
      <c r="J463">
        <v>0.85</v>
      </c>
      <c r="K463">
        <v>9.94</v>
      </c>
      <c r="L463">
        <v>9.51</v>
      </c>
      <c r="M463">
        <v>9.51</v>
      </c>
      <c r="N463">
        <v>9.5</v>
      </c>
    </row>
    <row r="464" spans="1:14">
      <c r="A464" t="s">
        <v>476</v>
      </c>
      <c r="B464">
        <f>TEXT(600243,"000000")</f>
        <v>0</v>
      </c>
      <c r="C464">
        <v>4.41</v>
      </c>
      <c r="D464">
        <f>TEXT(0.0304,"0.00%")</f>
        <v>0</v>
      </c>
      <c r="E464">
        <v>13735445</v>
      </c>
      <c r="F464">
        <v>59795930</v>
      </c>
      <c r="G464">
        <f>TEXT(0.0444,"0.00%")</f>
        <v>0</v>
      </c>
      <c r="H464">
        <f>TEXT(0.0313,"0.00%")</f>
        <v>0</v>
      </c>
      <c r="I464">
        <v>1935328500</v>
      </c>
      <c r="J464">
        <v>3</v>
      </c>
      <c r="K464">
        <v>4.42</v>
      </c>
      <c r="L464">
        <v>4.23</v>
      </c>
      <c r="M464">
        <v>4.33</v>
      </c>
      <c r="N464">
        <v>4.28</v>
      </c>
    </row>
    <row r="465" spans="1:14">
      <c r="A465" t="s">
        <v>477</v>
      </c>
      <c r="B465">
        <f>TEXT(301117,"000000")</f>
        <v>0</v>
      </c>
      <c r="C465">
        <v>60.93</v>
      </c>
      <c r="D465">
        <f>TEXT(0.030299999999999997,"0.00%")</f>
        <v>0</v>
      </c>
      <c r="E465">
        <v>1108650</v>
      </c>
      <c r="F465">
        <v>66751237</v>
      </c>
      <c r="G465">
        <f>TEXT(0.0416,"0.00%")</f>
        <v>0</v>
      </c>
      <c r="H465">
        <f>TEXT(0.0258,"0.00%")</f>
        <v>0</v>
      </c>
      <c r="I465">
        <v>5621602869</v>
      </c>
      <c r="J465">
        <v>1.33</v>
      </c>
      <c r="K465">
        <v>61.16</v>
      </c>
      <c r="L465">
        <v>58.7</v>
      </c>
      <c r="M465">
        <v>59</v>
      </c>
      <c r="N465">
        <v>59.14</v>
      </c>
    </row>
    <row r="466" spans="1:14">
      <c r="A466" t="s">
        <v>478</v>
      </c>
      <c r="B466">
        <f>TEXT(301178,"000000")</f>
        <v>0</v>
      </c>
      <c r="C466">
        <v>31.98</v>
      </c>
      <c r="D466">
        <f>TEXT(0.030299999999999997,"0.00%")</f>
        <v>0</v>
      </c>
      <c r="E466">
        <v>3133385</v>
      </c>
      <c r="F466">
        <v>98816335</v>
      </c>
      <c r="G466">
        <f>TEXT(0.0483,"0.00%")</f>
        <v>0</v>
      </c>
      <c r="H466">
        <f>TEXT(0.0719,"0.00%")</f>
        <v>0</v>
      </c>
      <c r="I466">
        <v>2109298464</v>
      </c>
      <c r="J466">
        <v>1.53</v>
      </c>
      <c r="K466">
        <v>32.16</v>
      </c>
      <c r="L466">
        <v>30.66</v>
      </c>
      <c r="M466">
        <v>30.79</v>
      </c>
      <c r="N466">
        <v>31.04</v>
      </c>
    </row>
    <row r="467" spans="1:14">
      <c r="A467" t="s">
        <v>479</v>
      </c>
      <c r="B467">
        <f>TEXT(688118,"000000")</f>
        <v>0</v>
      </c>
      <c r="C467">
        <v>22.55</v>
      </c>
      <c r="D467">
        <f>TEXT(0.0302,"0.00%")</f>
        <v>0</v>
      </c>
      <c r="E467">
        <v>1025316</v>
      </c>
      <c r="F467">
        <v>22871661</v>
      </c>
      <c r="G467">
        <f>TEXT(0.0375,"0.00%")</f>
        <v>0</v>
      </c>
      <c r="H467">
        <f>TEXT(0.010700000000000001,"0.00%")</f>
        <v>0</v>
      </c>
      <c r="I467">
        <v>2151270000</v>
      </c>
      <c r="J467">
        <v>0.72</v>
      </c>
      <c r="K467">
        <v>22.66</v>
      </c>
      <c r="L467">
        <v>21.84</v>
      </c>
      <c r="M467">
        <v>21.96</v>
      </c>
      <c r="N467">
        <v>21.89</v>
      </c>
    </row>
    <row r="468" spans="1:14">
      <c r="A468" t="s">
        <v>480</v>
      </c>
      <c r="B468">
        <f>TEXT(300705,"000000")</f>
        <v>0</v>
      </c>
      <c r="C468">
        <v>27.64</v>
      </c>
      <c r="D468">
        <f>TEXT(0.0302,"0.00%")</f>
        <v>0</v>
      </c>
      <c r="E468">
        <v>2617660</v>
      </c>
      <c r="F468">
        <v>72092419</v>
      </c>
      <c r="G468">
        <f>TEXT(0.0429,"0.00%")</f>
        <v>0</v>
      </c>
      <c r="H468">
        <f>TEXT(0.012199999999999999,"0.00%")</f>
        <v>0</v>
      </c>
      <c r="I468">
        <v>9520665082</v>
      </c>
      <c r="J468">
        <v>1.52</v>
      </c>
      <c r="K468">
        <v>27.85</v>
      </c>
      <c r="L468">
        <v>26.7</v>
      </c>
      <c r="M468">
        <v>26.7</v>
      </c>
      <c r="N468">
        <v>26.83</v>
      </c>
    </row>
    <row r="469" spans="1:14">
      <c r="A469" t="s">
        <v>481</v>
      </c>
      <c r="B469">
        <f>TEXT(600488,"000000")</f>
        <v>0</v>
      </c>
      <c r="C469">
        <v>5.79</v>
      </c>
      <c r="D469">
        <f>TEXT(0.0302,"0.00%")</f>
        <v>0</v>
      </c>
      <c r="E469">
        <v>20310500</v>
      </c>
      <c r="F469">
        <v>117403242</v>
      </c>
      <c r="G469">
        <f>TEXT(0.0641,"0.00%")</f>
        <v>0</v>
      </c>
      <c r="H469">
        <f>TEXT(0.018600000000000002,"0.00%")</f>
        <v>0</v>
      </c>
      <c r="I469">
        <v>6347939917</v>
      </c>
      <c r="J469">
        <v>1.23</v>
      </c>
      <c r="K469">
        <v>5.92</v>
      </c>
      <c r="L469">
        <v>5.56</v>
      </c>
      <c r="M469">
        <v>5.7</v>
      </c>
      <c r="N469">
        <v>5.62</v>
      </c>
    </row>
    <row r="470" spans="1:14">
      <c r="A470" t="s">
        <v>482</v>
      </c>
      <c r="B470">
        <f>TEXT(605228,"000000")</f>
        <v>0</v>
      </c>
      <c r="C470">
        <v>8.859999999999999</v>
      </c>
      <c r="D470">
        <f>TEXT(0.0302,"0.00%")</f>
        <v>0</v>
      </c>
      <c r="E470">
        <v>3491501</v>
      </c>
      <c r="F470">
        <v>30627183</v>
      </c>
      <c r="G470">
        <f>TEXT(0.04650000000000001,"0.00%")</f>
        <v>0</v>
      </c>
      <c r="H470">
        <f>TEXT(0.0355,"0.00%")</f>
        <v>0</v>
      </c>
      <c r="I470">
        <v>3764436800</v>
      </c>
      <c r="J470">
        <v>2.16</v>
      </c>
      <c r="K470">
        <v>8.93</v>
      </c>
      <c r="L470">
        <v>8.529999999999999</v>
      </c>
      <c r="M470">
        <v>8.619999999999999</v>
      </c>
      <c r="N470">
        <v>8.6</v>
      </c>
    </row>
    <row r="471" spans="1:14">
      <c r="A471" t="s">
        <v>483</v>
      </c>
      <c r="B471">
        <f>TEXT(002636,"000000")</f>
        <v>0</v>
      </c>
      <c r="C471">
        <v>9.23</v>
      </c>
      <c r="D471">
        <f>TEXT(0.0301,"0.00%")</f>
        <v>0</v>
      </c>
      <c r="E471">
        <v>7258172</v>
      </c>
      <c r="F471">
        <v>66752611</v>
      </c>
      <c r="G471">
        <f>TEXT(0.0435,"0.00%")</f>
        <v>0</v>
      </c>
      <c r="H471">
        <f>TEXT(0.01,"0.00%")</f>
        <v>0</v>
      </c>
      <c r="I471">
        <v>6719440000</v>
      </c>
      <c r="J471">
        <v>1.64</v>
      </c>
      <c r="K471">
        <v>9.31</v>
      </c>
      <c r="L471">
        <v>8.92</v>
      </c>
      <c r="M471">
        <v>9</v>
      </c>
      <c r="N471">
        <v>8.960000000000001</v>
      </c>
    </row>
    <row r="472" spans="1:14">
      <c r="A472" t="s">
        <v>484</v>
      </c>
      <c r="B472">
        <f>TEXT(601138,"000000")</f>
        <v>0</v>
      </c>
      <c r="C472">
        <v>16.79</v>
      </c>
      <c r="D472">
        <f>TEXT(0.0301,"0.00%")</f>
        <v>0</v>
      </c>
      <c r="E472">
        <v>265872270</v>
      </c>
      <c r="F472">
        <v>4472661970</v>
      </c>
      <c r="G472">
        <f>TEXT(0.0693,"0.00%")</f>
        <v>0</v>
      </c>
      <c r="H472">
        <f>TEXT(0.0134,"0.00%")</f>
        <v>0</v>
      </c>
      <c r="I472">
        <v>333497988278</v>
      </c>
      <c r="J472">
        <v>1.51</v>
      </c>
      <c r="K472">
        <v>17.29</v>
      </c>
      <c r="L472">
        <v>16.16</v>
      </c>
      <c r="M472">
        <v>16.33</v>
      </c>
      <c r="N472">
        <v>16.3</v>
      </c>
    </row>
    <row r="473" spans="1:14">
      <c r="A473" t="s">
        <v>485</v>
      </c>
      <c r="B473">
        <f>TEXT(300049,"000000")</f>
        <v>0</v>
      </c>
      <c r="C473">
        <v>30.07</v>
      </c>
      <c r="D473">
        <f>TEXT(0.0301,"0.00%")</f>
        <v>0</v>
      </c>
      <c r="E473">
        <v>2773457</v>
      </c>
      <c r="F473">
        <v>82768252</v>
      </c>
      <c r="G473">
        <f>TEXT(0.0504,"0.00%")</f>
        <v>0</v>
      </c>
      <c r="H473">
        <f>TEXT(0.012,"0.00%")</f>
        <v>0</v>
      </c>
      <c r="I473">
        <v>7910006717</v>
      </c>
      <c r="J473">
        <v>0.87</v>
      </c>
      <c r="K473">
        <v>30.28</v>
      </c>
      <c r="L473">
        <v>28.81</v>
      </c>
      <c r="M473">
        <v>29.18</v>
      </c>
      <c r="N473">
        <v>29.19</v>
      </c>
    </row>
    <row r="474" spans="1:14">
      <c r="A474" t="s">
        <v>486</v>
      </c>
      <c r="B474">
        <f>TEXT(300964,"000000")</f>
        <v>0</v>
      </c>
      <c r="C474">
        <v>45.73</v>
      </c>
      <c r="D474">
        <f>TEXT(0.03,"0.00%")</f>
        <v>0</v>
      </c>
      <c r="E474">
        <v>6697289</v>
      </c>
      <c r="F474">
        <v>300470231</v>
      </c>
      <c r="G474">
        <f>TEXT(0.07429999999999999,"0.00%")</f>
        <v>0</v>
      </c>
      <c r="H474">
        <f>TEXT(0.20350000000000001,"0.00%")</f>
        <v>0</v>
      </c>
      <c r="I474">
        <v>3534850527</v>
      </c>
      <c r="J474">
        <v>1.03</v>
      </c>
      <c r="K474">
        <v>46.4</v>
      </c>
      <c r="L474">
        <v>43.1</v>
      </c>
      <c r="M474">
        <v>43.25</v>
      </c>
      <c r="N474">
        <v>44.4</v>
      </c>
    </row>
    <row r="475" spans="1:14">
      <c r="A475" t="s">
        <v>487</v>
      </c>
      <c r="B475">
        <f>TEXT(688107,"000000")</f>
        <v>0</v>
      </c>
      <c r="C475">
        <v>54.58</v>
      </c>
      <c r="D475">
        <f>TEXT(0.03,"0.00%")</f>
        <v>0</v>
      </c>
      <c r="E475">
        <v>2205033</v>
      </c>
      <c r="F475">
        <v>119761932</v>
      </c>
      <c r="G475">
        <f>TEXT(0.0487,"0.00%")</f>
        <v>0</v>
      </c>
      <c r="H475">
        <f>TEXT(0.0116,"0.00%")</f>
        <v>0</v>
      </c>
      <c r="I475">
        <v>21837458000</v>
      </c>
      <c r="J475">
        <v>1.21</v>
      </c>
      <c r="K475">
        <v>55.01</v>
      </c>
      <c r="L475">
        <v>52.43</v>
      </c>
      <c r="M475">
        <v>52.79</v>
      </c>
      <c r="N475">
        <v>52.99</v>
      </c>
    </row>
    <row r="476" spans="1:14">
      <c r="A476" t="s">
        <v>488</v>
      </c>
      <c r="B476">
        <f>TEXT(002413,"000000")</f>
        <v>0</v>
      </c>
      <c r="C476">
        <v>5.16</v>
      </c>
      <c r="D476">
        <f>TEXT(0.029900000000000003,"0.00%")</f>
        <v>0</v>
      </c>
      <c r="E476">
        <v>35678757</v>
      </c>
      <c r="F476">
        <v>182292800</v>
      </c>
      <c r="G476">
        <f>TEXT(0.0339,"0.00%")</f>
        <v>0</v>
      </c>
      <c r="H476">
        <f>TEXT(0.0285,"0.00%")</f>
        <v>0</v>
      </c>
      <c r="I476">
        <v>6916180282</v>
      </c>
      <c r="J476">
        <v>2.32</v>
      </c>
      <c r="K476">
        <v>5.16</v>
      </c>
      <c r="L476">
        <v>4.99</v>
      </c>
      <c r="M476">
        <v>5.02</v>
      </c>
      <c r="N476">
        <v>5.01</v>
      </c>
    </row>
    <row r="477" spans="1:14">
      <c r="A477" t="s">
        <v>489</v>
      </c>
      <c r="B477">
        <f>TEXT(300579,"000000")</f>
        <v>0</v>
      </c>
      <c r="C477">
        <v>31.38</v>
      </c>
      <c r="D477">
        <f>TEXT(0.029900000000000003,"0.00%")</f>
        <v>0</v>
      </c>
      <c r="E477">
        <v>5155695</v>
      </c>
      <c r="F477">
        <v>159494229</v>
      </c>
      <c r="G477">
        <f>TEXT(0.0354,"0.00%")</f>
        <v>0</v>
      </c>
      <c r="H477">
        <f>TEXT(0.0197,"0.00%")</f>
        <v>0</v>
      </c>
      <c r="I477">
        <v>8472600000</v>
      </c>
      <c r="J477">
        <v>1.31</v>
      </c>
      <c r="K477">
        <v>31.38</v>
      </c>
      <c r="L477">
        <v>30.3</v>
      </c>
      <c r="M477">
        <v>30.55</v>
      </c>
      <c r="N477">
        <v>30.47</v>
      </c>
    </row>
    <row r="478" spans="1:14">
      <c r="A478" t="s">
        <v>490</v>
      </c>
      <c r="B478">
        <f>TEXT(000016,"000000")</f>
        <v>0</v>
      </c>
      <c r="C478">
        <v>4.82</v>
      </c>
      <c r="D478">
        <f>TEXT(0.029900000000000003,"0.00%")</f>
        <v>0</v>
      </c>
      <c r="E478">
        <v>23268069</v>
      </c>
      <c r="F478">
        <v>112222265</v>
      </c>
      <c r="G478">
        <f>TEXT(0.0684,"0.00%")</f>
        <v>0</v>
      </c>
      <c r="H478">
        <f>TEXT(0.0146,"0.00%")</f>
        <v>0</v>
      </c>
      <c r="I478">
        <v>11606296866</v>
      </c>
      <c r="J478">
        <v>1.83</v>
      </c>
      <c r="K478">
        <v>4.97</v>
      </c>
      <c r="L478">
        <v>4.65</v>
      </c>
      <c r="M478">
        <v>4.66</v>
      </c>
      <c r="N478">
        <v>4.68</v>
      </c>
    </row>
    <row r="479" spans="1:14">
      <c r="A479" t="s">
        <v>491</v>
      </c>
      <c r="B479">
        <f>TEXT(300036,"000000")</f>
        <v>0</v>
      </c>
      <c r="C479">
        <v>19.69</v>
      </c>
      <c r="D479">
        <f>TEXT(0.0298,"0.00%")</f>
        <v>0</v>
      </c>
      <c r="E479">
        <v>16718784</v>
      </c>
      <c r="F479">
        <v>331282900</v>
      </c>
      <c r="G479">
        <f>TEXT(0.0403,"0.00%")</f>
        <v>0</v>
      </c>
      <c r="H479">
        <f>TEXT(0.038599999999999995,"0.00%")</f>
        <v>0</v>
      </c>
      <c r="I479">
        <v>9702574688</v>
      </c>
      <c r="J479">
        <v>2.39</v>
      </c>
      <c r="K479">
        <v>20.23</v>
      </c>
      <c r="L479">
        <v>19.46</v>
      </c>
      <c r="M479">
        <v>19.75</v>
      </c>
      <c r="N479">
        <v>19.12</v>
      </c>
    </row>
    <row r="480" spans="1:14">
      <c r="A480" t="s">
        <v>492</v>
      </c>
      <c r="B480">
        <f>TEXT(688153,"000000")</f>
        <v>0</v>
      </c>
      <c r="C480">
        <v>65.59999999999999</v>
      </c>
      <c r="D480">
        <f>TEXT(0.0298,"0.00%")</f>
        <v>0</v>
      </c>
      <c r="E480">
        <v>2089899</v>
      </c>
      <c r="F480">
        <v>139087474</v>
      </c>
      <c r="G480">
        <f>TEXT(0.0874,"0.00%")</f>
        <v>0</v>
      </c>
      <c r="H480">
        <f>TEXT(0.0232,"0.00%")</f>
        <v>0</v>
      </c>
      <c r="I480">
        <v>26846117366</v>
      </c>
      <c r="J480">
        <v>1.04</v>
      </c>
      <c r="K480">
        <v>68.88</v>
      </c>
      <c r="L480">
        <v>63.31</v>
      </c>
      <c r="M480">
        <v>63.71</v>
      </c>
      <c r="N480">
        <v>63.7</v>
      </c>
    </row>
    <row r="481" spans="1:14">
      <c r="A481" t="s">
        <v>493</v>
      </c>
      <c r="B481">
        <f>TEXT(002332,"000000")</f>
        <v>0</v>
      </c>
      <c r="C481">
        <v>14.88</v>
      </c>
      <c r="D481">
        <f>TEXT(0.0298,"0.00%")</f>
        <v>0</v>
      </c>
      <c r="E481">
        <v>7006828</v>
      </c>
      <c r="F481">
        <v>103911772</v>
      </c>
      <c r="G481">
        <f>TEXT(0.0408,"0.00%")</f>
        <v>0</v>
      </c>
      <c r="H481">
        <f>TEXT(0.0072,"0.00%")</f>
        <v>0</v>
      </c>
      <c r="I481">
        <v>14719368406</v>
      </c>
      <c r="J481">
        <v>0.96</v>
      </c>
      <c r="K481">
        <v>15</v>
      </c>
      <c r="L481">
        <v>14.41</v>
      </c>
      <c r="M481">
        <v>14.54</v>
      </c>
      <c r="N481">
        <v>14.45</v>
      </c>
    </row>
    <row r="482" spans="1:14">
      <c r="A482" t="s">
        <v>494</v>
      </c>
      <c r="B482">
        <f>TEXT(603369,"000000")</f>
        <v>0</v>
      </c>
      <c r="C482">
        <v>58.45</v>
      </c>
      <c r="D482">
        <f>TEXT(0.0298,"0.00%")</f>
        <v>0</v>
      </c>
      <c r="E482">
        <v>6088480</v>
      </c>
      <c r="F482">
        <v>354977581</v>
      </c>
      <c r="G482">
        <f>TEXT(0.0377,"0.00%")</f>
        <v>0</v>
      </c>
      <c r="H482">
        <f>TEXT(0.0049,"0.00%")</f>
        <v>0</v>
      </c>
      <c r="I482">
        <v>73325525000</v>
      </c>
      <c r="J482">
        <v>1.32</v>
      </c>
      <c r="K482">
        <v>59.1</v>
      </c>
      <c r="L482">
        <v>56.96</v>
      </c>
      <c r="M482">
        <v>56.98</v>
      </c>
      <c r="N482">
        <v>56.76</v>
      </c>
    </row>
    <row r="483" spans="1:14">
      <c r="A483" t="s">
        <v>495</v>
      </c>
      <c r="B483">
        <f>TEXT(600970,"000000")</f>
        <v>0</v>
      </c>
      <c r="C483">
        <v>12.44</v>
      </c>
      <c r="D483">
        <f>TEXT(0.0298,"0.00%")</f>
        <v>0</v>
      </c>
      <c r="E483">
        <v>24596542</v>
      </c>
      <c r="F483">
        <v>301534523</v>
      </c>
      <c r="G483">
        <f>TEXT(0.0447,"0.00%")</f>
        <v>0</v>
      </c>
      <c r="H483">
        <f>TEXT(0.0141,"0.00%")</f>
        <v>0</v>
      </c>
      <c r="I483">
        <v>32870428742</v>
      </c>
      <c r="J483">
        <v>1.12</v>
      </c>
      <c r="K483">
        <v>12.5</v>
      </c>
      <c r="L483">
        <v>11.96</v>
      </c>
      <c r="M483">
        <v>12.08</v>
      </c>
      <c r="N483">
        <v>12.08</v>
      </c>
    </row>
    <row r="484" spans="1:14">
      <c r="A484" t="s">
        <v>496</v>
      </c>
      <c r="B484">
        <f>TEXT(688595,"000000")</f>
        <v>0</v>
      </c>
      <c r="C484">
        <v>36.04</v>
      </c>
      <c r="D484">
        <f>TEXT(0.0297,"0.00%")</f>
        <v>0</v>
      </c>
      <c r="E484">
        <v>2706485</v>
      </c>
      <c r="F484">
        <v>97046657</v>
      </c>
      <c r="G484">
        <f>TEXT(0.0449,"0.00%")</f>
        <v>0</v>
      </c>
      <c r="H484">
        <f>TEXT(0.0341,"0.00%")</f>
        <v>0</v>
      </c>
      <c r="I484">
        <v>5131413510</v>
      </c>
      <c r="J484">
        <v>1.5</v>
      </c>
      <c r="K484">
        <v>36.45</v>
      </c>
      <c r="L484">
        <v>34.88</v>
      </c>
      <c r="M484">
        <v>35.16</v>
      </c>
      <c r="N484">
        <v>35</v>
      </c>
    </row>
    <row r="485" spans="1:14">
      <c r="A485" t="s">
        <v>497</v>
      </c>
      <c r="B485">
        <f>TEXT(688278,"000000")</f>
        <v>0</v>
      </c>
      <c r="C485">
        <v>45.4</v>
      </c>
      <c r="D485">
        <f>TEXT(0.0297,"0.00%")</f>
        <v>0</v>
      </c>
      <c r="E485">
        <v>1305656</v>
      </c>
      <c r="F485">
        <v>58644500</v>
      </c>
      <c r="G485">
        <f>TEXT(0.047599999999999996,"0.00%")</f>
        <v>0</v>
      </c>
      <c r="H485">
        <f>TEXT(0.0032,"0.00%")</f>
        <v>0</v>
      </c>
      <c r="I485">
        <v>18468720000</v>
      </c>
      <c r="J485">
        <v>0.9</v>
      </c>
      <c r="K485">
        <v>45.65</v>
      </c>
      <c r="L485">
        <v>43.55</v>
      </c>
      <c r="M485">
        <v>44.25</v>
      </c>
      <c r="N485">
        <v>44.09</v>
      </c>
    </row>
    <row r="486" spans="1:14">
      <c r="A486" t="s">
        <v>498</v>
      </c>
      <c r="B486">
        <f>TEXT(600729,"000000")</f>
        <v>0</v>
      </c>
      <c r="C486">
        <v>30.53</v>
      </c>
      <c r="D486">
        <f>TEXT(0.0297,"0.00%")</f>
        <v>0</v>
      </c>
      <c r="E486">
        <v>2046419</v>
      </c>
      <c r="F486">
        <v>61430885</v>
      </c>
      <c r="G486">
        <f>TEXT(0.0499,"0.00%")</f>
        <v>0</v>
      </c>
      <c r="H486">
        <f>TEXT(0.0051,"0.00%")</f>
        <v>0</v>
      </c>
      <c r="I486">
        <v>12411314036</v>
      </c>
      <c r="J486">
        <v>1.11</v>
      </c>
      <c r="K486">
        <v>30.59</v>
      </c>
      <c r="L486">
        <v>29.11</v>
      </c>
      <c r="M486">
        <v>29.65</v>
      </c>
      <c r="N486">
        <v>29.65</v>
      </c>
    </row>
    <row r="487" spans="1:14">
      <c r="A487" t="s">
        <v>499</v>
      </c>
      <c r="B487">
        <f>TEXT(688165,"000000")</f>
        <v>0</v>
      </c>
      <c r="C487">
        <v>11.18</v>
      </c>
      <c r="D487">
        <f>TEXT(0.029500000000000002,"0.00%")</f>
        <v>0</v>
      </c>
      <c r="E487">
        <v>10166252</v>
      </c>
      <c r="F487">
        <v>110953523</v>
      </c>
      <c r="G487">
        <f>TEXT(0.0663,"0.00%")</f>
        <v>0</v>
      </c>
      <c r="H487">
        <f>TEXT(0.0313,"0.00%")</f>
        <v>0</v>
      </c>
      <c r="I487">
        <v>5833500400</v>
      </c>
      <c r="J487">
        <v>0.91</v>
      </c>
      <c r="K487">
        <v>11.21</v>
      </c>
      <c r="L487">
        <v>10.49</v>
      </c>
      <c r="M487">
        <v>10.9</v>
      </c>
      <c r="N487">
        <v>10.86</v>
      </c>
    </row>
    <row r="488" spans="1:14">
      <c r="A488" t="s">
        <v>500</v>
      </c>
      <c r="B488">
        <f>TEXT(601789,"000000")</f>
        <v>0</v>
      </c>
      <c r="C488">
        <v>4.88</v>
      </c>
      <c r="D488">
        <f>TEXT(0.029500000000000002,"0.00%")</f>
        <v>0</v>
      </c>
      <c r="E488">
        <v>55624075</v>
      </c>
      <c r="F488">
        <v>271586010</v>
      </c>
      <c r="G488">
        <f>TEXT(0.0359,"0.00%")</f>
        <v>0</v>
      </c>
      <c r="H488">
        <f>TEXT(0.0512,"0.00%")</f>
        <v>0</v>
      </c>
      <c r="I488">
        <v>5303577119</v>
      </c>
      <c r="J488">
        <v>2.7</v>
      </c>
      <c r="K488">
        <v>4.96</v>
      </c>
      <c r="L488">
        <v>4.79</v>
      </c>
      <c r="M488">
        <v>4.84</v>
      </c>
      <c r="N488">
        <v>4.74</v>
      </c>
    </row>
    <row r="489" spans="1:14">
      <c r="A489" t="s">
        <v>501</v>
      </c>
      <c r="B489">
        <f>TEXT(603939,"000000")</f>
        <v>0</v>
      </c>
      <c r="C489">
        <v>52.29</v>
      </c>
      <c r="D489">
        <f>TEXT(0.029500000000000002,"0.00%")</f>
        <v>0</v>
      </c>
      <c r="E489">
        <v>4580735</v>
      </c>
      <c r="F489">
        <v>237348761</v>
      </c>
      <c r="G489">
        <f>TEXT(0.040999999999999995,"0.00%")</f>
        <v>0</v>
      </c>
      <c r="H489">
        <f>TEXT(0.0064,"0.00%")</f>
        <v>0</v>
      </c>
      <c r="I489">
        <v>37737950789</v>
      </c>
      <c r="J489">
        <v>1.43</v>
      </c>
      <c r="K489">
        <v>52.38</v>
      </c>
      <c r="L489">
        <v>50.3</v>
      </c>
      <c r="M489">
        <v>50.3</v>
      </c>
      <c r="N489">
        <v>50.79</v>
      </c>
    </row>
    <row r="490" spans="1:14">
      <c r="A490" t="s">
        <v>502</v>
      </c>
      <c r="B490">
        <f>TEXT(300832,"000000")</f>
        <v>0</v>
      </c>
      <c r="C490">
        <v>61</v>
      </c>
      <c r="D490">
        <f>TEXT(0.0294,"0.00%")</f>
        <v>0</v>
      </c>
      <c r="E490">
        <v>2628833</v>
      </c>
      <c r="F490">
        <v>159960586</v>
      </c>
      <c r="G490">
        <f>TEXT(0.0366,"0.00%")</f>
        <v>0</v>
      </c>
      <c r="H490">
        <f>TEXT(0.0038,"0.00%")</f>
        <v>0</v>
      </c>
      <c r="I490">
        <v>47953706435</v>
      </c>
      <c r="J490">
        <v>0.67</v>
      </c>
      <c r="K490">
        <v>61.4</v>
      </c>
      <c r="L490">
        <v>59.23</v>
      </c>
      <c r="M490">
        <v>59.27</v>
      </c>
      <c r="N490">
        <v>59.26</v>
      </c>
    </row>
    <row r="491" spans="1:14">
      <c r="A491" t="s">
        <v>503</v>
      </c>
      <c r="B491">
        <f>TEXT(301308,"000000")</f>
        <v>0</v>
      </c>
      <c r="C491">
        <v>116.73</v>
      </c>
      <c r="D491">
        <f>TEXT(0.0294,"0.00%")</f>
        <v>0</v>
      </c>
      <c r="E491">
        <v>12922110</v>
      </c>
      <c r="F491">
        <v>1529304055</v>
      </c>
      <c r="G491">
        <f>TEXT(0.1315,"0.00%")</f>
        <v>0</v>
      </c>
      <c r="H491">
        <f>TEXT(0.3803,"0.00%")</f>
        <v>0</v>
      </c>
      <c r="I491">
        <v>48193644369</v>
      </c>
      <c r="J491">
        <v>1.17</v>
      </c>
      <c r="K491">
        <v>125.99</v>
      </c>
      <c r="L491">
        <v>111.08</v>
      </c>
      <c r="M491">
        <v>114</v>
      </c>
      <c r="N491">
        <v>113.4</v>
      </c>
    </row>
    <row r="492" spans="1:14">
      <c r="A492" t="s">
        <v>504</v>
      </c>
      <c r="B492">
        <f>TEXT(002287,"000000")</f>
        <v>0</v>
      </c>
      <c r="C492">
        <v>24.26</v>
      </c>
      <c r="D492">
        <f>TEXT(0.029300000000000003,"0.00%")</f>
        <v>0</v>
      </c>
      <c r="E492">
        <v>2270475</v>
      </c>
      <c r="F492">
        <v>54534524</v>
      </c>
      <c r="G492">
        <f>TEXT(0.0395,"0.00%")</f>
        <v>0</v>
      </c>
      <c r="H492">
        <f>TEXT(0.0043,"0.00%")</f>
        <v>0</v>
      </c>
      <c r="I492">
        <v>12862434048</v>
      </c>
      <c r="J492">
        <v>1.56</v>
      </c>
      <c r="K492">
        <v>24.34</v>
      </c>
      <c r="L492">
        <v>23.41</v>
      </c>
      <c r="M492">
        <v>23.48</v>
      </c>
      <c r="N492">
        <v>23.57</v>
      </c>
    </row>
    <row r="493" spans="1:14">
      <c r="A493" t="s">
        <v>505</v>
      </c>
      <c r="B493">
        <f>TEXT(603757,"000000")</f>
        <v>0</v>
      </c>
      <c r="C493">
        <v>30.55</v>
      </c>
      <c r="D493">
        <f>TEXT(0.029300000000000003,"0.00%")</f>
        <v>0</v>
      </c>
      <c r="E493">
        <v>3570247</v>
      </c>
      <c r="F493">
        <v>107328656</v>
      </c>
      <c r="G493">
        <f>TEXT(0.053200000000000004,"0.00%")</f>
        <v>0</v>
      </c>
      <c r="H493">
        <f>TEXT(0.0216,"0.00%")</f>
        <v>0</v>
      </c>
      <c r="I493">
        <v>5095043460</v>
      </c>
      <c r="J493">
        <v>2.16</v>
      </c>
      <c r="K493">
        <v>30.57</v>
      </c>
      <c r="L493">
        <v>28.99</v>
      </c>
      <c r="M493">
        <v>30.3</v>
      </c>
      <c r="N493">
        <v>29.68</v>
      </c>
    </row>
    <row r="494" spans="1:14">
      <c r="A494" t="s">
        <v>506</v>
      </c>
      <c r="B494">
        <f>TEXT(000543,"000000")</f>
        <v>0</v>
      </c>
      <c r="C494">
        <v>6.35</v>
      </c>
      <c r="D494">
        <f>TEXT(0.0292,"0.00%")</f>
        <v>0</v>
      </c>
      <c r="E494">
        <v>63966439</v>
      </c>
      <c r="F494">
        <v>406790558</v>
      </c>
      <c r="G494">
        <f>TEXT(0.0681,"0.00%")</f>
        <v>0</v>
      </c>
      <c r="H494">
        <f>TEXT(0.0282,"0.00%")</f>
        <v>0</v>
      </c>
      <c r="I494">
        <v>14394582151</v>
      </c>
      <c r="J494">
        <v>1.15</v>
      </c>
      <c r="K494">
        <v>6.52</v>
      </c>
      <c r="L494">
        <v>6.1</v>
      </c>
      <c r="M494">
        <v>6.1</v>
      </c>
      <c r="N494">
        <v>6.17</v>
      </c>
    </row>
    <row r="495" spans="1:14">
      <c r="A495" t="s">
        <v>507</v>
      </c>
      <c r="B495">
        <f>TEXT(001316,"000000")</f>
        <v>0</v>
      </c>
      <c r="C495">
        <v>37.42</v>
      </c>
      <c r="D495">
        <f>TEXT(0.0292,"0.00%")</f>
        <v>0</v>
      </c>
      <c r="E495">
        <v>1232500</v>
      </c>
      <c r="F495">
        <v>45916113</v>
      </c>
      <c r="G495">
        <f>TEXT(0.0305,"0.00%")</f>
        <v>0</v>
      </c>
      <c r="H495">
        <f>TEXT(0.0616,"0.00%")</f>
        <v>0</v>
      </c>
      <c r="I495">
        <v>2993600000</v>
      </c>
      <c r="J495">
        <v>2.93</v>
      </c>
      <c r="K495">
        <v>37.66</v>
      </c>
      <c r="L495">
        <v>36.55</v>
      </c>
      <c r="M495">
        <v>36.6</v>
      </c>
      <c r="N495">
        <v>36.36</v>
      </c>
    </row>
    <row r="496" spans="1:14">
      <c r="A496" t="s">
        <v>508</v>
      </c>
      <c r="B496">
        <f>TEXT(603881,"000000")</f>
        <v>0</v>
      </c>
      <c r="C496">
        <v>32.06</v>
      </c>
      <c r="D496">
        <f>TEXT(0.0292,"0.00%")</f>
        <v>0</v>
      </c>
      <c r="E496">
        <v>6891791</v>
      </c>
      <c r="F496">
        <v>218375658</v>
      </c>
      <c r="G496">
        <f>TEXT(0.029500000000000002,"0.00%")</f>
        <v>0</v>
      </c>
      <c r="H496">
        <f>TEXT(0.021,"0.00%")</f>
        <v>0</v>
      </c>
      <c r="I496">
        <v>10545405935</v>
      </c>
      <c r="J496">
        <v>1.42</v>
      </c>
      <c r="K496">
        <v>32.12</v>
      </c>
      <c r="L496">
        <v>31.2</v>
      </c>
      <c r="M496">
        <v>31.33</v>
      </c>
      <c r="N496">
        <v>31.15</v>
      </c>
    </row>
    <row r="497" spans="1:14">
      <c r="A497" t="s">
        <v>509</v>
      </c>
      <c r="B497">
        <f>TEXT(000901,"000000")</f>
        <v>0</v>
      </c>
      <c r="C497">
        <v>9.880000000000001</v>
      </c>
      <c r="D497">
        <f>TEXT(0.0292,"0.00%")</f>
        <v>0</v>
      </c>
      <c r="E497">
        <v>12413933</v>
      </c>
      <c r="F497">
        <v>120914038</v>
      </c>
      <c r="G497">
        <f>TEXT(0.0438,"0.00%")</f>
        <v>0</v>
      </c>
      <c r="H497">
        <f>TEXT(0.015600000000000001,"0.00%")</f>
        <v>0</v>
      </c>
      <c r="I497">
        <v>7886229891</v>
      </c>
      <c r="J497">
        <v>1.51</v>
      </c>
      <c r="K497">
        <v>9.9</v>
      </c>
      <c r="L497">
        <v>9.48</v>
      </c>
      <c r="M497">
        <v>9.619999999999999</v>
      </c>
      <c r="N497">
        <v>9.6</v>
      </c>
    </row>
    <row r="498" spans="1:14">
      <c r="A498" t="s">
        <v>510</v>
      </c>
      <c r="B498">
        <f>TEXT(300843,"000000")</f>
        <v>0</v>
      </c>
      <c r="C498">
        <v>20.5</v>
      </c>
      <c r="D498">
        <f>TEXT(0.0291,"0.00%")</f>
        <v>0</v>
      </c>
      <c r="E498">
        <v>3656610</v>
      </c>
      <c r="F498">
        <v>74532679</v>
      </c>
      <c r="G498">
        <f>TEXT(0.0447,"0.00%")</f>
        <v>0</v>
      </c>
      <c r="H498">
        <f>TEXT(0.0757,"0.00%")</f>
        <v>0</v>
      </c>
      <c r="I498">
        <v>3066604450</v>
      </c>
      <c r="J498">
        <v>1.71</v>
      </c>
      <c r="K498">
        <v>20.95</v>
      </c>
      <c r="L498">
        <v>20.06</v>
      </c>
      <c r="M498">
        <v>20.53</v>
      </c>
      <c r="N498">
        <v>19.92</v>
      </c>
    </row>
    <row r="499" spans="1:14">
      <c r="A499" t="s">
        <v>511</v>
      </c>
      <c r="B499">
        <f>TEXT(600601,"000000")</f>
        <v>0</v>
      </c>
      <c r="C499">
        <v>2.83</v>
      </c>
      <c r="D499">
        <f>TEXT(0.0291,"0.00%")</f>
        <v>0</v>
      </c>
      <c r="E499">
        <v>15616855</v>
      </c>
      <c r="F499">
        <v>43442059</v>
      </c>
      <c r="G499">
        <f>TEXT(0.0364,"0.00%")</f>
        <v>0</v>
      </c>
      <c r="H499">
        <f>TEXT(0.0037,"0.00%")</f>
        <v>0</v>
      </c>
      <c r="I499">
        <v>11801930002</v>
      </c>
      <c r="J499">
        <v>1.66</v>
      </c>
      <c r="K499">
        <v>2.83</v>
      </c>
      <c r="L499">
        <v>2.73</v>
      </c>
      <c r="M499">
        <v>2.73</v>
      </c>
      <c r="N499">
        <v>2.75</v>
      </c>
    </row>
    <row r="500" spans="1:14">
      <c r="A500" t="s">
        <v>512</v>
      </c>
      <c r="B500">
        <f>TEXT(000921,"000000")</f>
        <v>0</v>
      </c>
      <c r="C500">
        <v>25.09</v>
      </c>
      <c r="D500">
        <f>TEXT(0.0291,"0.00%")</f>
        <v>0</v>
      </c>
      <c r="E500">
        <v>6265360</v>
      </c>
      <c r="F500">
        <v>154485125</v>
      </c>
      <c r="G500">
        <f>TEXT(0.0451,"0.00%")</f>
        <v>0</v>
      </c>
      <c r="H500">
        <f>TEXT(0.0069,"0.00%")</f>
        <v>0</v>
      </c>
      <c r="I500">
        <v>34828617513</v>
      </c>
      <c r="J500">
        <v>0.74</v>
      </c>
      <c r="K500">
        <v>25.22</v>
      </c>
      <c r="L500">
        <v>24.12</v>
      </c>
      <c r="M500">
        <v>24.23</v>
      </c>
      <c r="N500">
        <v>24.38</v>
      </c>
    </row>
    <row r="501" spans="1:14">
      <c r="A501" t="s">
        <v>513</v>
      </c>
      <c r="B501">
        <f>TEXT(600373,"000000")</f>
        <v>0</v>
      </c>
      <c r="C501">
        <v>15.27</v>
      </c>
      <c r="D501">
        <f>TEXT(0.028999999999999998,"0.00%")</f>
        <v>0</v>
      </c>
      <c r="E501">
        <v>18228878</v>
      </c>
      <c r="F501">
        <v>276834351</v>
      </c>
      <c r="G501">
        <f>TEXT(0.060599999999999994,"0.00%")</f>
        <v>0</v>
      </c>
      <c r="H501">
        <f>TEXT(0.013500000000000002,"0.00%")</f>
        <v>0</v>
      </c>
      <c r="I501">
        <v>20691822989</v>
      </c>
      <c r="J501">
        <v>0.82</v>
      </c>
      <c r="K501">
        <v>15.5</v>
      </c>
      <c r="L501">
        <v>14.6</v>
      </c>
      <c r="M501">
        <v>14.79</v>
      </c>
      <c r="N501">
        <v>14.84</v>
      </c>
    </row>
    <row r="502" spans="1:14">
      <c r="A502" t="s">
        <v>514</v>
      </c>
      <c r="B502">
        <f>TEXT(300429,"000000")</f>
        <v>0</v>
      </c>
      <c r="C502">
        <v>10.29</v>
      </c>
      <c r="D502">
        <f>TEXT(0.028999999999999998,"0.00%")</f>
        <v>0</v>
      </c>
      <c r="E502">
        <v>17881337</v>
      </c>
      <c r="F502">
        <v>183263137</v>
      </c>
      <c r="G502">
        <f>TEXT(0.051,"0.00%")</f>
        <v>0</v>
      </c>
      <c r="H502">
        <f>TEXT(0.047599999999999996,"0.00%")</f>
        <v>0</v>
      </c>
      <c r="I502">
        <v>5302036183</v>
      </c>
      <c r="J502">
        <v>1.38</v>
      </c>
      <c r="K502">
        <v>10.42</v>
      </c>
      <c r="L502">
        <v>9.91</v>
      </c>
      <c r="M502">
        <v>9.99</v>
      </c>
      <c r="N502">
        <v>10</v>
      </c>
    </row>
    <row r="503" spans="1:14">
      <c r="A503" t="s">
        <v>515</v>
      </c>
      <c r="B503">
        <f>TEXT(603927,"000000")</f>
        <v>0</v>
      </c>
      <c r="C503">
        <v>36.49</v>
      </c>
      <c r="D503">
        <f>TEXT(0.028999999999999998,"0.00%")</f>
        <v>0</v>
      </c>
      <c r="E503">
        <v>5070687</v>
      </c>
      <c r="F503">
        <v>183004478</v>
      </c>
      <c r="G503">
        <f>TEXT(0.0338,"0.00%")</f>
        <v>0</v>
      </c>
      <c r="H503">
        <f>TEXT(0.0085,"0.00%")</f>
        <v>0</v>
      </c>
      <c r="I503">
        <v>21660464000</v>
      </c>
      <c r="J503">
        <v>0.98</v>
      </c>
      <c r="K503">
        <v>36.68</v>
      </c>
      <c r="L503">
        <v>35.48</v>
      </c>
      <c r="M503">
        <v>35.51</v>
      </c>
      <c r="N503">
        <v>35.46</v>
      </c>
    </row>
    <row r="504" spans="1:14">
      <c r="A504" t="s">
        <v>516</v>
      </c>
      <c r="B504">
        <f>TEXT(605011,"000000")</f>
        <v>0</v>
      </c>
      <c r="C504">
        <v>38.49</v>
      </c>
      <c r="D504">
        <f>TEXT(0.028900000000000002,"0.00%")</f>
        <v>0</v>
      </c>
      <c r="E504">
        <v>27780472</v>
      </c>
      <c r="F504">
        <v>1061922093</v>
      </c>
      <c r="G504">
        <f>TEXT(0.1374,"0.00%")</f>
        <v>0</v>
      </c>
      <c r="H504">
        <f>TEXT(0.22940000000000002,"0.00%")</f>
        <v>0</v>
      </c>
      <c r="I504">
        <v>15399849000</v>
      </c>
      <c r="J504">
        <v>1.32</v>
      </c>
      <c r="K504">
        <v>40.68</v>
      </c>
      <c r="L504">
        <v>35.54</v>
      </c>
      <c r="M504">
        <v>39.91</v>
      </c>
      <c r="N504">
        <v>37.41</v>
      </c>
    </row>
    <row r="505" spans="1:14">
      <c r="A505" t="s">
        <v>517</v>
      </c>
      <c r="B505">
        <f>TEXT(300741,"000000")</f>
        <v>0</v>
      </c>
      <c r="C505">
        <v>22.8</v>
      </c>
      <c r="D505">
        <f>TEXT(0.028900000000000002,"0.00%")</f>
        <v>0</v>
      </c>
      <c r="E505">
        <v>2546268</v>
      </c>
      <c r="F505">
        <v>57348523</v>
      </c>
      <c r="G505">
        <f>TEXT(0.044199999999999996,"0.00%")</f>
        <v>0</v>
      </c>
      <c r="H505">
        <f>TEXT(0.0040999999999999995,"0.00%")</f>
        <v>0</v>
      </c>
      <c r="I505">
        <v>14042064000</v>
      </c>
      <c r="J505">
        <v>2.33</v>
      </c>
      <c r="K505">
        <v>22.99</v>
      </c>
      <c r="L505">
        <v>22.01</v>
      </c>
      <c r="M505">
        <v>22.22</v>
      </c>
      <c r="N505">
        <v>22.16</v>
      </c>
    </row>
    <row r="506" spans="1:14">
      <c r="A506" t="s">
        <v>518</v>
      </c>
      <c r="B506">
        <f>TEXT(603596,"000000")</f>
        <v>0</v>
      </c>
      <c r="C506">
        <v>71.15000000000001</v>
      </c>
      <c r="D506">
        <f>TEXT(0.028900000000000002,"0.00%")</f>
        <v>0</v>
      </c>
      <c r="E506">
        <v>4385828</v>
      </c>
      <c r="F506">
        <v>306179235</v>
      </c>
      <c r="G506">
        <f>TEXT(0.0604,"0.00%")</f>
        <v>0</v>
      </c>
      <c r="H506">
        <f>TEXT(0.010700000000000001,"0.00%")</f>
        <v>0</v>
      </c>
      <c r="I506">
        <v>29298437576</v>
      </c>
      <c r="J506">
        <v>1.06</v>
      </c>
      <c r="K506">
        <v>71.58</v>
      </c>
      <c r="L506">
        <v>67.40000000000001</v>
      </c>
      <c r="M506">
        <v>68.84</v>
      </c>
      <c r="N506">
        <v>69.15000000000001</v>
      </c>
    </row>
    <row r="507" spans="1:14">
      <c r="A507" t="s">
        <v>519</v>
      </c>
      <c r="B507">
        <f>TEXT(603986,"000000")</f>
        <v>0</v>
      </c>
      <c r="C507">
        <v>114</v>
      </c>
      <c r="D507">
        <f>TEXT(0.028900000000000002,"0.00%")</f>
        <v>0</v>
      </c>
      <c r="E507">
        <v>16098588</v>
      </c>
      <c r="F507">
        <v>1824516381</v>
      </c>
      <c r="G507">
        <f>TEXT(0.04650000000000001,"0.00%")</f>
        <v>0</v>
      </c>
      <c r="H507">
        <f>TEXT(0.0242,"0.00%")</f>
        <v>0</v>
      </c>
      <c r="I507">
        <v>76040866872</v>
      </c>
      <c r="J507">
        <v>0.86</v>
      </c>
      <c r="K507">
        <v>115.2</v>
      </c>
      <c r="L507">
        <v>110.05</v>
      </c>
      <c r="M507">
        <v>111.56</v>
      </c>
      <c r="N507">
        <v>110.8</v>
      </c>
    </row>
    <row r="508" spans="1:14">
      <c r="A508" t="s">
        <v>520</v>
      </c>
      <c r="B508">
        <f>TEXT(688183,"000000")</f>
        <v>0</v>
      </c>
      <c r="C508">
        <v>11.44</v>
      </c>
      <c r="D508">
        <f>TEXT(0.0288,"0.00%")</f>
        <v>0</v>
      </c>
      <c r="E508">
        <v>7354096</v>
      </c>
      <c r="F508">
        <v>83858941</v>
      </c>
      <c r="G508">
        <f>TEXT(0.04769999999999999,"0.00%")</f>
        <v>0</v>
      </c>
      <c r="H508">
        <f>TEXT(0.0239,"0.00%")</f>
        <v>0</v>
      </c>
      <c r="I508">
        <v>9516034242</v>
      </c>
      <c r="J508">
        <v>1.57</v>
      </c>
      <c r="K508">
        <v>11.59</v>
      </c>
      <c r="L508">
        <v>11.06</v>
      </c>
      <c r="M508">
        <v>11.06</v>
      </c>
      <c r="N508">
        <v>11.12</v>
      </c>
    </row>
    <row r="509" spans="1:14">
      <c r="A509" t="s">
        <v>521</v>
      </c>
      <c r="B509">
        <f>TEXT(300058,"000000")</f>
        <v>0</v>
      </c>
      <c r="C509">
        <v>10.35</v>
      </c>
      <c r="D509">
        <f>TEXT(0.0288,"0.00%")</f>
        <v>0</v>
      </c>
      <c r="E509">
        <v>261721422</v>
      </c>
      <c r="F509">
        <v>2702747486</v>
      </c>
      <c r="G509">
        <f>TEXT(0.0596,"0.00%")</f>
        <v>0</v>
      </c>
      <c r="H509">
        <f>TEXT(0.11289999999999999,"0.00%")</f>
        <v>0</v>
      </c>
      <c r="I509">
        <v>25782241581</v>
      </c>
      <c r="J509">
        <v>0.9</v>
      </c>
      <c r="K509">
        <v>10.54</v>
      </c>
      <c r="L509">
        <v>9.94</v>
      </c>
      <c r="M509">
        <v>9.99</v>
      </c>
      <c r="N509">
        <v>10.06</v>
      </c>
    </row>
    <row r="510" spans="1:14">
      <c r="A510" t="s">
        <v>522</v>
      </c>
      <c r="B510">
        <f>TEXT(601158,"000000")</f>
        <v>0</v>
      </c>
      <c r="C510">
        <v>5.71</v>
      </c>
      <c r="D510">
        <f>TEXT(0.0288,"0.00%")</f>
        <v>0</v>
      </c>
      <c r="E510">
        <v>22148939</v>
      </c>
      <c r="F510">
        <v>126735171</v>
      </c>
      <c r="G510">
        <f>TEXT(0.0342,"0.00%")</f>
        <v>0</v>
      </c>
      <c r="H510">
        <f>TEXT(0.0046,"0.00%")</f>
        <v>0</v>
      </c>
      <c r="I510">
        <v>27408000000</v>
      </c>
      <c r="J510">
        <v>2.97</v>
      </c>
      <c r="K510">
        <v>5.79</v>
      </c>
      <c r="L510">
        <v>5.6</v>
      </c>
      <c r="M510">
        <v>5.61</v>
      </c>
      <c r="N510">
        <v>5.55</v>
      </c>
    </row>
    <row r="511" spans="1:14">
      <c r="A511" t="s">
        <v>523</v>
      </c>
      <c r="B511">
        <f>TEXT(301013,"000000")</f>
        <v>0</v>
      </c>
      <c r="C511">
        <v>13.24</v>
      </c>
      <c r="D511">
        <f>TEXT(0.0287,"0.00%")</f>
        <v>0</v>
      </c>
      <c r="E511">
        <v>12375185</v>
      </c>
      <c r="F511">
        <v>163438288</v>
      </c>
      <c r="G511">
        <f>TEXT(0.07769999999999999,"0.00%")</f>
        <v>0</v>
      </c>
      <c r="H511">
        <f>TEXT(0.0745,"0.00%")</f>
        <v>0</v>
      </c>
      <c r="I511">
        <v>3094758061</v>
      </c>
      <c r="J511">
        <v>1.51</v>
      </c>
      <c r="K511">
        <v>13.66</v>
      </c>
      <c r="L511">
        <v>12.66</v>
      </c>
      <c r="M511">
        <v>12.81</v>
      </c>
      <c r="N511">
        <v>12.87</v>
      </c>
    </row>
    <row r="512" spans="1:14">
      <c r="A512" t="s">
        <v>524</v>
      </c>
      <c r="B512">
        <f>TEXT(000158,"000000")</f>
        <v>0</v>
      </c>
      <c r="C512">
        <v>6.45</v>
      </c>
      <c r="D512">
        <f>TEXT(0.0287,"0.00%")</f>
        <v>0</v>
      </c>
      <c r="E512">
        <v>44482219</v>
      </c>
      <c r="F512">
        <v>284211808</v>
      </c>
      <c r="G512">
        <f>TEXT(0.0542,"0.00%")</f>
        <v>0</v>
      </c>
      <c r="H512">
        <f>TEXT(0.0281,"0.00%")</f>
        <v>0</v>
      </c>
      <c r="I512">
        <v>10311077850</v>
      </c>
      <c r="J512">
        <v>1.55</v>
      </c>
      <c r="K512">
        <v>6.58</v>
      </c>
      <c r="L512">
        <v>6.24</v>
      </c>
      <c r="M512">
        <v>6.29</v>
      </c>
      <c r="N512">
        <v>6.27</v>
      </c>
    </row>
    <row r="513" spans="1:14">
      <c r="A513" t="s">
        <v>525</v>
      </c>
      <c r="B513">
        <f>TEXT(300597,"000000")</f>
        <v>0</v>
      </c>
      <c r="C513">
        <v>9.35</v>
      </c>
      <c r="D513">
        <f>TEXT(0.0286,"0.00%")</f>
        <v>0</v>
      </c>
      <c r="E513">
        <v>6685819</v>
      </c>
      <c r="F513">
        <v>62020097</v>
      </c>
      <c r="G513">
        <f>TEXT(0.0418,"0.00%")</f>
        <v>0</v>
      </c>
      <c r="H513">
        <f>TEXT(0.0302,"0.00%")</f>
        <v>0</v>
      </c>
      <c r="I513">
        <v>2548529780</v>
      </c>
      <c r="J513">
        <v>1.3</v>
      </c>
      <c r="K513">
        <v>9.43</v>
      </c>
      <c r="L513">
        <v>9.050000000000001</v>
      </c>
      <c r="M513">
        <v>9.1</v>
      </c>
      <c r="N513">
        <v>9.09</v>
      </c>
    </row>
    <row r="514" spans="1:14">
      <c r="A514" t="s">
        <v>526</v>
      </c>
      <c r="B514">
        <f>TEXT(688981,"000000")</f>
        <v>0</v>
      </c>
      <c r="C514">
        <v>51.8</v>
      </c>
      <c r="D514">
        <f>TEXT(0.0286,"0.00%")</f>
        <v>0</v>
      </c>
      <c r="E514">
        <v>41435592</v>
      </c>
      <c r="F514">
        <v>2137138270</v>
      </c>
      <c r="G514">
        <f>TEXT(0.0369,"0.00%")</f>
        <v>0</v>
      </c>
      <c r="H514">
        <f>TEXT(0.0212,"0.00%")</f>
        <v>0</v>
      </c>
      <c r="I514">
        <v>410513999275</v>
      </c>
      <c r="J514">
        <v>0.95</v>
      </c>
      <c r="K514">
        <v>52.31</v>
      </c>
      <c r="L514">
        <v>50.45</v>
      </c>
      <c r="M514">
        <v>50.46</v>
      </c>
      <c r="N514">
        <v>50.36</v>
      </c>
    </row>
    <row r="515" spans="1:14">
      <c r="A515" t="s">
        <v>527</v>
      </c>
      <c r="B515">
        <f>TEXT(300969,"000000")</f>
        <v>0</v>
      </c>
      <c r="C515">
        <v>65.5</v>
      </c>
      <c r="D515">
        <f>TEXT(0.0286,"0.00%")</f>
        <v>0</v>
      </c>
      <c r="E515">
        <v>2027405</v>
      </c>
      <c r="F515">
        <v>130678404</v>
      </c>
      <c r="G515">
        <f>TEXT(0.0708,"0.00%")</f>
        <v>0</v>
      </c>
      <c r="H515">
        <f>TEXT(0.1014,"0.00%")</f>
        <v>0</v>
      </c>
      <c r="I515">
        <v>5240000000</v>
      </c>
      <c r="J515">
        <v>1.12</v>
      </c>
      <c r="K515">
        <v>66.26000000000001</v>
      </c>
      <c r="L515">
        <v>61.75</v>
      </c>
      <c r="M515">
        <v>63.7</v>
      </c>
      <c r="N515">
        <v>63.68</v>
      </c>
    </row>
    <row r="516" spans="1:14">
      <c r="A516" t="s">
        <v>528</v>
      </c>
      <c r="B516">
        <f>TEXT(603699,"000000")</f>
        <v>0</v>
      </c>
      <c r="C516">
        <v>14.8</v>
      </c>
      <c r="D516">
        <f>TEXT(0.0285,"0.00%")</f>
        <v>0</v>
      </c>
      <c r="E516">
        <v>6395158</v>
      </c>
      <c r="F516">
        <v>93334619</v>
      </c>
      <c r="G516">
        <f>TEXT(0.051399999999999994,"0.00%")</f>
        <v>0</v>
      </c>
      <c r="H516">
        <f>TEXT(0.0085,"0.00%")</f>
        <v>0</v>
      </c>
      <c r="I516">
        <v>11086117600</v>
      </c>
      <c r="J516">
        <v>1.36</v>
      </c>
      <c r="K516">
        <v>14.85</v>
      </c>
      <c r="L516">
        <v>14.11</v>
      </c>
      <c r="M516">
        <v>14.39</v>
      </c>
      <c r="N516">
        <v>14.39</v>
      </c>
    </row>
    <row r="517" spans="1:14">
      <c r="A517" t="s">
        <v>529</v>
      </c>
      <c r="B517">
        <f>TEXT(002472,"000000")</f>
        <v>0</v>
      </c>
      <c r="C517">
        <v>24.95</v>
      </c>
      <c r="D517">
        <f>TEXT(0.028399999999999998,"0.00%")</f>
        <v>0</v>
      </c>
      <c r="E517">
        <v>11048310</v>
      </c>
      <c r="F517">
        <v>271069856</v>
      </c>
      <c r="G517">
        <f>TEXT(0.050300000000000004,"0.00%")</f>
        <v>0</v>
      </c>
      <c r="H517">
        <f>TEXT(0.0146,"0.00%")</f>
        <v>0</v>
      </c>
      <c r="I517">
        <v>21217412435</v>
      </c>
      <c r="J517">
        <v>0.86</v>
      </c>
      <c r="K517">
        <v>25.06</v>
      </c>
      <c r="L517">
        <v>23.84</v>
      </c>
      <c r="M517">
        <v>24.21</v>
      </c>
      <c r="N517">
        <v>24.26</v>
      </c>
    </row>
    <row r="518" spans="1:14">
      <c r="A518" t="s">
        <v>530</v>
      </c>
      <c r="B518">
        <f>TEXT(000883,"000000")</f>
        <v>0</v>
      </c>
      <c r="C518">
        <v>4.71</v>
      </c>
      <c r="D518">
        <f>TEXT(0.028399999999999998,"0.00%")</f>
        <v>0</v>
      </c>
      <c r="E518">
        <v>36348322</v>
      </c>
      <c r="F518">
        <v>169675476</v>
      </c>
      <c r="G518">
        <f>TEXT(0.032799999999999996,"0.00%")</f>
        <v>0</v>
      </c>
      <c r="H518">
        <f>TEXT(0.005600000000000001,"0.00%")</f>
        <v>0</v>
      </c>
      <c r="I518">
        <v>30939862764</v>
      </c>
      <c r="J518">
        <v>1.94</v>
      </c>
      <c r="K518">
        <v>4.72</v>
      </c>
      <c r="L518">
        <v>4.57</v>
      </c>
      <c r="M518">
        <v>4.6</v>
      </c>
      <c r="N518">
        <v>4.58</v>
      </c>
    </row>
    <row r="519" spans="1:14">
      <c r="A519" t="s">
        <v>531</v>
      </c>
      <c r="B519">
        <f>TEXT(688365,"000000")</f>
        <v>0</v>
      </c>
      <c r="C519">
        <v>15.57</v>
      </c>
      <c r="D519">
        <f>TEXT(0.028399999999999998,"0.00%")</f>
        <v>0</v>
      </c>
      <c r="E519">
        <v>8156601</v>
      </c>
      <c r="F519">
        <v>125973249</v>
      </c>
      <c r="G519">
        <f>TEXT(0.0436,"0.00%")</f>
        <v>0</v>
      </c>
      <c r="H519">
        <f>TEXT(0.0203,"0.00%")</f>
        <v>0</v>
      </c>
      <c r="I519">
        <v>6630090329</v>
      </c>
      <c r="J519">
        <v>1.19</v>
      </c>
      <c r="K519">
        <v>15.71</v>
      </c>
      <c r="L519">
        <v>15.05</v>
      </c>
      <c r="M519">
        <v>15.17</v>
      </c>
      <c r="N519">
        <v>15.14</v>
      </c>
    </row>
    <row r="520" spans="1:14">
      <c r="A520" t="s">
        <v>532</v>
      </c>
      <c r="B520">
        <f>TEXT(601328,"000000")</f>
        <v>0</v>
      </c>
      <c r="C520">
        <v>5.81</v>
      </c>
      <c r="D520">
        <f>TEXT(0.028300000000000002,"0.00%")</f>
        <v>0</v>
      </c>
      <c r="E520">
        <v>107969195</v>
      </c>
      <c r="F520">
        <v>620940136</v>
      </c>
      <c r="G520">
        <f>TEXT(0.037200000000000004,"0.00%")</f>
        <v>0</v>
      </c>
      <c r="H520">
        <f>TEXT(0.0028000000000000004,"0.00%")</f>
        <v>0</v>
      </c>
      <c r="I520">
        <v>431466441807</v>
      </c>
      <c r="J520">
        <v>0.79</v>
      </c>
      <c r="K520">
        <v>5.83</v>
      </c>
      <c r="L520">
        <v>5.62</v>
      </c>
      <c r="M520">
        <v>5.63</v>
      </c>
      <c r="N520">
        <v>5.65</v>
      </c>
    </row>
    <row r="521" spans="1:14">
      <c r="A521" t="s">
        <v>533</v>
      </c>
      <c r="B521">
        <f>TEXT(300768,"000000")</f>
        <v>0</v>
      </c>
      <c r="C521">
        <v>16.73</v>
      </c>
      <c r="D521">
        <f>TEXT(0.028300000000000002,"0.00%")</f>
        <v>0</v>
      </c>
      <c r="E521">
        <v>3994781</v>
      </c>
      <c r="F521">
        <v>65815957</v>
      </c>
      <c r="G521">
        <f>TEXT(0.059000000000000004,"0.00%")</f>
        <v>0</v>
      </c>
      <c r="H521">
        <f>TEXT(0.0103,"0.00%")</f>
        <v>0</v>
      </c>
      <c r="I521">
        <v>10771259822</v>
      </c>
      <c r="J521">
        <v>0.67</v>
      </c>
      <c r="K521">
        <v>16.86</v>
      </c>
      <c r="L521">
        <v>15.9</v>
      </c>
      <c r="M521">
        <v>16.16</v>
      </c>
      <c r="N521">
        <v>16.27</v>
      </c>
    </row>
    <row r="522" spans="1:14">
      <c r="A522" t="s">
        <v>534</v>
      </c>
      <c r="B522">
        <f>TEXT(603662,"000000")</f>
        <v>0</v>
      </c>
      <c r="C522">
        <v>26.94</v>
      </c>
      <c r="D522">
        <f>TEXT(0.0282,"0.00%")</f>
        <v>0</v>
      </c>
      <c r="E522">
        <v>50694169</v>
      </c>
      <c r="F522">
        <v>1277004213</v>
      </c>
      <c r="G522">
        <f>TEXT(0.1973,"0.00%")</f>
        <v>0</v>
      </c>
      <c r="H522">
        <f>TEXT(0.1805,"0.00%")</f>
        <v>0</v>
      </c>
      <c r="I522">
        <v>7623973986</v>
      </c>
      <c r="J522">
        <v>1.17</v>
      </c>
      <c r="K522">
        <v>28.75</v>
      </c>
      <c r="L522">
        <v>23.58</v>
      </c>
      <c r="M522">
        <v>23.71</v>
      </c>
      <c r="N522">
        <v>26.2</v>
      </c>
    </row>
    <row r="523" spans="1:14">
      <c r="A523" t="s">
        <v>535</v>
      </c>
      <c r="B523">
        <f>TEXT(600739,"000000")</f>
        <v>0</v>
      </c>
      <c r="C523">
        <v>13.5</v>
      </c>
      <c r="D523">
        <f>TEXT(0.0282,"0.00%")</f>
        <v>0</v>
      </c>
      <c r="E523">
        <v>8586290</v>
      </c>
      <c r="F523">
        <v>114734661</v>
      </c>
      <c r="G523">
        <f>TEXT(0.0373,"0.00%")</f>
        <v>0</v>
      </c>
      <c r="H523">
        <f>TEXT(0.005600000000000001,"0.00%")</f>
        <v>0</v>
      </c>
      <c r="I523">
        <v>20651082516</v>
      </c>
      <c r="J523">
        <v>1.24</v>
      </c>
      <c r="K523">
        <v>13.55</v>
      </c>
      <c r="L523">
        <v>13.06</v>
      </c>
      <c r="M523">
        <v>13.14</v>
      </c>
      <c r="N523">
        <v>13.13</v>
      </c>
    </row>
    <row r="524" spans="1:14">
      <c r="A524" t="s">
        <v>536</v>
      </c>
      <c r="B524">
        <f>TEXT(000922,"000000")</f>
        <v>0</v>
      </c>
      <c r="C524">
        <v>13.12</v>
      </c>
      <c r="D524">
        <f>TEXT(0.0282,"0.00%")</f>
        <v>0</v>
      </c>
      <c r="E524">
        <v>8173532</v>
      </c>
      <c r="F524">
        <v>106073412</v>
      </c>
      <c r="G524">
        <f>TEXT(0.047,"0.00%")</f>
        <v>0</v>
      </c>
      <c r="H524">
        <f>TEXT(0.013999999999999999,"0.00%")</f>
        <v>0</v>
      </c>
      <c r="I524">
        <v>7826605495</v>
      </c>
      <c r="J524">
        <v>0.9399999999999999</v>
      </c>
      <c r="K524">
        <v>13.22</v>
      </c>
      <c r="L524">
        <v>12.62</v>
      </c>
      <c r="M524">
        <v>12.69</v>
      </c>
      <c r="N524">
        <v>12.76</v>
      </c>
    </row>
    <row r="525" spans="1:14">
      <c r="A525" t="s">
        <v>537</v>
      </c>
      <c r="B525">
        <f>TEXT(300497,"000000")</f>
        <v>0</v>
      </c>
      <c r="C525">
        <v>12.77</v>
      </c>
      <c r="D525">
        <f>TEXT(0.0282,"0.00%")</f>
        <v>0</v>
      </c>
      <c r="E525">
        <v>10168462</v>
      </c>
      <c r="F525">
        <v>129527772</v>
      </c>
      <c r="G525">
        <f>TEXT(0.0499,"0.00%")</f>
        <v>0</v>
      </c>
      <c r="H525">
        <f>TEXT(0.0227,"0.00%")</f>
        <v>0</v>
      </c>
      <c r="I525">
        <v>7023561730</v>
      </c>
      <c r="J525">
        <v>0.68</v>
      </c>
      <c r="K525">
        <v>12.98</v>
      </c>
      <c r="L525">
        <v>12.36</v>
      </c>
      <c r="M525">
        <v>12.43</v>
      </c>
      <c r="N525">
        <v>12.42</v>
      </c>
    </row>
    <row r="526" spans="1:14">
      <c r="A526" t="s">
        <v>538</v>
      </c>
      <c r="B526">
        <f>TEXT(301331,"000000")</f>
        <v>0</v>
      </c>
      <c r="C526">
        <v>40.84</v>
      </c>
      <c r="D526">
        <f>TEXT(0.0282,"0.00%")</f>
        <v>0</v>
      </c>
      <c r="E526">
        <v>1805630</v>
      </c>
      <c r="F526">
        <v>72790819</v>
      </c>
      <c r="G526">
        <f>TEXT(0.0466,"0.00%")</f>
        <v>0</v>
      </c>
      <c r="H526">
        <f>TEXT(0.10289999999999999,"0.00%")</f>
        <v>0</v>
      </c>
      <c r="I526">
        <v>2864450581</v>
      </c>
      <c r="J526">
        <v>0.7</v>
      </c>
      <c r="K526">
        <v>41.07</v>
      </c>
      <c r="L526">
        <v>39.22</v>
      </c>
      <c r="M526">
        <v>40.02</v>
      </c>
      <c r="N526">
        <v>39.72</v>
      </c>
    </row>
    <row r="527" spans="1:14">
      <c r="A527" t="s">
        <v>539</v>
      </c>
      <c r="B527">
        <f>TEXT(002638,"000000")</f>
        <v>0</v>
      </c>
      <c r="C527">
        <v>2.93</v>
      </c>
      <c r="D527">
        <f>TEXT(0.0281,"0.00%")</f>
        <v>0</v>
      </c>
      <c r="E527">
        <v>38869853</v>
      </c>
      <c r="F527">
        <v>113138084</v>
      </c>
      <c r="G527">
        <f>TEXT(0.038599999999999995,"0.00%")</f>
        <v>0</v>
      </c>
      <c r="H527">
        <f>TEXT(0.0352,"0.00%")</f>
        <v>0</v>
      </c>
      <c r="I527">
        <v>4238231258</v>
      </c>
      <c r="J527">
        <v>0.95</v>
      </c>
      <c r="K527">
        <v>2.95</v>
      </c>
      <c r="L527">
        <v>2.84</v>
      </c>
      <c r="M527">
        <v>2.86</v>
      </c>
      <c r="N527">
        <v>2.85</v>
      </c>
    </row>
    <row r="528" spans="1:14">
      <c r="A528" t="s">
        <v>540</v>
      </c>
      <c r="B528">
        <f>TEXT(603767,"000000")</f>
        <v>0</v>
      </c>
      <c r="C528">
        <v>7.33</v>
      </c>
      <c r="D528">
        <f>TEXT(0.0281,"0.00%")</f>
        <v>0</v>
      </c>
      <c r="E528">
        <v>3175860</v>
      </c>
      <c r="F528">
        <v>23018565</v>
      </c>
      <c r="G528">
        <f>TEXT(0.0407,"0.00%")</f>
        <v>0</v>
      </c>
      <c r="H528">
        <f>TEXT(0.0103,"0.00%")</f>
        <v>0</v>
      </c>
      <c r="I528">
        <v>2253571850</v>
      </c>
      <c r="J528">
        <v>1.94</v>
      </c>
      <c r="K528">
        <v>7.36</v>
      </c>
      <c r="L528">
        <v>7.07</v>
      </c>
      <c r="M528">
        <v>7.11</v>
      </c>
      <c r="N528">
        <v>7.13</v>
      </c>
    </row>
    <row r="529" spans="1:14">
      <c r="A529" t="s">
        <v>541</v>
      </c>
      <c r="B529">
        <f>TEXT(301338,"000000")</f>
        <v>0</v>
      </c>
      <c r="C529">
        <v>51.04</v>
      </c>
      <c r="D529">
        <f>TEXT(0.027999999999999997,"0.00%")</f>
        <v>0</v>
      </c>
      <c r="E529">
        <v>1479277</v>
      </c>
      <c r="F529">
        <v>74994017</v>
      </c>
      <c r="G529">
        <f>TEXT(0.0602,"0.00%")</f>
        <v>0</v>
      </c>
      <c r="H529">
        <f>TEXT(0.0836,"0.00%")</f>
        <v>0</v>
      </c>
      <c r="I529">
        <v>3879040000</v>
      </c>
      <c r="J529">
        <v>1.09</v>
      </c>
      <c r="K529">
        <v>52</v>
      </c>
      <c r="L529">
        <v>49.01</v>
      </c>
      <c r="M529">
        <v>49.61</v>
      </c>
      <c r="N529">
        <v>49.65</v>
      </c>
    </row>
    <row r="530" spans="1:14">
      <c r="A530" t="s">
        <v>542</v>
      </c>
      <c r="B530">
        <f>TEXT(002236,"000000")</f>
        <v>0</v>
      </c>
      <c r="C530">
        <v>21.29</v>
      </c>
      <c r="D530">
        <f>TEXT(0.027999999999999997,"0.00%")</f>
        <v>0</v>
      </c>
      <c r="E530">
        <v>43105985</v>
      </c>
      <c r="F530">
        <v>910180750</v>
      </c>
      <c r="G530">
        <f>TEXT(0.049699999999999994,"0.00%")</f>
        <v>0</v>
      </c>
      <c r="H530">
        <f>TEXT(0.022000000000000002,"0.00%")</f>
        <v>0</v>
      </c>
      <c r="I530">
        <v>70816172695</v>
      </c>
      <c r="J530">
        <v>0.84</v>
      </c>
      <c r="K530">
        <v>21.54</v>
      </c>
      <c r="L530">
        <v>20.51</v>
      </c>
      <c r="M530">
        <v>20.65</v>
      </c>
      <c r="N530">
        <v>20.71</v>
      </c>
    </row>
    <row r="531" spans="1:14">
      <c r="A531" t="s">
        <v>543</v>
      </c>
      <c r="B531">
        <f>TEXT(300531,"000000")</f>
        <v>0</v>
      </c>
      <c r="C531">
        <v>13.96</v>
      </c>
      <c r="D531">
        <f>TEXT(0.027999999999999997,"0.00%")</f>
        <v>0</v>
      </c>
      <c r="E531">
        <v>6110422</v>
      </c>
      <c r="F531">
        <v>84589264</v>
      </c>
      <c r="G531">
        <f>TEXT(0.0434,"0.00%")</f>
        <v>0</v>
      </c>
      <c r="H531">
        <f>TEXT(0.0194,"0.00%")</f>
        <v>0</v>
      </c>
      <c r="I531">
        <v>4605925755</v>
      </c>
      <c r="J531">
        <v>1.35</v>
      </c>
      <c r="K531">
        <v>14.05</v>
      </c>
      <c r="L531">
        <v>13.46</v>
      </c>
      <c r="M531">
        <v>13.57</v>
      </c>
      <c r="N531">
        <v>13.58</v>
      </c>
    </row>
    <row r="532" spans="1:14">
      <c r="A532" t="s">
        <v>544</v>
      </c>
      <c r="B532">
        <f>TEXT(300333,"000000")</f>
        <v>0</v>
      </c>
      <c r="C532">
        <v>6.62</v>
      </c>
      <c r="D532">
        <f>TEXT(0.027999999999999997,"0.00%")</f>
        <v>0</v>
      </c>
      <c r="E532">
        <v>6044800</v>
      </c>
      <c r="F532">
        <v>39743487</v>
      </c>
      <c r="G532">
        <f>TEXT(0.04190000000000001,"0.00%")</f>
        <v>0</v>
      </c>
      <c r="H532">
        <f>TEXT(0.0181,"0.00%")</f>
        <v>0</v>
      </c>
      <c r="I532">
        <v>2224320000</v>
      </c>
      <c r="J532">
        <v>1.17</v>
      </c>
      <c r="K532">
        <v>6.67</v>
      </c>
      <c r="L532">
        <v>6.4</v>
      </c>
      <c r="M532">
        <v>6.44</v>
      </c>
      <c r="N532">
        <v>6.44</v>
      </c>
    </row>
    <row r="533" spans="1:14">
      <c r="A533" t="s">
        <v>545</v>
      </c>
      <c r="B533">
        <f>TEXT(688361,"000000")</f>
        <v>0</v>
      </c>
      <c r="C533">
        <v>70.90000000000001</v>
      </c>
      <c r="D533">
        <f>TEXT(0.027999999999999997,"0.00%")</f>
        <v>0</v>
      </c>
      <c r="E533">
        <v>9772875</v>
      </c>
      <c r="F533">
        <v>693061790</v>
      </c>
      <c r="G533">
        <f>TEXT(0.067,"0.00%")</f>
        <v>0</v>
      </c>
      <c r="H533">
        <f>TEXT(0.1631,"0.00%")</f>
        <v>0</v>
      </c>
      <c r="I533">
        <v>22688000000</v>
      </c>
      <c r="J533">
        <v>0.46</v>
      </c>
      <c r="K533">
        <v>72.95</v>
      </c>
      <c r="L533">
        <v>68.33</v>
      </c>
      <c r="M533">
        <v>69</v>
      </c>
      <c r="N533">
        <v>68.97</v>
      </c>
    </row>
    <row r="534" spans="1:14">
      <c r="A534" t="s">
        <v>546</v>
      </c>
      <c r="B534">
        <f>TEXT(002038,"000000")</f>
        <v>0</v>
      </c>
      <c r="C534">
        <v>9.529999999999999</v>
      </c>
      <c r="D534">
        <f>TEXT(0.027999999999999997,"0.00%")</f>
        <v>0</v>
      </c>
      <c r="E534">
        <v>12113583</v>
      </c>
      <c r="F534">
        <v>114509635</v>
      </c>
      <c r="G534">
        <f>TEXT(0.044199999999999996,"0.00%")</f>
        <v>0</v>
      </c>
      <c r="H534">
        <f>TEXT(0.014199999999999999,"0.00%")</f>
        <v>0</v>
      </c>
      <c r="I534">
        <v>9790645500</v>
      </c>
      <c r="J534">
        <v>0.95</v>
      </c>
      <c r="K534">
        <v>9.65</v>
      </c>
      <c r="L534">
        <v>9.24</v>
      </c>
      <c r="M534">
        <v>9.26</v>
      </c>
      <c r="N534">
        <v>9.27</v>
      </c>
    </row>
    <row r="535" spans="1:14">
      <c r="A535" t="s">
        <v>547</v>
      </c>
      <c r="B535">
        <f>TEXT(688019,"000000")</f>
        <v>0</v>
      </c>
      <c r="C535">
        <v>244.91</v>
      </c>
      <c r="D535">
        <f>TEXT(0.027999999999999997,"0.00%")</f>
        <v>0</v>
      </c>
      <c r="E535">
        <v>1165022</v>
      </c>
      <c r="F535">
        <v>285166273</v>
      </c>
      <c r="G535">
        <f>TEXT(0.0538,"0.00%")</f>
        <v>0</v>
      </c>
      <c r="H535">
        <f>TEXT(0.015600000000000001,"0.00%")</f>
        <v>0</v>
      </c>
      <c r="I535">
        <v>18606843771</v>
      </c>
      <c r="J535">
        <v>0.91</v>
      </c>
      <c r="K535">
        <v>248.9</v>
      </c>
      <c r="L535">
        <v>236.09</v>
      </c>
      <c r="M535">
        <v>237.85</v>
      </c>
      <c r="N535">
        <v>238.23</v>
      </c>
    </row>
    <row r="536" spans="1:14">
      <c r="A536" t="s">
        <v>548</v>
      </c>
      <c r="B536">
        <f>TEXT(002965,"000000")</f>
        <v>0</v>
      </c>
      <c r="C536">
        <v>52</v>
      </c>
      <c r="D536">
        <f>TEXT(0.0279,"0.00%")</f>
        <v>0</v>
      </c>
      <c r="E536">
        <v>7164367</v>
      </c>
      <c r="F536">
        <v>368751556</v>
      </c>
      <c r="G536">
        <f>TEXT(0.0674,"0.00%")</f>
        <v>0</v>
      </c>
      <c r="H536">
        <f>TEXT(0.062,"0.00%")</f>
        <v>0</v>
      </c>
      <c r="I536">
        <v>9269937976</v>
      </c>
      <c r="J536">
        <v>1.33</v>
      </c>
      <c r="K536">
        <v>53.01</v>
      </c>
      <c r="L536">
        <v>49.6</v>
      </c>
      <c r="M536">
        <v>50.34</v>
      </c>
      <c r="N536">
        <v>50.59</v>
      </c>
    </row>
    <row r="537" spans="1:14">
      <c r="A537" t="s">
        <v>549</v>
      </c>
      <c r="B537">
        <f>TEXT(300649,"000000")</f>
        <v>0</v>
      </c>
      <c r="C537">
        <v>23.56</v>
      </c>
      <c r="D537">
        <f>TEXT(0.0279,"0.00%")</f>
        <v>0</v>
      </c>
      <c r="E537">
        <v>23886375</v>
      </c>
      <c r="F537">
        <v>573845846</v>
      </c>
      <c r="G537">
        <f>TEXT(0.1911,"0.00%")</f>
        <v>0</v>
      </c>
      <c r="H537">
        <f>TEXT(0.2273,"0.00%")</f>
        <v>0</v>
      </c>
      <c r="I537">
        <v>3119735308</v>
      </c>
      <c r="J537">
        <v>5.97</v>
      </c>
      <c r="K537">
        <v>26.39</v>
      </c>
      <c r="L537">
        <v>22.01</v>
      </c>
      <c r="M537">
        <v>22.69</v>
      </c>
      <c r="N537">
        <v>22.92</v>
      </c>
    </row>
    <row r="538" spans="1:14">
      <c r="A538" t="s">
        <v>550</v>
      </c>
      <c r="B538">
        <f>TEXT(688619,"000000")</f>
        <v>0</v>
      </c>
      <c r="C538">
        <v>15.47</v>
      </c>
      <c r="D538">
        <f>TEXT(0.0279,"0.00%")</f>
        <v>0</v>
      </c>
      <c r="E538">
        <v>3323056</v>
      </c>
      <c r="F538">
        <v>50848673</v>
      </c>
      <c r="G538">
        <f>TEXT(0.0472,"0.00%")</f>
        <v>0</v>
      </c>
      <c r="H538">
        <f>TEXT(0.0371,"0.00%")</f>
        <v>0</v>
      </c>
      <c r="I538">
        <v>2902875498</v>
      </c>
      <c r="J538">
        <v>0.47</v>
      </c>
      <c r="K538">
        <v>15.51</v>
      </c>
      <c r="L538">
        <v>14.8</v>
      </c>
      <c r="M538">
        <v>14.8</v>
      </c>
      <c r="N538">
        <v>15.05</v>
      </c>
    </row>
    <row r="539" spans="1:14">
      <c r="A539" t="s">
        <v>551</v>
      </c>
      <c r="B539">
        <f>TEXT(688539,"000000")</f>
        <v>0</v>
      </c>
      <c r="C539">
        <v>42.07</v>
      </c>
      <c r="D539">
        <f>TEXT(0.0279,"0.00%")</f>
        <v>0</v>
      </c>
      <c r="E539">
        <v>2337092</v>
      </c>
      <c r="F539">
        <v>97454086</v>
      </c>
      <c r="G539">
        <f>TEXT(0.0432,"0.00%")</f>
        <v>0</v>
      </c>
      <c r="H539">
        <f>TEXT(0.0828,"0.00%")</f>
        <v>0</v>
      </c>
      <c r="I539">
        <v>5586896000</v>
      </c>
      <c r="J539">
        <v>0.63</v>
      </c>
      <c r="K539">
        <v>42.47</v>
      </c>
      <c r="L539">
        <v>40.7</v>
      </c>
      <c r="M539">
        <v>40.7</v>
      </c>
      <c r="N539">
        <v>40.93</v>
      </c>
    </row>
    <row r="540" spans="1:14">
      <c r="A540" t="s">
        <v>552</v>
      </c>
      <c r="B540">
        <f>TEXT(301093,"000000")</f>
        <v>0</v>
      </c>
      <c r="C540">
        <v>32.88</v>
      </c>
      <c r="D540">
        <f>TEXT(0.0278,"0.00%")</f>
        <v>0</v>
      </c>
      <c r="E540">
        <v>1032021</v>
      </c>
      <c r="F540">
        <v>33491759</v>
      </c>
      <c r="G540">
        <f>TEXT(0.04,"0.00%")</f>
        <v>0</v>
      </c>
      <c r="H540">
        <f>TEXT(0.010700000000000001,"0.00%")</f>
        <v>0</v>
      </c>
      <c r="I540">
        <v>4464665610</v>
      </c>
      <c r="J540">
        <v>1.27</v>
      </c>
      <c r="K540">
        <v>32.98</v>
      </c>
      <c r="L540">
        <v>31.7</v>
      </c>
      <c r="M540">
        <v>32</v>
      </c>
      <c r="N540">
        <v>31.99</v>
      </c>
    </row>
    <row r="541" spans="1:14">
      <c r="A541" t="s">
        <v>553</v>
      </c>
      <c r="B541">
        <f>TEXT(001299,"000000")</f>
        <v>0</v>
      </c>
      <c r="C541">
        <v>18.1</v>
      </c>
      <c r="D541">
        <f>TEXT(0.0278,"0.00%")</f>
        <v>0</v>
      </c>
      <c r="E541">
        <v>16508963</v>
      </c>
      <c r="F541">
        <v>300569717</v>
      </c>
      <c r="G541">
        <f>TEXT(0.056799999999999996,"0.00%")</f>
        <v>0</v>
      </c>
      <c r="H541">
        <f>TEXT(0.35200000000000004,"0.00%")</f>
        <v>0</v>
      </c>
      <c r="I541">
        <v>3395192515</v>
      </c>
      <c r="J541">
        <v>9.26</v>
      </c>
      <c r="K541">
        <v>18.79</v>
      </c>
      <c r="L541">
        <v>17.79</v>
      </c>
      <c r="M541">
        <v>18.79</v>
      </c>
      <c r="N541">
        <v>17.61</v>
      </c>
    </row>
    <row r="542" spans="1:14">
      <c r="A542" t="s">
        <v>554</v>
      </c>
      <c r="B542">
        <f>TEXT(603421,"000000")</f>
        <v>0</v>
      </c>
      <c r="C542">
        <v>9.619999999999999</v>
      </c>
      <c r="D542">
        <f>TEXT(0.0278,"0.00%")</f>
        <v>0</v>
      </c>
      <c r="E542">
        <v>2565215</v>
      </c>
      <c r="F542">
        <v>24365052</v>
      </c>
      <c r="G542">
        <f>TEXT(0.0331,"0.00%")</f>
        <v>0</v>
      </c>
      <c r="H542">
        <f>TEXT(0.0039000000000000003,"0.00%")</f>
        <v>0</v>
      </c>
      <c r="I542">
        <v>6274072715</v>
      </c>
      <c r="J542">
        <v>0.83</v>
      </c>
      <c r="K542">
        <v>9.630000000000001</v>
      </c>
      <c r="L542">
        <v>9.32</v>
      </c>
      <c r="M542">
        <v>9.34</v>
      </c>
      <c r="N542">
        <v>9.359999999999999</v>
      </c>
    </row>
    <row r="543" spans="1:14">
      <c r="A543" t="s">
        <v>555</v>
      </c>
      <c r="B543">
        <f>TEXT(688313,"000000")</f>
        <v>0</v>
      </c>
      <c r="C543">
        <v>13.3</v>
      </c>
      <c r="D543">
        <f>TEXT(0.0278,"0.00%")</f>
        <v>0</v>
      </c>
      <c r="E543">
        <v>23139348</v>
      </c>
      <c r="F543">
        <v>307234316</v>
      </c>
      <c r="G543">
        <f>TEXT(0.0526,"0.00%")</f>
        <v>0</v>
      </c>
      <c r="H543">
        <f>TEXT(0.0713,"0.00%")</f>
        <v>0</v>
      </c>
      <c r="I543">
        <v>6102070962</v>
      </c>
      <c r="J543">
        <v>1.12</v>
      </c>
      <c r="K543">
        <v>13.52</v>
      </c>
      <c r="L543">
        <v>12.84</v>
      </c>
      <c r="M543">
        <v>12.93</v>
      </c>
      <c r="N543">
        <v>12.94</v>
      </c>
    </row>
    <row r="544" spans="1:14">
      <c r="A544" t="s">
        <v>556</v>
      </c>
      <c r="B544">
        <f>TEXT(301321,"000000")</f>
        <v>0</v>
      </c>
      <c r="C544">
        <v>21.41</v>
      </c>
      <c r="D544">
        <f>TEXT(0.0278,"0.00%")</f>
        <v>0</v>
      </c>
      <c r="E544">
        <v>1519135</v>
      </c>
      <c r="F544">
        <v>32247658</v>
      </c>
      <c r="G544">
        <f>TEXT(0.0331,"0.00%")</f>
        <v>0</v>
      </c>
      <c r="H544">
        <f>TEXT(0.024399999999999998,"0.00%")</f>
        <v>0</v>
      </c>
      <c r="I544">
        <v>2661048900</v>
      </c>
      <c r="J544">
        <v>1.7</v>
      </c>
      <c r="K544">
        <v>21.47</v>
      </c>
      <c r="L544">
        <v>20.78</v>
      </c>
      <c r="M544">
        <v>20.82</v>
      </c>
      <c r="N544">
        <v>20.83</v>
      </c>
    </row>
    <row r="545" spans="1:14">
      <c r="A545" t="s">
        <v>557</v>
      </c>
      <c r="B545">
        <f>TEXT(000525,"000000")</f>
        <v>0</v>
      </c>
      <c r="C545">
        <v>8.5</v>
      </c>
      <c r="D545">
        <f>TEXT(0.0278,"0.00%")</f>
        <v>0</v>
      </c>
      <c r="E545">
        <v>15299203</v>
      </c>
      <c r="F545">
        <v>128270519</v>
      </c>
      <c r="G545">
        <f>TEXT(0.0617,"0.00%")</f>
        <v>0</v>
      </c>
      <c r="H545">
        <f>TEXT(0.0263,"0.00%")</f>
        <v>0</v>
      </c>
      <c r="I545">
        <v>4936569420</v>
      </c>
      <c r="J545">
        <v>1.22</v>
      </c>
      <c r="K545">
        <v>8.66</v>
      </c>
      <c r="L545">
        <v>8.15</v>
      </c>
      <c r="M545">
        <v>8.27</v>
      </c>
      <c r="N545">
        <v>8.27</v>
      </c>
    </row>
    <row r="546" spans="1:14">
      <c r="A546" t="s">
        <v>558</v>
      </c>
      <c r="B546">
        <f>TEXT(603730,"000000")</f>
        <v>0</v>
      </c>
      <c r="C546">
        <v>18.5</v>
      </c>
      <c r="D546">
        <f>TEXT(0.0278,"0.00%")</f>
        <v>0</v>
      </c>
      <c r="E546">
        <v>2267249</v>
      </c>
      <c r="F546">
        <v>41705949</v>
      </c>
      <c r="G546">
        <f>TEXT(0.051699999999999996,"0.00%")</f>
        <v>0</v>
      </c>
      <c r="H546">
        <f>TEXT(0.0024,"0.00%")</f>
        <v>0</v>
      </c>
      <c r="I546">
        <v>17422192904</v>
      </c>
      <c r="J546">
        <v>1.5</v>
      </c>
      <c r="K546">
        <v>18.7</v>
      </c>
      <c r="L546">
        <v>17.77</v>
      </c>
      <c r="M546">
        <v>17.97</v>
      </c>
      <c r="N546">
        <v>18</v>
      </c>
    </row>
    <row r="547" spans="1:14">
      <c r="A547" t="s">
        <v>559</v>
      </c>
      <c r="B547">
        <f>TEXT(000887,"000000")</f>
        <v>0</v>
      </c>
      <c r="C547">
        <v>12.56</v>
      </c>
      <c r="D547">
        <f>TEXT(0.0278,"0.00%")</f>
        <v>0</v>
      </c>
      <c r="E547">
        <v>19584475</v>
      </c>
      <c r="F547">
        <v>242757525</v>
      </c>
      <c r="G547">
        <f>TEXT(0.049100000000000005,"0.00%")</f>
        <v>0</v>
      </c>
      <c r="H547">
        <f>TEXT(0.0149,"0.00%")</f>
        <v>0</v>
      </c>
      <c r="I547">
        <v>16535111222</v>
      </c>
      <c r="J547">
        <v>2.04</v>
      </c>
      <c r="K547">
        <v>12.62</v>
      </c>
      <c r="L547">
        <v>12.02</v>
      </c>
      <c r="M547">
        <v>12.27</v>
      </c>
      <c r="N547">
        <v>12.22</v>
      </c>
    </row>
    <row r="548" spans="1:14">
      <c r="A548" t="s">
        <v>560</v>
      </c>
      <c r="B548">
        <f>TEXT(603006,"000000")</f>
        <v>0</v>
      </c>
      <c r="C548">
        <v>10.37</v>
      </c>
      <c r="D548">
        <f>TEXT(0.0278,"0.00%")</f>
        <v>0</v>
      </c>
      <c r="E548">
        <v>2565301</v>
      </c>
      <c r="F548">
        <v>26370860</v>
      </c>
      <c r="G548">
        <f>TEXT(0.0535,"0.00%")</f>
        <v>0</v>
      </c>
      <c r="H548">
        <f>TEXT(0.0134,"0.00%")</f>
        <v>0</v>
      </c>
      <c r="I548">
        <v>2636616572</v>
      </c>
      <c r="J548">
        <v>2.03</v>
      </c>
      <c r="K548">
        <v>10.47</v>
      </c>
      <c r="L548">
        <v>9.93</v>
      </c>
      <c r="M548">
        <v>10</v>
      </c>
      <c r="N548">
        <v>10.09</v>
      </c>
    </row>
    <row r="549" spans="1:14">
      <c r="A549" t="s">
        <v>561</v>
      </c>
      <c r="B549">
        <f>TEXT(605199,"000000")</f>
        <v>0</v>
      </c>
      <c r="C549">
        <v>16.39</v>
      </c>
      <c r="D549">
        <f>TEXT(0.0276,"0.00%")</f>
        <v>0</v>
      </c>
      <c r="E549">
        <v>3082033</v>
      </c>
      <c r="F549">
        <v>50009703</v>
      </c>
      <c r="G549">
        <f>TEXT(0.0332,"0.00%")</f>
        <v>0</v>
      </c>
      <c r="H549">
        <f>TEXT(0.033,"0.00%")</f>
        <v>0</v>
      </c>
      <c r="I549">
        <v>6557782445</v>
      </c>
      <c r="J549">
        <v>0.9</v>
      </c>
      <c r="K549">
        <v>16.4</v>
      </c>
      <c r="L549">
        <v>15.87</v>
      </c>
      <c r="M549">
        <v>15.9</v>
      </c>
      <c r="N549">
        <v>15.95</v>
      </c>
    </row>
    <row r="550" spans="1:14">
      <c r="A550" t="s">
        <v>562</v>
      </c>
      <c r="B550">
        <f>TEXT(301378,"000000")</f>
        <v>0</v>
      </c>
      <c r="C550">
        <v>106.67</v>
      </c>
      <c r="D550">
        <f>TEXT(0.0276,"0.00%")</f>
        <v>0</v>
      </c>
      <c r="E550">
        <v>1357876</v>
      </c>
      <c r="F550">
        <v>142830718</v>
      </c>
      <c r="G550">
        <f>TEXT(0.094,"0.00%")</f>
        <v>0</v>
      </c>
      <c r="H550">
        <f>TEXT(0.11810000000000001,"0.00%")</f>
        <v>0</v>
      </c>
      <c r="I550">
        <v>4906820000</v>
      </c>
      <c r="J550">
        <v>1.77</v>
      </c>
      <c r="K550">
        <v>108.76</v>
      </c>
      <c r="L550">
        <v>99</v>
      </c>
      <c r="M550">
        <v>103</v>
      </c>
      <c r="N550">
        <v>103.81</v>
      </c>
    </row>
    <row r="551" spans="1:14">
      <c r="A551" t="s">
        <v>563</v>
      </c>
      <c r="B551">
        <f>TEXT(300761,"000000")</f>
        <v>0</v>
      </c>
      <c r="C551">
        <v>19.71</v>
      </c>
      <c r="D551">
        <f>TEXT(0.0276,"0.00%")</f>
        <v>0</v>
      </c>
      <c r="E551">
        <v>1667540</v>
      </c>
      <c r="F551">
        <v>32613112</v>
      </c>
      <c r="G551">
        <f>TEXT(0.039599999999999996,"0.00%")</f>
        <v>0</v>
      </c>
      <c r="H551">
        <f>TEXT(0.0028000000000000004,"0.00%")</f>
        <v>0</v>
      </c>
      <c r="I551">
        <v>16312873114</v>
      </c>
      <c r="J551">
        <v>0.9399999999999999</v>
      </c>
      <c r="K551">
        <v>19.8</v>
      </c>
      <c r="L551">
        <v>19.04</v>
      </c>
      <c r="M551">
        <v>19.23</v>
      </c>
      <c r="N551">
        <v>19.18</v>
      </c>
    </row>
    <row r="552" spans="1:14">
      <c r="A552" t="s">
        <v>564</v>
      </c>
      <c r="B552">
        <f>TEXT(000819,"000000")</f>
        <v>0</v>
      </c>
      <c r="C552">
        <v>20.16</v>
      </c>
      <c r="D552">
        <f>TEXT(0.0275,"0.00%")</f>
        <v>0</v>
      </c>
      <c r="E552">
        <v>13800555</v>
      </c>
      <c r="F552">
        <v>283841566</v>
      </c>
      <c r="G552">
        <f>TEXT(0.051,"0.00%")</f>
        <v>0</v>
      </c>
      <c r="H552">
        <f>TEXT(0.0461,"0.00%")</f>
        <v>0</v>
      </c>
      <c r="I552">
        <v>6175517140</v>
      </c>
      <c r="J552">
        <v>2.1</v>
      </c>
      <c r="K552">
        <v>21.1</v>
      </c>
      <c r="L552">
        <v>20.1</v>
      </c>
      <c r="M552">
        <v>20.36</v>
      </c>
      <c r="N552">
        <v>19.62</v>
      </c>
    </row>
    <row r="553" spans="1:14">
      <c r="A553" t="s">
        <v>565</v>
      </c>
      <c r="B553">
        <f>TEXT(300674,"000000")</f>
        <v>0</v>
      </c>
      <c r="C553">
        <v>16.44</v>
      </c>
      <c r="D553">
        <f>TEXT(0.0275,"0.00%")</f>
        <v>0</v>
      </c>
      <c r="E553">
        <v>13638053</v>
      </c>
      <c r="F553">
        <v>221440791</v>
      </c>
      <c r="G553">
        <f>TEXT(0.04,"0.00%")</f>
        <v>0</v>
      </c>
      <c r="H553">
        <f>TEXT(0.0194,"0.00%")</f>
        <v>0</v>
      </c>
      <c r="I553">
        <v>11683543755</v>
      </c>
      <c r="J553">
        <v>1.04</v>
      </c>
      <c r="K553">
        <v>16.5</v>
      </c>
      <c r="L553">
        <v>15.86</v>
      </c>
      <c r="M553">
        <v>16.02</v>
      </c>
      <c r="N553">
        <v>16</v>
      </c>
    </row>
    <row r="554" spans="1:14">
      <c r="A554" t="s">
        <v>566</v>
      </c>
      <c r="B554">
        <f>TEXT(600229,"000000")</f>
        <v>0</v>
      </c>
      <c r="C554">
        <v>8.6</v>
      </c>
      <c r="D554">
        <f>TEXT(0.0275,"0.00%")</f>
        <v>0</v>
      </c>
      <c r="E554">
        <v>18720963</v>
      </c>
      <c r="F554">
        <v>159846018</v>
      </c>
      <c r="G554">
        <f>TEXT(0.0526,"0.00%")</f>
        <v>0</v>
      </c>
      <c r="H554">
        <f>TEXT(0.0279,"0.00%")</f>
        <v>0</v>
      </c>
      <c r="I554">
        <v>5772388800</v>
      </c>
      <c r="J554">
        <v>1.42</v>
      </c>
      <c r="K554">
        <v>8.710000000000001</v>
      </c>
      <c r="L554">
        <v>8.27</v>
      </c>
      <c r="M554">
        <v>8.33</v>
      </c>
      <c r="N554">
        <v>8.369999999999999</v>
      </c>
    </row>
    <row r="555" spans="1:14">
      <c r="A555" t="s">
        <v>567</v>
      </c>
      <c r="B555">
        <f>TEXT(000598,"000000")</f>
        <v>0</v>
      </c>
      <c r="C555">
        <v>5.61</v>
      </c>
      <c r="D555">
        <f>TEXT(0.0275,"0.00%")</f>
        <v>0</v>
      </c>
      <c r="E555">
        <v>17884239</v>
      </c>
      <c r="F555">
        <v>99755368</v>
      </c>
      <c r="G555">
        <f>TEXT(0.023799999999999998,"0.00%")</f>
        <v>0</v>
      </c>
      <c r="H555">
        <f>TEXT(0.006,"0.00%")</f>
        <v>0</v>
      </c>
      <c r="I555">
        <v>16749027060</v>
      </c>
      <c r="J555">
        <v>1.05</v>
      </c>
      <c r="K555">
        <v>5.65</v>
      </c>
      <c r="L555">
        <v>5.52</v>
      </c>
      <c r="M555">
        <v>5.53</v>
      </c>
      <c r="N555">
        <v>5.46</v>
      </c>
    </row>
    <row r="556" spans="1:14">
      <c r="A556" t="s">
        <v>568</v>
      </c>
      <c r="B556">
        <f>TEXT(600613,"000000")</f>
        <v>0</v>
      </c>
      <c r="C556">
        <v>7.51</v>
      </c>
      <c r="D556">
        <f>TEXT(0.0274,"0.00%")</f>
        <v>0</v>
      </c>
      <c r="E556">
        <v>8591600</v>
      </c>
      <c r="F556">
        <v>63656520</v>
      </c>
      <c r="G556">
        <f>TEXT(0.0451,"0.00%")</f>
        <v>0</v>
      </c>
      <c r="H556">
        <f>TEXT(0.0179,"0.00%")</f>
        <v>0</v>
      </c>
      <c r="I556">
        <v>4010877926</v>
      </c>
      <c r="J556">
        <v>0.74</v>
      </c>
      <c r="K556">
        <v>7.55</v>
      </c>
      <c r="L556">
        <v>7.22</v>
      </c>
      <c r="M556">
        <v>7.3</v>
      </c>
      <c r="N556">
        <v>7.31</v>
      </c>
    </row>
    <row r="557" spans="1:14">
      <c r="A557" t="s">
        <v>569</v>
      </c>
      <c r="B557">
        <f>TEXT(300021,"000000")</f>
        <v>0</v>
      </c>
      <c r="C557">
        <v>5.27</v>
      </c>
      <c r="D557">
        <f>TEXT(0.0273,"0.00%")</f>
        <v>0</v>
      </c>
      <c r="E557">
        <v>47575548</v>
      </c>
      <c r="F557">
        <v>257209800</v>
      </c>
      <c r="G557">
        <f>TEXT(0.078,"0.00%")</f>
        <v>0</v>
      </c>
      <c r="H557">
        <f>TEXT(0.0679,"0.00%")</f>
        <v>0</v>
      </c>
      <c r="I557">
        <v>4542529595</v>
      </c>
      <c r="J557">
        <v>3.99</v>
      </c>
      <c r="K557">
        <v>5.65</v>
      </c>
      <c r="L557">
        <v>5.25</v>
      </c>
      <c r="M557">
        <v>5.48</v>
      </c>
      <c r="N557">
        <v>5.13</v>
      </c>
    </row>
    <row r="558" spans="1:14">
      <c r="A558" t="s">
        <v>570</v>
      </c>
      <c r="B558">
        <f>TEXT(000426,"000000")</f>
        <v>0</v>
      </c>
      <c r="C558">
        <v>8.66</v>
      </c>
      <c r="D558">
        <f>TEXT(0.0273,"0.00%")</f>
        <v>0</v>
      </c>
      <c r="E558">
        <v>19346201</v>
      </c>
      <c r="F558">
        <v>166119783</v>
      </c>
      <c r="G558">
        <f>TEXT(0.056900000000000006,"0.00%")</f>
        <v>0</v>
      </c>
      <c r="H558">
        <f>TEXT(0.0131,"0.00%")</f>
        <v>0</v>
      </c>
      <c r="I558">
        <v>15910084616</v>
      </c>
      <c r="J558">
        <v>1.26</v>
      </c>
      <c r="K558">
        <v>8.800000000000001</v>
      </c>
      <c r="L558">
        <v>8.32</v>
      </c>
      <c r="M558">
        <v>8.43</v>
      </c>
      <c r="N558">
        <v>8.43</v>
      </c>
    </row>
    <row r="559" spans="1:14">
      <c r="A559" t="s">
        <v>571</v>
      </c>
      <c r="B559">
        <f>TEXT(300264,"000000")</f>
        <v>0</v>
      </c>
      <c r="C559">
        <v>6.03</v>
      </c>
      <c r="D559">
        <f>TEXT(0.0273,"0.00%")</f>
        <v>0</v>
      </c>
      <c r="E559">
        <v>10722100</v>
      </c>
      <c r="F559">
        <v>63788866</v>
      </c>
      <c r="G559">
        <f>TEXT(0.046,"0.00%")</f>
        <v>0</v>
      </c>
      <c r="H559">
        <f>TEXT(0.0301,"0.00%")</f>
        <v>0</v>
      </c>
      <c r="I559">
        <v>2598070833</v>
      </c>
      <c r="J559">
        <v>0.77</v>
      </c>
      <c r="K559">
        <v>6.07</v>
      </c>
      <c r="L559">
        <v>5.8</v>
      </c>
      <c r="M559">
        <v>5.82</v>
      </c>
      <c r="N559">
        <v>5.87</v>
      </c>
    </row>
    <row r="560" spans="1:14">
      <c r="A560" t="s">
        <v>572</v>
      </c>
      <c r="B560">
        <f>TEXT(605589,"000000")</f>
        <v>0</v>
      </c>
      <c r="C560">
        <v>19.93</v>
      </c>
      <c r="D560">
        <f>TEXT(0.0273,"0.00%")</f>
        <v>0</v>
      </c>
      <c r="E560">
        <v>9638115</v>
      </c>
      <c r="F560">
        <v>189771808</v>
      </c>
      <c r="G560">
        <f>TEXT(0.061900000000000004,"0.00%")</f>
        <v>0</v>
      </c>
      <c r="H560">
        <f>TEXT(0.015700000000000002,"0.00%")</f>
        <v>0</v>
      </c>
      <c r="I560">
        <v>15602734624</v>
      </c>
      <c r="J560">
        <v>1.38</v>
      </c>
      <c r="K560">
        <v>20.25</v>
      </c>
      <c r="L560">
        <v>19.05</v>
      </c>
      <c r="M560">
        <v>19.4</v>
      </c>
      <c r="N560">
        <v>19.4</v>
      </c>
    </row>
    <row r="561" spans="1:14">
      <c r="A561" t="s">
        <v>573</v>
      </c>
      <c r="B561">
        <f>TEXT(300606,"000000")</f>
        <v>0</v>
      </c>
      <c r="C561">
        <v>16.24</v>
      </c>
      <c r="D561">
        <f>TEXT(0.027200000000000002,"0.00%")</f>
        <v>0</v>
      </c>
      <c r="E561">
        <v>2420553</v>
      </c>
      <c r="F561">
        <v>38698857</v>
      </c>
      <c r="G561">
        <f>TEXT(0.0519,"0.00%")</f>
        <v>0</v>
      </c>
      <c r="H561">
        <f>TEXT(0.0206,"0.00%")</f>
        <v>0</v>
      </c>
      <c r="I561">
        <v>2275690088</v>
      </c>
      <c r="J561">
        <v>0.62</v>
      </c>
      <c r="K561">
        <v>16.27</v>
      </c>
      <c r="L561">
        <v>15.45</v>
      </c>
      <c r="M561">
        <v>15.83</v>
      </c>
      <c r="N561">
        <v>15.81</v>
      </c>
    </row>
    <row r="562" spans="1:14">
      <c r="A562" t="s">
        <v>574</v>
      </c>
      <c r="B562">
        <f>TEXT(002941,"000000")</f>
        <v>0</v>
      </c>
      <c r="C562">
        <v>15.48</v>
      </c>
      <c r="D562">
        <f>TEXT(0.027200000000000002,"0.00%")</f>
        <v>0</v>
      </c>
      <c r="E562">
        <v>26617414</v>
      </c>
      <c r="F562">
        <v>408079629</v>
      </c>
      <c r="G562">
        <f>TEXT(0.0438,"0.00%")</f>
        <v>0</v>
      </c>
      <c r="H562">
        <f>TEXT(0.0416,"0.00%")</f>
        <v>0</v>
      </c>
      <c r="I562">
        <v>9985486973</v>
      </c>
      <c r="J562">
        <v>1.33</v>
      </c>
      <c r="K562">
        <v>15.6</v>
      </c>
      <c r="L562">
        <v>14.94</v>
      </c>
      <c r="M562">
        <v>15.15</v>
      </c>
      <c r="N562">
        <v>15.07</v>
      </c>
    </row>
    <row r="563" spans="1:14">
      <c r="A563" t="s">
        <v>575</v>
      </c>
      <c r="B563">
        <f>TEXT(688058,"000000")</f>
        <v>0</v>
      </c>
      <c r="C563">
        <v>58.13</v>
      </c>
      <c r="D563">
        <f>TEXT(0.027200000000000002,"0.00%")</f>
        <v>0</v>
      </c>
      <c r="E563">
        <v>693097</v>
      </c>
      <c r="F563">
        <v>39871457</v>
      </c>
      <c r="G563">
        <f>TEXT(0.0525,"0.00%")</f>
        <v>0</v>
      </c>
      <c r="H563">
        <f>TEXT(0.0124,"0.00%")</f>
        <v>0</v>
      </c>
      <c r="I563">
        <v>3255280000</v>
      </c>
      <c r="J563">
        <v>0.78</v>
      </c>
      <c r="K563">
        <v>58.3</v>
      </c>
      <c r="L563">
        <v>55.33</v>
      </c>
      <c r="M563">
        <v>56.69</v>
      </c>
      <c r="N563">
        <v>56.59</v>
      </c>
    </row>
    <row r="564" spans="1:14">
      <c r="A564" t="s">
        <v>576</v>
      </c>
      <c r="B564">
        <f>TEXT(600699,"000000")</f>
        <v>0</v>
      </c>
      <c r="C564">
        <v>15.9</v>
      </c>
      <c r="D564">
        <f>TEXT(0.0271,"0.00%")</f>
        <v>0</v>
      </c>
      <c r="E564">
        <v>36570155</v>
      </c>
      <c r="F564">
        <v>575146806</v>
      </c>
      <c r="G564">
        <f>TEXT(0.0446,"0.00%")</f>
        <v>0</v>
      </c>
      <c r="H564">
        <f>TEXT(0.026699999999999998,"0.00%")</f>
        <v>0</v>
      </c>
      <c r="I564">
        <v>21752545521</v>
      </c>
      <c r="J564">
        <v>1.63</v>
      </c>
      <c r="K564">
        <v>15.98</v>
      </c>
      <c r="L564">
        <v>15.29</v>
      </c>
      <c r="M564">
        <v>15.57</v>
      </c>
      <c r="N564">
        <v>15.48</v>
      </c>
    </row>
    <row r="565" spans="1:14">
      <c r="A565" t="s">
        <v>577</v>
      </c>
      <c r="B565">
        <f>TEXT(300428,"000000")</f>
        <v>0</v>
      </c>
      <c r="C565">
        <v>21.95</v>
      </c>
      <c r="D565">
        <f>TEXT(0.0271,"0.00%")</f>
        <v>0</v>
      </c>
      <c r="E565">
        <v>7266562</v>
      </c>
      <c r="F565">
        <v>156608243</v>
      </c>
      <c r="G565">
        <f>TEXT(0.061799999999999994,"0.00%")</f>
        <v>0</v>
      </c>
      <c r="H565">
        <f>TEXT(0.0137,"0.00%")</f>
        <v>0</v>
      </c>
      <c r="I565">
        <v>13721430731</v>
      </c>
      <c r="J565">
        <v>1.71</v>
      </c>
      <c r="K565">
        <v>22.12</v>
      </c>
      <c r="L565">
        <v>20.8</v>
      </c>
      <c r="M565">
        <v>21.47</v>
      </c>
      <c r="N565">
        <v>21.37</v>
      </c>
    </row>
    <row r="566" spans="1:14">
      <c r="A566" t="s">
        <v>578</v>
      </c>
      <c r="B566">
        <f>TEXT(688225,"000000")</f>
        <v>0</v>
      </c>
      <c r="C566">
        <v>22.4</v>
      </c>
      <c r="D566">
        <f>TEXT(0.0271,"0.00%")</f>
        <v>0</v>
      </c>
      <c r="E566">
        <v>1157345</v>
      </c>
      <c r="F566">
        <v>25912724</v>
      </c>
      <c r="G566">
        <f>TEXT(0.037599999999999995,"0.00%")</f>
        <v>0</v>
      </c>
      <c r="H566">
        <f>TEXT(0.0105,"0.00%")</f>
        <v>0</v>
      </c>
      <c r="I566">
        <v>8960224000</v>
      </c>
      <c r="J566">
        <v>1.14</v>
      </c>
      <c r="K566">
        <v>22.68</v>
      </c>
      <c r="L566">
        <v>21.86</v>
      </c>
      <c r="M566">
        <v>22</v>
      </c>
      <c r="N566">
        <v>21.81</v>
      </c>
    </row>
    <row r="567" spans="1:14">
      <c r="A567" t="s">
        <v>579</v>
      </c>
      <c r="B567">
        <f>TEXT(300576,"000000")</f>
        <v>0</v>
      </c>
      <c r="C567">
        <v>45.7</v>
      </c>
      <c r="D567">
        <f>TEXT(0.027000000000000003,"0.00%")</f>
        <v>0</v>
      </c>
      <c r="E567">
        <v>32234224</v>
      </c>
      <c r="F567">
        <v>1459523162</v>
      </c>
      <c r="G567">
        <f>TEXT(0.050300000000000004,"0.00%")</f>
        <v>0</v>
      </c>
      <c r="H567">
        <f>TEXT(0.2498,"0.00%")</f>
        <v>0</v>
      </c>
      <c r="I567">
        <v>9780370518</v>
      </c>
      <c r="J567">
        <v>1.07</v>
      </c>
      <c r="K567">
        <v>46.5</v>
      </c>
      <c r="L567">
        <v>44.26</v>
      </c>
      <c r="M567">
        <v>44.28</v>
      </c>
      <c r="N567">
        <v>44.5</v>
      </c>
    </row>
    <row r="568" spans="1:14">
      <c r="A568" t="s">
        <v>580</v>
      </c>
      <c r="B568">
        <f>TEXT(688218,"000000")</f>
        <v>0</v>
      </c>
      <c r="C568">
        <v>20.14</v>
      </c>
      <c r="D568">
        <f>TEXT(0.027000000000000003,"0.00%")</f>
        <v>0</v>
      </c>
      <c r="E568">
        <v>9440883</v>
      </c>
      <c r="F568">
        <v>187576338</v>
      </c>
      <c r="G568">
        <f>TEXT(0.0898,"0.00%")</f>
        <v>0</v>
      </c>
      <c r="H568">
        <f>TEXT(0.0801,"0.00%")</f>
        <v>0</v>
      </c>
      <c r="I568">
        <v>2372405398</v>
      </c>
      <c r="J568">
        <v>1.11</v>
      </c>
      <c r="K568">
        <v>20.86</v>
      </c>
      <c r="L568">
        <v>19.1</v>
      </c>
      <c r="M568">
        <v>19.86</v>
      </c>
      <c r="N568">
        <v>19.61</v>
      </c>
    </row>
    <row r="569" spans="1:14">
      <c r="A569" t="s">
        <v>581</v>
      </c>
      <c r="B569">
        <f>TEXT(002107,"000000")</f>
        <v>0</v>
      </c>
      <c r="C569">
        <v>6.88</v>
      </c>
      <c r="D569">
        <f>TEXT(0.0269,"0.00%")</f>
        <v>0</v>
      </c>
      <c r="E569">
        <v>7522480</v>
      </c>
      <c r="F569">
        <v>51043494</v>
      </c>
      <c r="G569">
        <f>TEXT(0.0433,"0.00%")</f>
        <v>0</v>
      </c>
      <c r="H569">
        <f>TEXT(0.0132,"0.00%")</f>
        <v>0</v>
      </c>
      <c r="I569">
        <v>3971202048</v>
      </c>
      <c r="J569">
        <v>0.61</v>
      </c>
      <c r="K569">
        <v>6.92</v>
      </c>
      <c r="L569">
        <v>6.63</v>
      </c>
      <c r="M569">
        <v>6.68</v>
      </c>
      <c r="N569">
        <v>6.7</v>
      </c>
    </row>
    <row r="570" spans="1:14">
      <c r="A570" t="s">
        <v>582</v>
      </c>
      <c r="B570">
        <f>TEXT(601098,"000000")</f>
        <v>0</v>
      </c>
      <c r="C570">
        <v>12.6</v>
      </c>
      <c r="D570">
        <f>TEXT(0.0269,"0.00%")</f>
        <v>0</v>
      </c>
      <c r="E570">
        <v>13389670</v>
      </c>
      <c r="F570">
        <v>167966998</v>
      </c>
      <c r="G570">
        <f>TEXT(0.0473,"0.00%")</f>
        <v>0</v>
      </c>
      <c r="H570">
        <f>TEXT(0.0075,"0.00%")</f>
        <v>0</v>
      </c>
      <c r="I570">
        <v>22629600000</v>
      </c>
      <c r="J570">
        <v>0.78</v>
      </c>
      <c r="K570">
        <v>12.74</v>
      </c>
      <c r="L570">
        <v>12.16</v>
      </c>
      <c r="M570">
        <v>12.17</v>
      </c>
      <c r="N570">
        <v>12.27</v>
      </c>
    </row>
    <row r="571" spans="1:14">
      <c r="A571" t="s">
        <v>583</v>
      </c>
      <c r="B571">
        <f>TEXT(300445,"000000")</f>
        <v>0</v>
      </c>
      <c r="C571">
        <v>14.88</v>
      </c>
      <c r="D571">
        <f>TEXT(0.0269,"0.00%")</f>
        <v>0</v>
      </c>
      <c r="E571">
        <v>2714515</v>
      </c>
      <c r="F571">
        <v>39726588</v>
      </c>
      <c r="G571">
        <f>TEXT(0.042800000000000005,"0.00%")</f>
        <v>0</v>
      </c>
      <c r="H571">
        <f>TEXT(0.0196,"0.00%")</f>
        <v>0</v>
      </c>
      <c r="I571">
        <v>3160958593</v>
      </c>
      <c r="J571">
        <v>0.89</v>
      </c>
      <c r="K571">
        <v>14.88</v>
      </c>
      <c r="L571">
        <v>14.26</v>
      </c>
      <c r="M571">
        <v>14.54</v>
      </c>
      <c r="N571">
        <v>14.49</v>
      </c>
    </row>
    <row r="572" spans="1:14">
      <c r="A572" t="s">
        <v>584</v>
      </c>
      <c r="B572">
        <f>TEXT(300571,"000000")</f>
        <v>0</v>
      </c>
      <c r="C572">
        <v>32.86</v>
      </c>
      <c r="D572">
        <f>TEXT(0.0269,"0.00%")</f>
        <v>0</v>
      </c>
      <c r="E572">
        <v>3765800</v>
      </c>
      <c r="F572">
        <v>122457510</v>
      </c>
      <c r="G572">
        <f>TEXT(0.0416,"0.00%")</f>
        <v>0</v>
      </c>
      <c r="H572">
        <f>TEXT(0.0326,"0.00%")</f>
        <v>0</v>
      </c>
      <c r="I572">
        <v>4584899740</v>
      </c>
      <c r="J572">
        <v>1.04</v>
      </c>
      <c r="K572">
        <v>33</v>
      </c>
      <c r="L572">
        <v>31.67</v>
      </c>
      <c r="M572">
        <v>32</v>
      </c>
      <c r="N572">
        <v>32</v>
      </c>
    </row>
    <row r="573" spans="1:14">
      <c r="A573" t="s">
        <v>585</v>
      </c>
      <c r="B573">
        <f>TEXT(688766,"000000")</f>
        <v>0</v>
      </c>
      <c r="C573">
        <v>177.49</v>
      </c>
      <c r="D573">
        <f>TEXT(0.0268,"0.00%")</f>
        <v>0</v>
      </c>
      <c r="E573">
        <v>1333443</v>
      </c>
      <c r="F573">
        <v>240031273</v>
      </c>
      <c r="G573">
        <f>TEXT(0.0764,"0.00%")</f>
        <v>0</v>
      </c>
      <c r="H573">
        <f>TEXT(0.0461,"0.00%")</f>
        <v>0</v>
      </c>
      <c r="I573">
        <v>9002329540</v>
      </c>
      <c r="J573">
        <v>1.29</v>
      </c>
      <c r="K573">
        <v>186</v>
      </c>
      <c r="L573">
        <v>172.79</v>
      </c>
      <c r="M573">
        <v>175</v>
      </c>
      <c r="N573">
        <v>172.86</v>
      </c>
    </row>
    <row r="574" spans="1:14">
      <c r="A574" t="s">
        <v>586</v>
      </c>
      <c r="B574">
        <f>TEXT(688387,"000000")</f>
        <v>0</v>
      </c>
      <c r="C574">
        <v>7.28</v>
      </c>
      <c r="D574">
        <f>TEXT(0.0268,"0.00%")</f>
        <v>0</v>
      </c>
      <c r="E574">
        <v>22294781</v>
      </c>
      <c r="F574">
        <v>161127429</v>
      </c>
      <c r="G574">
        <f>TEXT(0.0381,"0.00%")</f>
        <v>0</v>
      </c>
      <c r="H574">
        <f>TEXT(0.0461,"0.00%")</f>
        <v>0</v>
      </c>
      <c r="I574">
        <v>24888500000</v>
      </c>
      <c r="J574">
        <v>1.07</v>
      </c>
      <c r="K574">
        <v>7.34</v>
      </c>
      <c r="L574">
        <v>7.07</v>
      </c>
      <c r="M574">
        <v>7.13</v>
      </c>
      <c r="N574">
        <v>7.09</v>
      </c>
    </row>
    <row r="575" spans="1:14">
      <c r="A575" t="s">
        <v>587</v>
      </c>
      <c r="B575">
        <f>TEXT(300492,"000000")</f>
        <v>0</v>
      </c>
      <c r="C575">
        <v>54.25</v>
      </c>
      <c r="D575">
        <f>TEXT(0.026699999999999998,"0.00%")</f>
        <v>0</v>
      </c>
      <c r="E575">
        <v>354750</v>
      </c>
      <c r="F575">
        <v>19039228</v>
      </c>
      <c r="G575">
        <f>TEXT(0.0337,"0.00%")</f>
        <v>0</v>
      </c>
      <c r="H575">
        <f>TEXT(0.0025,"0.00%")</f>
        <v>0</v>
      </c>
      <c r="I575">
        <v>7621390997</v>
      </c>
      <c r="J575">
        <v>0.55</v>
      </c>
      <c r="K575">
        <v>54.25</v>
      </c>
      <c r="L575">
        <v>52.47</v>
      </c>
      <c r="M575">
        <v>52.73</v>
      </c>
      <c r="N575">
        <v>52.84</v>
      </c>
    </row>
    <row r="576" spans="1:14">
      <c r="A576" t="s">
        <v>588</v>
      </c>
      <c r="B576">
        <f>TEXT(688580,"000000")</f>
        <v>0</v>
      </c>
      <c r="C576">
        <v>74.69</v>
      </c>
      <c r="D576">
        <f>TEXT(0.026699999999999998,"0.00%")</f>
        <v>0</v>
      </c>
      <c r="E576">
        <v>570030</v>
      </c>
      <c r="F576">
        <v>42556167</v>
      </c>
      <c r="G576">
        <f>TEXT(0.06709999999999999,"0.00%")</f>
        <v>0</v>
      </c>
      <c r="H576">
        <f>TEXT(0.023,"0.00%")</f>
        <v>0</v>
      </c>
      <c r="I576">
        <v>5125516626</v>
      </c>
      <c r="J576">
        <v>1.12</v>
      </c>
      <c r="K576">
        <v>76.45999999999999</v>
      </c>
      <c r="L576">
        <v>71.58</v>
      </c>
      <c r="M576">
        <v>71.81</v>
      </c>
      <c r="N576">
        <v>72.75</v>
      </c>
    </row>
    <row r="577" spans="1:14">
      <c r="A577" t="s">
        <v>589</v>
      </c>
      <c r="B577">
        <f>TEXT(301193,"000000")</f>
        <v>0</v>
      </c>
      <c r="C577">
        <v>18.85</v>
      </c>
      <c r="D577">
        <f>TEXT(0.026699999999999998,"0.00%")</f>
        <v>0</v>
      </c>
      <c r="E577">
        <v>766073</v>
      </c>
      <c r="F577">
        <v>14269808</v>
      </c>
      <c r="G577">
        <f>TEXT(0.0365,"0.00%")</f>
        <v>0</v>
      </c>
      <c r="H577">
        <f>TEXT(0.0084,"0.00%")</f>
        <v>0</v>
      </c>
      <c r="I577">
        <v>3619200000</v>
      </c>
      <c r="J577">
        <v>1.03</v>
      </c>
      <c r="K577">
        <v>18.88</v>
      </c>
      <c r="L577">
        <v>18.21</v>
      </c>
      <c r="M577">
        <v>18.49</v>
      </c>
      <c r="N577">
        <v>18.36</v>
      </c>
    </row>
    <row r="578" spans="1:14">
      <c r="A578" t="s">
        <v>590</v>
      </c>
      <c r="B578">
        <f>TEXT(002826,"000000")</f>
        <v>0</v>
      </c>
      <c r="C578">
        <v>11.17</v>
      </c>
      <c r="D578">
        <f>TEXT(0.026699999999999998,"0.00%")</f>
        <v>0</v>
      </c>
      <c r="E578">
        <v>3721800</v>
      </c>
      <c r="F578">
        <v>41202499</v>
      </c>
      <c r="G578">
        <f>TEXT(0.0432,"0.00%")</f>
        <v>0</v>
      </c>
      <c r="H578">
        <f>TEXT(0.0212,"0.00%")</f>
        <v>0</v>
      </c>
      <c r="I578">
        <v>2129920732</v>
      </c>
      <c r="J578">
        <v>1.4</v>
      </c>
      <c r="K578">
        <v>11.26</v>
      </c>
      <c r="L578">
        <v>10.79</v>
      </c>
      <c r="M578">
        <v>10.85</v>
      </c>
      <c r="N578">
        <v>10.88</v>
      </c>
    </row>
    <row r="579" spans="1:14">
      <c r="A579" t="s">
        <v>591</v>
      </c>
      <c r="B579">
        <f>TEXT(688596,"000000")</f>
        <v>0</v>
      </c>
      <c r="C579">
        <v>38.91</v>
      </c>
      <c r="D579">
        <f>TEXT(0.026600000000000002,"0.00%")</f>
        <v>0</v>
      </c>
      <c r="E579">
        <v>1876301</v>
      </c>
      <c r="F579">
        <v>72274256</v>
      </c>
      <c r="G579">
        <f>TEXT(0.0404,"0.00%")</f>
        <v>0</v>
      </c>
      <c r="H579">
        <f>TEXT(0.0085,"0.00%")</f>
        <v>0</v>
      </c>
      <c r="I579">
        <v>10697224086</v>
      </c>
      <c r="J579">
        <v>0.61</v>
      </c>
      <c r="K579">
        <v>39.09</v>
      </c>
      <c r="L579">
        <v>37.56</v>
      </c>
      <c r="M579">
        <v>38.35</v>
      </c>
      <c r="N579">
        <v>37.9</v>
      </c>
    </row>
    <row r="580" spans="1:14">
      <c r="A580" t="s">
        <v>592</v>
      </c>
      <c r="B580">
        <f>TEXT(000558,"000000")</f>
        <v>0</v>
      </c>
      <c r="C580">
        <v>3.09</v>
      </c>
      <c r="D580">
        <f>TEXT(0.026600000000000002,"0.00%")</f>
        <v>0</v>
      </c>
      <c r="E580">
        <v>23486308</v>
      </c>
      <c r="F580">
        <v>71684808</v>
      </c>
      <c r="G580">
        <f>TEXT(0.0432,"0.00%")</f>
        <v>0</v>
      </c>
      <c r="H580">
        <f>TEXT(0.0182,"0.00%")</f>
        <v>0</v>
      </c>
      <c r="I580">
        <v>3983702002</v>
      </c>
      <c r="J580">
        <v>1.31</v>
      </c>
      <c r="K580">
        <v>3.1</v>
      </c>
      <c r="L580">
        <v>2.97</v>
      </c>
      <c r="M580">
        <v>3.01</v>
      </c>
      <c r="N580">
        <v>3.01</v>
      </c>
    </row>
    <row r="581" spans="1:14">
      <c r="A581" t="s">
        <v>593</v>
      </c>
      <c r="B581">
        <f>TEXT(002322,"000000")</f>
        <v>0</v>
      </c>
      <c r="C581">
        <v>10.03</v>
      </c>
      <c r="D581">
        <f>TEXT(0.026600000000000002,"0.00%")</f>
        <v>0</v>
      </c>
      <c r="E581">
        <v>5250780</v>
      </c>
      <c r="F581">
        <v>51909195</v>
      </c>
      <c r="G581">
        <f>TEXT(0.045,"0.00%")</f>
        <v>0</v>
      </c>
      <c r="H581">
        <f>TEXT(0.0146,"0.00%")</f>
        <v>0</v>
      </c>
      <c r="I581">
        <v>3802854139</v>
      </c>
      <c r="J581">
        <v>1.44</v>
      </c>
      <c r="K581">
        <v>10.09</v>
      </c>
      <c r="L581">
        <v>9.65</v>
      </c>
      <c r="M581">
        <v>9.779999999999999</v>
      </c>
      <c r="N581">
        <v>9.77</v>
      </c>
    </row>
    <row r="582" spans="1:14">
      <c r="A582" t="s">
        <v>594</v>
      </c>
      <c r="B582">
        <f>TEXT(601899,"000000")</f>
        <v>0</v>
      </c>
      <c r="C582">
        <v>10.8</v>
      </c>
      <c r="D582">
        <f>TEXT(0.026600000000000002,"0.00%")</f>
        <v>0</v>
      </c>
      <c r="E582">
        <v>128083399</v>
      </c>
      <c r="F582">
        <v>1367316402</v>
      </c>
      <c r="G582">
        <f>TEXT(0.045599999999999995,"0.00%")</f>
        <v>0</v>
      </c>
      <c r="H582">
        <f>TEXT(0.0062,"0.00%")</f>
        <v>0</v>
      </c>
      <c r="I582">
        <v>284326969392</v>
      </c>
      <c r="J582">
        <v>0.9</v>
      </c>
      <c r="K582">
        <v>10.87</v>
      </c>
      <c r="L582">
        <v>10.39</v>
      </c>
      <c r="M582">
        <v>10.45</v>
      </c>
      <c r="N582">
        <v>10.52</v>
      </c>
    </row>
    <row r="583" spans="1:14">
      <c r="A583" t="s">
        <v>595</v>
      </c>
      <c r="B583">
        <f>TEXT(603950,"000000")</f>
        <v>0</v>
      </c>
      <c r="C583">
        <v>15.13</v>
      </c>
      <c r="D583">
        <f>TEXT(0.0265,"0.00%")</f>
        <v>0</v>
      </c>
      <c r="E583">
        <v>3200826</v>
      </c>
      <c r="F583">
        <v>48083002</v>
      </c>
      <c r="G583">
        <f>TEXT(0.0353,"0.00%")</f>
        <v>0</v>
      </c>
      <c r="H583">
        <f>TEXT(0.009899999999999999,"0.00%")</f>
        <v>0</v>
      </c>
      <c r="I583">
        <v>4904099004</v>
      </c>
      <c r="J583">
        <v>3.56</v>
      </c>
      <c r="K583">
        <v>15.2</v>
      </c>
      <c r="L583">
        <v>14.68</v>
      </c>
      <c r="M583">
        <v>14.75</v>
      </c>
      <c r="N583">
        <v>14.74</v>
      </c>
    </row>
    <row r="584" spans="1:14">
      <c r="A584" t="s">
        <v>596</v>
      </c>
      <c r="B584">
        <f>TEXT(300853,"000000")</f>
        <v>0</v>
      </c>
      <c r="C584">
        <v>34.06</v>
      </c>
      <c r="D584">
        <f>TEXT(0.0265,"0.00%")</f>
        <v>0</v>
      </c>
      <c r="E584">
        <v>4187357</v>
      </c>
      <c r="F584">
        <v>140770721</v>
      </c>
      <c r="G584">
        <f>TEXT(0.0521,"0.00%")</f>
        <v>0</v>
      </c>
      <c r="H584">
        <f>TEXT(0.045,"0.00%")</f>
        <v>0</v>
      </c>
      <c r="I584">
        <v>5004800582</v>
      </c>
      <c r="J584">
        <v>0.79</v>
      </c>
      <c r="K584">
        <v>34.28</v>
      </c>
      <c r="L584">
        <v>32.55</v>
      </c>
      <c r="M584">
        <v>33.17</v>
      </c>
      <c r="N584">
        <v>33.18</v>
      </c>
    </row>
    <row r="585" spans="1:14">
      <c r="A585" t="s">
        <v>597</v>
      </c>
      <c r="B585">
        <f>TEXT(300368,"000000")</f>
        <v>0</v>
      </c>
      <c r="C585">
        <v>6.58</v>
      </c>
      <c r="D585">
        <f>TEXT(0.0265,"0.00%")</f>
        <v>0</v>
      </c>
      <c r="E585">
        <v>5315100</v>
      </c>
      <c r="F585">
        <v>34482412</v>
      </c>
      <c r="G585">
        <f>TEXT(0.0359,"0.00%")</f>
        <v>0</v>
      </c>
      <c r="H585">
        <f>TEXT(0.0102,"0.00%")</f>
        <v>0</v>
      </c>
      <c r="I585">
        <v>3500188065</v>
      </c>
      <c r="J585">
        <v>0.95</v>
      </c>
      <c r="K585">
        <v>6.6</v>
      </c>
      <c r="L585">
        <v>6.37</v>
      </c>
      <c r="M585">
        <v>6.41</v>
      </c>
      <c r="N585">
        <v>6.41</v>
      </c>
    </row>
    <row r="586" spans="1:14">
      <c r="A586" t="s">
        <v>598</v>
      </c>
      <c r="B586">
        <f>TEXT(603439,"000000")</f>
        <v>0</v>
      </c>
      <c r="C586">
        <v>18.69</v>
      </c>
      <c r="D586">
        <f>TEXT(0.0264,"0.00%")</f>
        <v>0</v>
      </c>
      <c r="E586">
        <v>14881729</v>
      </c>
      <c r="F586">
        <v>275437513</v>
      </c>
      <c r="G586">
        <f>TEXT(0.061,"0.00%")</f>
        <v>0</v>
      </c>
      <c r="H586">
        <f>TEXT(0.0364,"0.00%")</f>
        <v>0</v>
      </c>
      <c r="I586">
        <v>7660324817</v>
      </c>
      <c r="J586">
        <v>0.71</v>
      </c>
      <c r="K586">
        <v>18.97</v>
      </c>
      <c r="L586">
        <v>17.86</v>
      </c>
      <c r="M586">
        <v>18.11</v>
      </c>
      <c r="N586">
        <v>18.21</v>
      </c>
    </row>
    <row r="587" spans="1:14">
      <c r="A587" t="s">
        <v>599</v>
      </c>
      <c r="B587">
        <f>TEXT(002404,"000000")</f>
        <v>0</v>
      </c>
      <c r="C587">
        <v>6.6</v>
      </c>
      <c r="D587">
        <f>TEXT(0.0264,"0.00%")</f>
        <v>0</v>
      </c>
      <c r="E587">
        <v>13822102</v>
      </c>
      <c r="F587">
        <v>91479567</v>
      </c>
      <c r="G587">
        <f>TEXT(0.0855,"0.00%")</f>
        <v>0</v>
      </c>
      <c r="H587">
        <f>TEXT(0.029900000000000003,"0.00%")</f>
        <v>0</v>
      </c>
      <c r="I587">
        <v>3812646030</v>
      </c>
      <c r="J587">
        <v>3.17</v>
      </c>
      <c r="K587">
        <v>6.9</v>
      </c>
      <c r="L587">
        <v>6.35</v>
      </c>
      <c r="M587">
        <v>6.42</v>
      </c>
      <c r="N587">
        <v>6.43</v>
      </c>
    </row>
    <row r="588" spans="1:14">
      <c r="A588" t="s">
        <v>600</v>
      </c>
      <c r="B588">
        <f>TEXT(605319,"000000")</f>
        <v>0</v>
      </c>
      <c r="C588">
        <v>15.19</v>
      </c>
      <c r="D588">
        <f>TEXT(0.0264,"0.00%")</f>
        <v>0</v>
      </c>
      <c r="E588">
        <v>1388500</v>
      </c>
      <c r="F588">
        <v>20911907</v>
      </c>
      <c r="G588">
        <f>TEXT(0.0453,"0.00%")</f>
        <v>0</v>
      </c>
      <c r="H588">
        <f>TEXT(0.019799999999999998,"0.00%")</f>
        <v>0</v>
      </c>
      <c r="I588">
        <v>3548384000</v>
      </c>
      <c r="J588">
        <v>1.68</v>
      </c>
      <c r="K588">
        <v>15.29</v>
      </c>
      <c r="L588">
        <v>14.62</v>
      </c>
      <c r="M588">
        <v>14.9</v>
      </c>
      <c r="N588">
        <v>14.8</v>
      </c>
    </row>
    <row r="589" spans="1:14">
      <c r="A589" t="s">
        <v>601</v>
      </c>
      <c r="B589">
        <f>TEXT(600872,"000000")</f>
        <v>0</v>
      </c>
      <c r="C589">
        <v>37.66</v>
      </c>
      <c r="D589">
        <f>TEXT(0.0264,"0.00%")</f>
        <v>0</v>
      </c>
      <c r="E589">
        <v>8418497</v>
      </c>
      <c r="F589">
        <v>314952478</v>
      </c>
      <c r="G589">
        <f>TEXT(0.0338,"0.00%")</f>
        <v>0</v>
      </c>
      <c r="H589">
        <f>TEXT(0.010700000000000001,"0.00%")</f>
        <v>0</v>
      </c>
      <c r="I589">
        <v>29577258277</v>
      </c>
      <c r="J589">
        <v>1.34</v>
      </c>
      <c r="K589">
        <v>38.02</v>
      </c>
      <c r="L589">
        <v>36.78</v>
      </c>
      <c r="M589">
        <v>36.89</v>
      </c>
      <c r="N589">
        <v>36.69</v>
      </c>
    </row>
    <row r="590" spans="1:14">
      <c r="A590" t="s">
        <v>602</v>
      </c>
      <c r="B590">
        <f>TEXT(688138,"000000")</f>
        <v>0</v>
      </c>
      <c r="C590">
        <v>22.96</v>
      </c>
      <c r="D590">
        <f>TEXT(0.0264,"0.00%")</f>
        <v>0</v>
      </c>
      <c r="E590">
        <v>2897843</v>
      </c>
      <c r="F590">
        <v>66027954</v>
      </c>
      <c r="G590">
        <f>TEXT(0.0429,"0.00%")</f>
        <v>0</v>
      </c>
      <c r="H590">
        <f>TEXT(0.0109,"0.00%")</f>
        <v>0</v>
      </c>
      <c r="I590">
        <v>6125728000</v>
      </c>
      <c r="J590">
        <v>1.35</v>
      </c>
      <c r="K590">
        <v>23.21</v>
      </c>
      <c r="L590">
        <v>22.25</v>
      </c>
      <c r="M590">
        <v>22.3</v>
      </c>
      <c r="N590">
        <v>22.37</v>
      </c>
    </row>
    <row r="591" spans="1:14">
      <c r="A591" t="s">
        <v>603</v>
      </c>
      <c r="B591">
        <f>TEXT(688679,"000000")</f>
        <v>0</v>
      </c>
      <c r="C591">
        <v>15.18</v>
      </c>
      <c r="D591">
        <f>TEXT(0.0264,"0.00%")</f>
        <v>0</v>
      </c>
      <c r="E591">
        <v>544429</v>
      </c>
      <c r="F591">
        <v>8196722</v>
      </c>
      <c r="G591">
        <f>TEXT(0.0365,"0.00%")</f>
        <v>0</v>
      </c>
      <c r="H591">
        <f>TEXT(0.0091,"0.00%")</f>
        <v>0</v>
      </c>
      <c r="I591">
        <v>1999049266</v>
      </c>
      <c r="J591">
        <v>0.77</v>
      </c>
      <c r="K591">
        <v>15.28</v>
      </c>
      <c r="L591">
        <v>14.74</v>
      </c>
      <c r="M591">
        <v>15</v>
      </c>
      <c r="N591">
        <v>14.79</v>
      </c>
    </row>
    <row r="592" spans="1:14">
      <c r="A592" t="s">
        <v>604</v>
      </c>
      <c r="B592">
        <f>TEXT(688277,"000000")</f>
        <v>0</v>
      </c>
      <c r="C592">
        <v>16.42</v>
      </c>
      <c r="D592">
        <f>TEXT(0.0263,"0.00%")</f>
        <v>0</v>
      </c>
      <c r="E592">
        <v>4866458</v>
      </c>
      <c r="F592">
        <v>78775407</v>
      </c>
      <c r="G592">
        <f>TEXT(0.0444,"0.00%")</f>
        <v>0</v>
      </c>
      <c r="H592">
        <f>TEXT(0.0163,"0.00%")</f>
        <v>0</v>
      </c>
      <c r="I592">
        <v>7379015638</v>
      </c>
      <c r="J592">
        <v>0.97</v>
      </c>
      <c r="K592">
        <v>16.49</v>
      </c>
      <c r="L592">
        <v>15.78</v>
      </c>
      <c r="M592">
        <v>16</v>
      </c>
      <c r="N592">
        <v>16</v>
      </c>
    </row>
    <row r="593" spans="1:14">
      <c r="A593" t="s">
        <v>605</v>
      </c>
      <c r="B593">
        <f>TEXT(002153,"000000")</f>
        <v>0</v>
      </c>
      <c r="C593">
        <v>18.35</v>
      </c>
      <c r="D593">
        <f>TEXT(0.0263,"0.00%")</f>
        <v>0</v>
      </c>
      <c r="E593">
        <v>16960078</v>
      </c>
      <c r="F593">
        <v>307683362</v>
      </c>
      <c r="G593">
        <f>TEXT(0.0559,"0.00%")</f>
        <v>0</v>
      </c>
      <c r="H593">
        <f>TEXT(0.0138,"0.00%")</f>
        <v>0</v>
      </c>
      <c r="I593">
        <v>38523620761</v>
      </c>
      <c r="J593">
        <v>0.48</v>
      </c>
      <c r="K593">
        <v>18.56</v>
      </c>
      <c r="L593">
        <v>17.56</v>
      </c>
      <c r="M593">
        <v>17.65</v>
      </c>
      <c r="N593">
        <v>17.88</v>
      </c>
    </row>
    <row r="594" spans="1:14">
      <c r="A594" t="s">
        <v>606</v>
      </c>
      <c r="B594">
        <f>TEXT(688045,"000000")</f>
        <v>0</v>
      </c>
      <c r="C594">
        <v>64.66</v>
      </c>
      <c r="D594">
        <f>TEXT(0.0263,"0.00%")</f>
        <v>0</v>
      </c>
      <c r="E594">
        <v>1333553</v>
      </c>
      <c r="F594">
        <v>86956268</v>
      </c>
      <c r="G594">
        <f>TEXT(0.0737,"0.00%")</f>
        <v>0</v>
      </c>
      <c r="H594">
        <f>TEXT(0.0432,"0.00%")</f>
        <v>0</v>
      </c>
      <c r="I594">
        <v>4464704395</v>
      </c>
      <c r="J594">
        <v>1.26</v>
      </c>
      <c r="K594">
        <v>67.70999999999999</v>
      </c>
      <c r="L594">
        <v>63.07</v>
      </c>
      <c r="M594">
        <v>63.07</v>
      </c>
      <c r="N594">
        <v>63</v>
      </c>
    </row>
    <row r="595" spans="1:14">
      <c r="A595" t="s">
        <v>607</v>
      </c>
      <c r="B595">
        <f>TEXT(002788,"000000")</f>
        <v>0</v>
      </c>
      <c r="C595">
        <v>9.75</v>
      </c>
      <c r="D595">
        <f>TEXT(0.0263,"0.00%")</f>
        <v>0</v>
      </c>
      <c r="E595">
        <v>5011491</v>
      </c>
      <c r="F595">
        <v>48286553</v>
      </c>
      <c r="G595">
        <f>TEXT(0.038900000000000004,"0.00%")</f>
        <v>0</v>
      </c>
      <c r="H595">
        <f>TEXT(0.0132,"0.00%")</f>
        <v>0</v>
      </c>
      <c r="I595">
        <v>3788038176</v>
      </c>
      <c r="J595">
        <v>0.84</v>
      </c>
      <c r="K595">
        <v>9.779999999999999</v>
      </c>
      <c r="L595">
        <v>9.41</v>
      </c>
      <c r="M595">
        <v>9.550000000000001</v>
      </c>
      <c r="N595">
        <v>9.5</v>
      </c>
    </row>
    <row r="596" spans="1:14">
      <c r="A596" t="s">
        <v>608</v>
      </c>
      <c r="B596">
        <f>TEXT(300543,"000000")</f>
        <v>0</v>
      </c>
      <c r="C596">
        <v>10.14</v>
      </c>
      <c r="D596">
        <f>TEXT(0.0263,"0.00%")</f>
        <v>0</v>
      </c>
      <c r="E596">
        <v>16454372</v>
      </c>
      <c r="F596">
        <v>166690388</v>
      </c>
      <c r="G596">
        <f>TEXT(0.0688,"0.00%")</f>
        <v>0</v>
      </c>
      <c r="H596">
        <f>TEXT(0.07780000000000001,"0.00%")</f>
        <v>0</v>
      </c>
      <c r="I596">
        <v>2718807698</v>
      </c>
      <c r="J596">
        <v>2.55</v>
      </c>
      <c r="K596">
        <v>10.46</v>
      </c>
      <c r="L596">
        <v>9.779999999999999</v>
      </c>
      <c r="M596">
        <v>9.890000000000001</v>
      </c>
      <c r="N596">
        <v>9.880000000000001</v>
      </c>
    </row>
    <row r="597" spans="1:14">
      <c r="A597" t="s">
        <v>609</v>
      </c>
      <c r="B597">
        <f>TEXT(300366,"000000")</f>
        <v>0</v>
      </c>
      <c r="C597">
        <v>10.64</v>
      </c>
      <c r="D597">
        <f>TEXT(0.026000000000000002,"0.00%")</f>
        <v>0</v>
      </c>
      <c r="E597">
        <v>15830313</v>
      </c>
      <c r="F597">
        <v>167292089</v>
      </c>
      <c r="G597">
        <f>TEXT(0.037599999999999995,"0.00%")</f>
        <v>0</v>
      </c>
      <c r="H597">
        <f>TEXT(0.0319,"0.00%")</f>
        <v>0</v>
      </c>
      <c r="I597">
        <v>6464610236</v>
      </c>
      <c r="J597">
        <v>1.03</v>
      </c>
      <c r="K597">
        <v>10.69</v>
      </c>
      <c r="L597">
        <v>10.3</v>
      </c>
      <c r="M597">
        <v>10.37</v>
      </c>
      <c r="N597">
        <v>10.37</v>
      </c>
    </row>
    <row r="598" spans="1:14">
      <c r="A598" t="s">
        <v>610</v>
      </c>
      <c r="B598">
        <f>TEXT(603868,"000000")</f>
        <v>0</v>
      </c>
      <c r="C598">
        <v>71.79000000000001</v>
      </c>
      <c r="D598">
        <f>TEXT(0.026000000000000002,"0.00%")</f>
        <v>0</v>
      </c>
      <c r="E598">
        <v>582681</v>
      </c>
      <c r="F598">
        <v>41480873</v>
      </c>
      <c r="G598">
        <f>TEXT(0.0304,"0.00%")</f>
        <v>0</v>
      </c>
      <c r="H598">
        <f>TEXT(0.0013,"0.00%")</f>
        <v>0</v>
      </c>
      <c r="I598">
        <v>31271724000</v>
      </c>
      <c r="J598">
        <v>0.92</v>
      </c>
      <c r="K598">
        <v>71.98999999999999</v>
      </c>
      <c r="L598">
        <v>69.86</v>
      </c>
      <c r="M598">
        <v>71</v>
      </c>
      <c r="N598">
        <v>69.97</v>
      </c>
    </row>
    <row r="599" spans="1:14">
      <c r="A599" t="s">
        <v>611</v>
      </c>
      <c r="B599">
        <f>TEXT(600420,"000000")</f>
        <v>0</v>
      </c>
      <c r="C599">
        <v>12.26</v>
      </c>
      <c r="D599">
        <f>TEXT(0.0259,"0.00%")</f>
        <v>0</v>
      </c>
      <c r="E599">
        <v>11885443</v>
      </c>
      <c r="F599">
        <v>143638360</v>
      </c>
      <c r="G599">
        <f>TEXT(0.0385,"0.00%")</f>
        <v>0</v>
      </c>
      <c r="H599">
        <f>TEXT(0.0105,"0.00%")</f>
        <v>0</v>
      </c>
      <c r="I599">
        <v>15637973169</v>
      </c>
      <c r="J599">
        <v>0.88</v>
      </c>
      <c r="K599">
        <v>12.3</v>
      </c>
      <c r="L599">
        <v>11.84</v>
      </c>
      <c r="M599">
        <v>11.9</v>
      </c>
      <c r="N599">
        <v>11.95</v>
      </c>
    </row>
    <row r="600" spans="1:14">
      <c r="A600" t="s">
        <v>612</v>
      </c>
      <c r="B600">
        <f>TEXT(603657,"000000")</f>
        <v>0</v>
      </c>
      <c r="C600">
        <v>16.21</v>
      </c>
      <c r="D600">
        <f>TEXT(0.0259,"0.00%")</f>
        <v>0</v>
      </c>
      <c r="E600">
        <v>1685450</v>
      </c>
      <c r="F600">
        <v>27023165</v>
      </c>
      <c r="G600">
        <f>TEXT(0.0443,"0.00%")</f>
        <v>0</v>
      </c>
      <c r="H600">
        <f>TEXT(0.0125,"0.00%")</f>
        <v>0</v>
      </c>
      <c r="I600">
        <v>2234001412</v>
      </c>
      <c r="J600">
        <v>1.79</v>
      </c>
      <c r="K600">
        <v>16.34</v>
      </c>
      <c r="L600">
        <v>15.64</v>
      </c>
      <c r="M600">
        <v>15.85</v>
      </c>
      <c r="N600">
        <v>15.8</v>
      </c>
    </row>
    <row r="601" spans="1:14">
      <c r="A601" t="s">
        <v>613</v>
      </c>
      <c r="B601">
        <f>TEXT(300245,"000000")</f>
        <v>0</v>
      </c>
      <c r="C601">
        <v>9.119999999999999</v>
      </c>
      <c r="D601">
        <f>TEXT(0.0259,"0.00%")</f>
        <v>0</v>
      </c>
      <c r="E601">
        <v>6100713</v>
      </c>
      <c r="F601">
        <v>55009164</v>
      </c>
      <c r="G601">
        <f>TEXT(0.0371,"0.00%")</f>
        <v>0</v>
      </c>
      <c r="H601">
        <f>TEXT(0.0196,"0.00%")</f>
        <v>0</v>
      </c>
      <c r="I601">
        <v>2858732336</v>
      </c>
      <c r="J601">
        <v>1.06</v>
      </c>
      <c r="K601">
        <v>9.130000000000001</v>
      </c>
      <c r="L601">
        <v>8.800000000000001</v>
      </c>
      <c r="M601">
        <v>8.83</v>
      </c>
      <c r="N601">
        <v>8.890000000000001</v>
      </c>
    </row>
    <row r="602" spans="1:14">
      <c r="A602" t="s">
        <v>614</v>
      </c>
      <c r="B602">
        <f>TEXT(300946,"000000")</f>
        <v>0</v>
      </c>
      <c r="C602">
        <v>33.45</v>
      </c>
      <c r="D602">
        <f>TEXT(0.0258,"0.00%")</f>
        <v>0</v>
      </c>
      <c r="E602">
        <v>1333380</v>
      </c>
      <c r="F602">
        <v>43875768</v>
      </c>
      <c r="G602">
        <f>TEXT(0.0408,"0.00%")</f>
        <v>0</v>
      </c>
      <c r="H602">
        <f>TEXT(0.039,"0.00%")</f>
        <v>0</v>
      </c>
      <c r="I602">
        <v>4014200700</v>
      </c>
      <c r="J602">
        <v>1.18</v>
      </c>
      <c r="K602">
        <v>33.49</v>
      </c>
      <c r="L602">
        <v>32.16</v>
      </c>
      <c r="M602">
        <v>32.61</v>
      </c>
      <c r="N602">
        <v>32.61</v>
      </c>
    </row>
    <row r="603" spans="1:14">
      <c r="A603" t="s">
        <v>615</v>
      </c>
      <c r="B603">
        <f>TEXT(300070,"000000")</f>
        <v>0</v>
      </c>
      <c r="C603">
        <v>5.58</v>
      </c>
      <c r="D603">
        <f>TEXT(0.025699999999999997,"0.00%")</f>
        <v>0</v>
      </c>
      <c r="E603">
        <v>36298685</v>
      </c>
      <c r="F603">
        <v>203199742</v>
      </c>
      <c r="G603">
        <f>TEXT(0.0276,"0.00%")</f>
        <v>0</v>
      </c>
      <c r="H603">
        <f>TEXT(0.013300000000000001,"0.00%")</f>
        <v>0</v>
      </c>
      <c r="I603">
        <v>20223088245</v>
      </c>
      <c r="J603">
        <v>1.35</v>
      </c>
      <c r="K603">
        <v>5.69</v>
      </c>
      <c r="L603">
        <v>5.54</v>
      </c>
      <c r="M603">
        <v>5.54</v>
      </c>
      <c r="N603">
        <v>5.44</v>
      </c>
    </row>
    <row r="604" spans="1:14">
      <c r="A604" t="s">
        <v>616</v>
      </c>
      <c r="B604">
        <f>TEXT(300339,"000000")</f>
        <v>0</v>
      </c>
      <c r="C604">
        <v>22.78</v>
      </c>
      <c r="D604">
        <f>TEXT(0.025699999999999997,"0.00%")</f>
        <v>0</v>
      </c>
      <c r="E604">
        <v>27238493</v>
      </c>
      <c r="F604">
        <v>613366005</v>
      </c>
      <c r="G604">
        <f>TEXT(0.0374,"0.00%")</f>
        <v>0</v>
      </c>
      <c r="H604">
        <f>TEXT(0.0353,"0.00%")</f>
        <v>0</v>
      </c>
      <c r="I604">
        <v>18142238957</v>
      </c>
      <c r="J604">
        <v>0.92</v>
      </c>
      <c r="K604">
        <v>22.9</v>
      </c>
      <c r="L604">
        <v>22.07</v>
      </c>
      <c r="M604">
        <v>22.23</v>
      </c>
      <c r="N604">
        <v>22.21</v>
      </c>
    </row>
    <row r="605" spans="1:14">
      <c r="A605" t="s">
        <v>617</v>
      </c>
      <c r="B605">
        <f>TEXT(000524,"000000")</f>
        <v>0</v>
      </c>
      <c r="C605">
        <v>10</v>
      </c>
      <c r="D605">
        <f>TEXT(0.0256,"0.00%")</f>
        <v>0</v>
      </c>
      <c r="E605">
        <v>2895485</v>
      </c>
      <c r="F605">
        <v>28697673</v>
      </c>
      <c r="G605">
        <f>TEXT(0.0287,"0.00%")</f>
        <v>0</v>
      </c>
      <c r="H605">
        <f>TEXT(0.0043,"0.00%")</f>
        <v>0</v>
      </c>
      <c r="I605">
        <v>6702085970</v>
      </c>
      <c r="J605">
        <v>0.78</v>
      </c>
      <c r="K605">
        <v>10.04</v>
      </c>
      <c r="L605">
        <v>9.76</v>
      </c>
      <c r="M605">
        <v>9.84</v>
      </c>
      <c r="N605">
        <v>9.75</v>
      </c>
    </row>
    <row r="606" spans="1:14">
      <c r="A606" t="s">
        <v>618</v>
      </c>
      <c r="B606">
        <f>TEXT(300811,"000000")</f>
        <v>0</v>
      </c>
      <c r="C606">
        <v>100</v>
      </c>
      <c r="D606">
        <f>TEXT(0.0256,"0.00%")</f>
        <v>0</v>
      </c>
      <c r="E606">
        <v>1581949</v>
      </c>
      <c r="F606">
        <v>158008894</v>
      </c>
      <c r="G606">
        <f>TEXT(0.0392,"0.00%")</f>
        <v>0</v>
      </c>
      <c r="H606">
        <f>TEXT(0.0183,"0.00%")</f>
        <v>0</v>
      </c>
      <c r="I606">
        <v>10988602600</v>
      </c>
      <c r="J606">
        <v>1.65</v>
      </c>
      <c r="K606">
        <v>101.6</v>
      </c>
      <c r="L606">
        <v>97.78</v>
      </c>
      <c r="M606">
        <v>97.90000000000001</v>
      </c>
      <c r="N606">
        <v>97.5</v>
      </c>
    </row>
    <row r="607" spans="1:14">
      <c r="A607" t="s">
        <v>619</v>
      </c>
      <c r="B607">
        <f>TEXT(600511,"000000")</f>
        <v>0</v>
      </c>
      <c r="C607">
        <v>38.11</v>
      </c>
      <c r="D607">
        <f>TEXT(0.0256,"0.00%")</f>
        <v>0</v>
      </c>
      <c r="E607">
        <v>5942687</v>
      </c>
      <c r="F607">
        <v>224127705</v>
      </c>
      <c r="G607">
        <f>TEXT(0.0466,"0.00%")</f>
        <v>0</v>
      </c>
      <c r="H607">
        <f>TEXT(0.010700000000000001,"0.00%")</f>
        <v>0</v>
      </c>
      <c r="I607">
        <v>28754109253</v>
      </c>
      <c r="J607">
        <v>0.97</v>
      </c>
      <c r="K607">
        <v>38.55</v>
      </c>
      <c r="L607">
        <v>36.82</v>
      </c>
      <c r="M607">
        <v>37.26</v>
      </c>
      <c r="N607">
        <v>37.16</v>
      </c>
    </row>
    <row r="608" spans="1:14">
      <c r="A608" t="s">
        <v>620</v>
      </c>
      <c r="B608">
        <f>TEXT(688047,"000000")</f>
        <v>0</v>
      </c>
      <c r="C608">
        <v>161.71</v>
      </c>
      <c r="D608">
        <f>TEXT(0.0256,"0.00%")</f>
        <v>0</v>
      </c>
      <c r="E608">
        <v>3518574</v>
      </c>
      <c r="F608">
        <v>565474969</v>
      </c>
      <c r="G608">
        <f>TEXT(0.0753,"0.00%")</f>
        <v>0</v>
      </c>
      <c r="H608">
        <f>TEXT(0.1073,"0.00%")</f>
        <v>0</v>
      </c>
      <c r="I608">
        <v>64845710000</v>
      </c>
      <c r="J608">
        <v>1.95</v>
      </c>
      <c r="K608">
        <v>165</v>
      </c>
      <c r="L608">
        <v>153.12</v>
      </c>
      <c r="M608">
        <v>155.55</v>
      </c>
      <c r="N608">
        <v>157.68</v>
      </c>
    </row>
    <row r="609" spans="1:14">
      <c r="A609" t="s">
        <v>621</v>
      </c>
      <c r="B609">
        <f>TEXT(300418,"000000")</f>
        <v>0</v>
      </c>
      <c r="C609">
        <v>52.1</v>
      </c>
      <c r="D609">
        <f>TEXT(0.0256,"0.00%")</f>
        <v>0</v>
      </c>
      <c r="E609">
        <v>111020346</v>
      </c>
      <c r="F609">
        <v>5760608503</v>
      </c>
      <c r="G609">
        <f>TEXT(0.0677,"0.00%")</f>
        <v>0</v>
      </c>
      <c r="H609">
        <f>TEXT(0.10210000000000001,"0.00%")</f>
        <v>0</v>
      </c>
      <c r="I609">
        <v>62291864728</v>
      </c>
      <c r="J609">
        <v>1.11</v>
      </c>
      <c r="K609">
        <v>53.5</v>
      </c>
      <c r="L609">
        <v>50.06</v>
      </c>
      <c r="M609">
        <v>50.79</v>
      </c>
      <c r="N609">
        <v>50.8</v>
      </c>
    </row>
    <row r="610" spans="1:14">
      <c r="A610" t="s">
        <v>622</v>
      </c>
      <c r="B610">
        <f>TEXT(688385,"000000")</f>
        <v>0</v>
      </c>
      <c r="C610">
        <v>57.13</v>
      </c>
      <c r="D610">
        <f>TEXT(0.0255,"0.00%")</f>
        <v>0</v>
      </c>
      <c r="E610">
        <v>5490931</v>
      </c>
      <c r="F610">
        <v>310648224</v>
      </c>
      <c r="G610">
        <f>TEXT(0.0454,"0.00%")</f>
        <v>0</v>
      </c>
      <c r="H610">
        <f>TEXT(0.0174,"0.00%")</f>
        <v>0</v>
      </c>
      <c r="I610">
        <v>46655585845</v>
      </c>
      <c r="J610">
        <v>1.29</v>
      </c>
      <c r="K610">
        <v>57.74</v>
      </c>
      <c r="L610">
        <v>55.21</v>
      </c>
      <c r="M610">
        <v>56</v>
      </c>
      <c r="N610">
        <v>55.71</v>
      </c>
    </row>
    <row r="611" spans="1:14">
      <c r="A611" t="s">
        <v>623</v>
      </c>
      <c r="B611">
        <f>TEXT(688589,"000000")</f>
        <v>0</v>
      </c>
      <c r="C611">
        <v>44.6</v>
      </c>
      <c r="D611">
        <f>TEXT(0.0255,"0.00%")</f>
        <v>0</v>
      </c>
      <c r="E611">
        <v>2048575</v>
      </c>
      <c r="F611">
        <v>90825597</v>
      </c>
      <c r="G611">
        <f>TEXT(0.0347,"0.00%")</f>
        <v>0</v>
      </c>
      <c r="H611">
        <f>TEXT(0.0361,"0.00%")</f>
        <v>0</v>
      </c>
      <c r="I611">
        <v>4468686742</v>
      </c>
      <c r="J611">
        <v>1.1</v>
      </c>
      <c r="K611">
        <v>44.92</v>
      </c>
      <c r="L611">
        <v>43.41</v>
      </c>
      <c r="M611">
        <v>43.55</v>
      </c>
      <c r="N611">
        <v>43.49</v>
      </c>
    </row>
    <row r="612" spans="1:14">
      <c r="A612" t="s">
        <v>624</v>
      </c>
      <c r="B612">
        <f>TEXT(300057,"000000")</f>
        <v>0</v>
      </c>
      <c r="C612">
        <v>7.26</v>
      </c>
      <c r="D612">
        <f>TEXT(0.0254,"0.00%")</f>
        <v>0</v>
      </c>
      <c r="E612">
        <v>10692201</v>
      </c>
      <c r="F612">
        <v>76631333</v>
      </c>
      <c r="G612">
        <f>TEXT(0.055099999999999996,"0.00%")</f>
        <v>0</v>
      </c>
      <c r="H612">
        <f>TEXT(0.019299999999999998,"0.00%")</f>
        <v>0</v>
      </c>
      <c r="I612">
        <v>6605566342</v>
      </c>
      <c r="J612">
        <v>1.41</v>
      </c>
      <c r="K612">
        <v>7.35</v>
      </c>
      <c r="L612">
        <v>6.96</v>
      </c>
      <c r="M612">
        <v>7.08</v>
      </c>
      <c r="N612">
        <v>7.08</v>
      </c>
    </row>
    <row r="613" spans="1:14">
      <c r="A613" t="s">
        <v>625</v>
      </c>
      <c r="B613">
        <f>TEXT(688001,"000000")</f>
        <v>0</v>
      </c>
      <c r="C613">
        <v>37.09</v>
      </c>
      <c r="D613">
        <f>TEXT(0.0254,"0.00%")</f>
        <v>0</v>
      </c>
      <c r="E613">
        <v>1894364</v>
      </c>
      <c r="F613">
        <v>69407196</v>
      </c>
      <c r="G613">
        <f>TEXT(0.0409,"0.00%")</f>
        <v>0</v>
      </c>
      <c r="H613">
        <f>TEXT(0.0046,"0.00%")</f>
        <v>0</v>
      </c>
      <c r="I613">
        <v>16341563993</v>
      </c>
      <c r="J613">
        <v>0.76</v>
      </c>
      <c r="K613">
        <v>37.2</v>
      </c>
      <c r="L613">
        <v>35.72</v>
      </c>
      <c r="M613">
        <v>36</v>
      </c>
      <c r="N613">
        <v>36.17</v>
      </c>
    </row>
    <row r="614" spans="1:14">
      <c r="A614" t="s">
        <v>626</v>
      </c>
      <c r="B614">
        <f>TEXT(600654,"000000")</f>
        <v>0</v>
      </c>
      <c r="C614">
        <v>2.83</v>
      </c>
      <c r="D614">
        <f>TEXT(0.0254,"0.00%")</f>
        <v>0</v>
      </c>
      <c r="E614">
        <v>10339197</v>
      </c>
      <c r="F614">
        <v>29003145</v>
      </c>
      <c r="G614">
        <f>TEXT(0.0326,"0.00%")</f>
        <v>0</v>
      </c>
      <c r="H614">
        <f>TEXT(0.0045000000000000005,"0.00%")</f>
        <v>0</v>
      </c>
      <c r="I614">
        <v>7952300000</v>
      </c>
      <c r="J614">
        <v>1.76</v>
      </c>
      <c r="K614">
        <v>2.83</v>
      </c>
      <c r="L614">
        <v>2.74</v>
      </c>
      <c r="M614">
        <v>2.77</v>
      </c>
      <c r="N614">
        <v>2.76</v>
      </c>
    </row>
    <row r="615" spans="1:14">
      <c r="A615" t="s">
        <v>627</v>
      </c>
      <c r="B615">
        <f>TEXT(603717,"000000")</f>
        <v>0</v>
      </c>
      <c r="C615">
        <v>6.89</v>
      </c>
      <c r="D615">
        <f>TEXT(0.0253,"0.00%")</f>
        <v>0</v>
      </c>
      <c r="E615">
        <v>12060411</v>
      </c>
      <c r="F615">
        <v>82360091</v>
      </c>
      <c r="G615">
        <f>TEXT(0.0536,"0.00%")</f>
        <v>0</v>
      </c>
      <c r="H615">
        <f>TEXT(0.0416,"0.00%")</f>
        <v>0</v>
      </c>
      <c r="I615">
        <v>1999107593</v>
      </c>
      <c r="J615">
        <v>1.99</v>
      </c>
      <c r="K615">
        <v>7.07</v>
      </c>
      <c r="L615">
        <v>6.71</v>
      </c>
      <c r="M615">
        <v>6.86</v>
      </c>
      <c r="N615">
        <v>6.72</v>
      </c>
    </row>
    <row r="616" spans="1:14">
      <c r="A616" t="s">
        <v>628</v>
      </c>
      <c r="B616">
        <f>TEXT(600006,"000000")</f>
        <v>0</v>
      </c>
      <c r="C616">
        <v>5.68</v>
      </c>
      <c r="D616">
        <f>TEXT(0.0253,"0.00%")</f>
        <v>0</v>
      </c>
      <c r="E616">
        <v>19985844</v>
      </c>
      <c r="F616">
        <v>111848844</v>
      </c>
      <c r="G616">
        <f>TEXT(0.0415,"0.00%")</f>
        <v>0</v>
      </c>
      <c r="H616">
        <f>TEXT(0.01,"0.00%")</f>
        <v>0</v>
      </c>
      <c r="I616">
        <v>11360000000</v>
      </c>
      <c r="J616">
        <v>1.64</v>
      </c>
      <c r="K616">
        <v>5.69</v>
      </c>
      <c r="L616">
        <v>5.46</v>
      </c>
      <c r="M616">
        <v>5.56</v>
      </c>
      <c r="N616">
        <v>5.54</v>
      </c>
    </row>
    <row r="617" spans="1:14">
      <c r="A617" t="s">
        <v>629</v>
      </c>
      <c r="B617">
        <f>TEXT(600452,"000000")</f>
        <v>0</v>
      </c>
      <c r="C617">
        <v>19.08</v>
      </c>
      <c r="D617">
        <f>TEXT(0.0253,"0.00%")</f>
        <v>0</v>
      </c>
      <c r="E617">
        <v>5966979</v>
      </c>
      <c r="F617">
        <v>111998921</v>
      </c>
      <c r="G617">
        <f>TEXT(0.0527,"0.00%")</f>
        <v>0</v>
      </c>
      <c r="H617">
        <f>TEXT(0.006500000000000001,"0.00%")</f>
        <v>0</v>
      </c>
      <c r="I617">
        <v>17450723082</v>
      </c>
      <c r="J617">
        <v>0.73</v>
      </c>
      <c r="K617">
        <v>19.17</v>
      </c>
      <c r="L617">
        <v>18.19</v>
      </c>
      <c r="M617">
        <v>18.61</v>
      </c>
      <c r="N617">
        <v>18.61</v>
      </c>
    </row>
    <row r="618" spans="1:14">
      <c r="A618" t="s">
        <v>630</v>
      </c>
      <c r="B618">
        <f>TEXT(301109,"000000")</f>
        <v>0</v>
      </c>
      <c r="C618">
        <v>18.27</v>
      </c>
      <c r="D618">
        <f>TEXT(0.0253,"0.00%")</f>
        <v>0</v>
      </c>
      <c r="E618">
        <v>4041502</v>
      </c>
      <c r="F618">
        <v>73204248</v>
      </c>
      <c r="G618">
        <f>TEXT(0.023,"0.00%")</f>
        <v>0</v>
      </c>
      <c r="H618">
        <f>TEXT(0.040999999999999995,"0.00%")</f>
        <v>0</v>
      </c>
      <c r="I618">
        <v>7490882700</v>
      </c>
      <c r="J618">
        <v>2.28</v>
      </c>
      <c r="K618">
        <v>18.28</v>
      </c>
      <c r="L618">
        <v>17.87</v>
      </c>
      <c r="M618">
        <v>17.95</v>
      </c>
      <c r="N618">
        <v>17.82</v>
      </c>
    </row>
    <row r="619" spans="1:14">
      <c r="A619" t="s">
        <v>631</v>
      </c>
      <c r="B619">
        <f>TEXT(600490,"000000")</f>
        <v>0</v>
      </c>
      <c r="C619">
        <v>3.26</v>
      </c>
      <c r="D619">
        <f>TEXT(0.0252,"0.00%")</f>
        <v>0</v>
      </c>
      <c r="E619">
        <v>26183434</v>
      </c>
      <c r="F619">
        <v>84418603</v>
      </c>
      <c r="G619">
        <f>TEXT(0.0377,"0.00%")</f>
        <v>0</v>
      </c>
      <c r="H619">
        <f>TEXT(0.0131,"0.00%")</f>
        <v>0</v>
      </c>
      <c r="I619">
        <v>7214011877</v>
      </c>
      <c r="J619">
        <v>1.18</v>
      </c>
      <c r="K619">
        <v>3.27</v>
      </c>
      <c r="L619">
        <v>3.15</v>
      </c>
      <c r="M619">
        <v>3.17</v>
      </c>
      <c r="N619">
        <v>3.18</v>
      </c>
    </row>
    <row r="620" spans="1:14">
      <c r="A620" t="s">
        <v>632</v>
      </c>
      <c r="B620">
        <f>TEXT(002217,"000000")</f>
        <v>0</v>
      </c>
      <c r="C620">
        <v>3.26</v>
      </c>
      <c r="D620">
        <f>TEXT(0.0252,"0.00%")</f>
        <v>0</v>
      </c>
      <c r="E620">
        <v>73140148</v>
      </c>
      <c r="F620">
        <v>236332147</v>
      </c>
      <c r="G620">
        <f>TEXT(0.0377,"0.00%")</f>
        <v>0</v>
      </c>
      <c r="H620">
        <f>TEXT(0.0235,"0.00%")</f>
        <v>0</v>
      </c>
      <c r="I620">
        <v>10159516877</v>
      </c>
      <c r="J620">
        <v>0.45</v>
      </c>
      <c r="K620">
        <v>3.29</v>
      </c>
      <c r="L620">
        <v>3.17</v>
      </c>
      <c r="M620">
        <v>3.19</v>
      </c>
      <c r="N620">
        <v>3.18</v>
      </c>
    </row>
    <row r="621" spans="1:14">
      <c r="A621" t="s">
        <v>633</v>
      </c>
      <c r="B621">
        <f>TEXT(600363,"000000")</f>
        <v>0</v>
      </c>
      <c r="C621">
        <v>34.16</v>
      </c>
      <c r="D621">
        <f>TEXT(0.0252,"0.00%")</f>
        <v>0</v>
      </c>
      <c r="E621">
        <v>5541540</v>
      </c>
      <c r="F621">
        <v>188373992</v>
      </c>
      <c r="G621">
        <f>TEXT(0.039,"0.00%")</f>
        <v>0</v>
      </c>
      <c r="H621">
        <f>TEXT(0.0123,"0.00%")</f>
        <v>0</v>
      </c>
      <c r="I621">
        <v>15550511620</v>
      </c>
      <c r="J621">
        <v>0.84</v>
      </c>
      <c r="K621">
        <v>34.42</v>
      </c>
      <c r="L621">
        <v>33.12</v>
      </c>
      <c r="M621">
        <v>33.28</v>
      </c>
      <c r="N621">
        <v>33.32</v>
      </c>
    </row>
    <row r="622" spans="1:14">
      <c r="A622" t="s">
        <v>634</v>
      </c>
      <c r="B622">
        <f>TEXT(301072,"000000")</f>
        <v>0</v>
      </c>
      <c r="C622">
        <v>24.5</v>
      </c>
      <c r="D622">
        <f>TEXT(0.025099999999999997,"0.00%")</f>
        <v>0</v>
      </c>
      <c r="E622">
        <v>5420131</v>
      </c>
      <c r="F622">
        <v>131421131</v>
      </c>
      <c r="G622">
        <f>TEXT(0.0812,"0.00%")</f>
        <v>0</v>
      </c>
      <c r="H622">
        <f>TEXT(0.1625,"0.00%")</f>
        <v>0</v>
      </c>
      <c r="I622">
        <v>2573842600</v>
      </c>
      <c r="J622">
        <v>2.71</v>
      </c>
      <c r="K622">
        <v>25</v>
      </c>
      <c r="L622">
        <v>23.06</v>
      </c>
      <c r="M622">
        <v>23.45</v>
      </c>
      <c r="N622">
        <v>23.9</v>
      </c>
    </row>
    <row r="623" spans="1:14">
      <c r="A623" t="s">
        <v>635</v>
      </c>
      <c r="B623">
        <f>TEXT(603815,"000000")</f>
        <v>0</v>
      </c>
      <c r="C623">
        <v>7.36</v>
      </c>
      <c r="D623">
        <f>TEXT(0.025099999999999997,"0.00%")</f>
        <v>0</v>
      </c>
      <c r="E623">
        <v>8640327</v>
      </c>
      <c r="F623">
        <v>62948565</v>
      </c>
      <c r="G623">
        <f>TEXT(0.0209,"0.00%")</f>
        <v>0</v>
      </c>
      <c r="H623">
        <f>TEXT(0.013999999999999999,"0.00%")</f>
        <v>0</v>
      </c>
      <c r="I623">
        <v>4555282369</v>
      </c>
      <c r="J623">
        <v>2.26</v>
      </c>
      <c r="K623">
        <v>7.36</v>
      </c>
      <c r="L623">
        <v>7.21</v>
      </c>
      <c r="M623">
        <v>7.26</v>
      </c>
      <c r="N623">
        <v>7.18</v>
      </c>
    </row>
    <row r="624" spans="1:14">
      <c r="A624" t="s">
        <v>636</v>
      </c>
      <c r="B624">
        <f>TEXT(301206,"000000")</f>
        <v>0</v>
      </c>
      <c r="C624">
        <v>32.32</v>
      </c>
      <c r="D624">
        <f>TEXT(0.025099999999999997,"0.00%")</f>
        <v>0</v>
      </c>
      <c r="E624">
        <v>978308</v>
      </c>
      <c r="F624">
        <v>31195304</v>
      </c>
      <c r="G624">
        <f>TEXT(0.0336,"0.00%")</f>
        <v>0</v>
      </c>
      <c r="H624">
        <f>TEXT(0.0096,"0.00%")</f>
        <v>0</v>
      </c>
      <c r="I624">
        <v>6539166624</v>
      </c>
      <c r="J624">
        <v>0.87</v>
      </c>
      <c r="K624">
        <v>32.45</v>
      </c>
      <c r="L624">
        <v>31.39</v>
      </c>
      <c r="M624">
        <v>31.43</v>
      </c>
      <c r="N624">
        <v>31.53</v>
      </c>
    </row>
    <row r="625" spans="1:14">
      <c r="A625" t="s">
        <v>637</v>
      </c>
      <c r="B625">
        <f>TEXT(300987,"000000")</f>
        <v>0</v>
      </c>
      <c r="C625">
        <v>19.57</v>
      </c>
      <c r="D625">
        <f>TEXT(0.025099999999999997,"0.00%")</f>
        <v>0</v>
      </c>
      <c r="E625">
        <v>5960962</v>
      </c>
      <c r="F625">
        <v>115596952</v>
      </c>
      <c r="G625">
        <f>TEXT(0.0508,"0.00%")</f>
        <v>0</v>
      </c>
      <c r="H625">
        <f>TEXT(0.0625,"0.00%")</f>
        <v>0</v>
      </c>
      <c r="I625">
        <v>3392811760</v>
      </c>
      <c r="J625">
        <v>0.85</v>
      </c>
      <c r="K625">
        <v>19.73</v>
      </c>
      <c r="L625">
        <v>18.76</v>
      </c>
      <c r="M625">
        <v>19.17</v>
      </c>
      <c r="N625">
        <v>19.09</v>
      </c>
    </row>
    <row r="626" spans="1:14">
      <c r="A626" t="s">
        <v>638</v>
      </c>
      <c r="B626">
        <f>TEXT(000812,"000000")</f>
        <v>0</v>
      </c>
      <c r="C626">
        <v>5.31</v>
      </c>
      <c r="D626">
        <f>TEXT(0.025099999999999997,"0.00%")</f>
        <v>0</v>
      </c>
      <c r="E626">
        <v>15155321</v>
      </c>
      <c r="F626">
        <v>79428965</v>
      </c>
      <c r="G626">
        <f>TEXT(0.036699999999999997,"0.00%")</f>
        <v>0</v>
      </c>
      <c r="H626">
        <f>TEXT(0.0197,"0.00%")</f>
        <v>0</v>
      </c>
      <c r="I626">
        <v>4081757780</v>
      </c>
      <c r="J626">
        <v>1.39</v>
      </c>
      <c r="K626">
        <v>5.31</v>
      </c>
      <c r="L626">
        <v>5.12</v>
      </c>
      <c r="M626">
        <v>5.2</v>
      </c>
      <c r="N626">
        <v>5.18</v>
      </c>
    </row>
    <row r="627" spans="1:14">
      <c r="A627" t="s">
        <v>639</v>
      </c>
      <c r="B627">
        <f>TEXT(600479,"000000")</f>
        <v>0</v>
      </c>
      <c r="C627">
        <v>13.95</v>
      </c>
      <c r="D627">
        <f>TEXT(0.025,"0.00%")</f>
        <v>0</v>
      </c>
      <c r="E627">
        <v>8466800</v>
      </c>
      <c r="F627">
        <v>117458355</v>
      </c>
      <c r="G627">
        <f>TEXT(0.041100000000000005,"0.00%")</f>
        <v>0</v>
      </c>
      <c r="H627">
        <f>TEXT(0.0202,"0.00%")</f>
        <v>0</v>
      </c>
      <c r="I627">
        <v>5996925282</v>
      </c>
      <c r="J627">
        <v>0.73</v>
      </c>
      <c r="K627">
        <v>14.14</v>
      </c>
      <c r="L627">
        <v>13.58</v>
      </c>
      <c r="M627">
        <v>13.58</v>
      </c>
      <c r="N627">
        <v>13.61</v>
      </c>
    </row>
    <row r="628" spans="1:14">
      <c r="A628" t="s">
        <v>640</v>
      </c>
      <c r="B628">
        <f>TEXT(601595,"000000")</f>
        <v>0</v>
      </c>
      <c r="C628">
        <v>29.11</v>
      </c>
      <c r="D628">
        <f>TEXT(0.025,"0.00%")</f>
        <v>0</v>
      </c>
      <c r="E628">
        <v>28258390</v>
      </c>
      <c r="F628">
        <v>827553591</v>
      </c>
      <c r="G628">
        <f>TEXT(0.075,"0.00%")</f>
        <v>0</v>
      </c>
      <c r="H628">
        <f>TEXT(0.063,"0.00%")</f>
        <v>0</v>
      </c>
      <c r="I628">
        <v>13047102000</v>
      </c>
      <c r="J628">
        <v>1.42</v>
      </c>
      <c r="K628">
        <v>30.14</v>
      </c>
      <c r="L628">
        <v>28.01</v>
      </c>
      <c r="M628">
        <v>28.28</v>
      </c>
      <c r="N628">
        <v>28.4</v>
      </c>
    </row>
    <row r="629" spans="1:14">
      <c r="A629" t="s">
        <v>641</v>
      </c>
      <c r="B629">
        <f>TEXT(603466,"000000")</f>
        <v>0</v>
      </c>
      <c r="C629">
        <v>13.95</v>
      </c>
      <c r="D629">
        <f>TEXT(0.025,"0.00%")</f>
        <v>0</v>
      </c>
      <c r="E629">
        <v>12745690</v>
      </c>
      <c r="F629">
        <v>176002761</v>
      </c>
      <c r="G629">
        <f>TEXT(0.0441,"0.00%")</f>
        <v>0</v>
      </c>
      <c r="H629">
        <f>TEXT(0.021400000000000002,"0.00%")</f>
        <v>0</v>
      </c>
      <c r="I629">
        <v>8319087466</v>
      </c>
      <c r="J629">
        <v>1.16</v>
      </c>
      <c r="K629">
        <v>14.01</v>
      </c>
      <c r="L629">
        <v>13.41</v>
      </c>
      <c r="M629">
        <v>13.53</v>
      </c>
      <c r="N629">
        <v>13.61</v>
      </c>
    </row>
    <row r="630" spans="1:14">
      <c r="A630" t="s">
        <v>642</v>
      </c>
      <c r="B630">
        <f>TEXT(300205,"000000")</f>
        <v>0</v>
      </c>
      <c r="C630">
        <v>14.83</v>
      </c>
      <c r="D630">
        <f>TEXT(0.024900000000000002,"0.00%")</f>
        <v>0</v>
      </c>
      <c r="E630">
        <v>20388223</v>
      </c>
      <c r="F630">
        <v>296876466</v>
      </c>
      <c r="G630">
        <f>TEXT(0.067,"0.00%")</f>
        <v>0</v>
      </c>
      <c r="H630">
        <f>TEXT(0.0479,"0.00%")</f>
        <v>0</v>
      </c>
      <c r="I630">
        <v>6377730480</v>
      </c>
      <c r="J630">
        <v>0.92</v>
      </c>
      <c r="K630">
        <v>15.03</v>
      </c>
      <c r="L630">
        <v>14.06</v>
      </c>
      <c r="M630">
        <v>14.16</v>
      </c>
      <c r="N630">
        <v>14.47</v>
      </c>
    </row>
    <row r="631" spans="1:14">
      <c r="A631" t="s">
        <v>643</v>
      </c>
      <c r="B631">
        <f>TEXT(600791,"000000")</f>
        <v>0</v>
      </c>
      <c r="C631">
        <v>4.12</v>
      </c>
      <c r="D631">
        <f>TEXT(0.024900000000000002,"0.00%")</f>
        <v>0</v>
      </c>
      <c r="E631">
        <v>5937301</v>
      </c>
      <c r="F631">
        <v>24261934</v>
      </c>
      <c r="G631">
        <f>TEXT(0.0547,"0.00%")</f>
        <v>0</v>
      </c>
      <c r="H631">
        <f>TEXT(0.0131,"0.00%")</f>
        <v>0</v>
      </c>
      <c r="I631">
        <v>1865865600</v>
      </c>
      <c r="J631">
        <v>1.19</v>
      </c>
      <c r="K631">
        <v>4.2</v>
      </c>
      <c r="L631">
        <v>3.98</v>
      </c>
      <c r="M631">
        <v>4.03</v>
      </c>
      <c r="N631">
        <v>4.02</v>
      </c>
    </row>
    <row r="632" spans="1:14">
      <c r="A632" t="s">
        <v>644</v>
      </c>
      <c r="B632">
        <f>TEXT(601958,"000000")</f>
        <v>0</v>
      </c>
      <c r="C632">
        <v>10.71</v>
      </c>
      <c r="D632">
        <f>TEXT(0.024900000000000002,"0.00%")</f>
        <v>0</v>
      </c>
      <c r="E632">
        <v>20645289</v>
      </c>
      <c r="F632">
        <v>218796017</v>
      </c>
      <c r="G632">
        <f>TEXT(0.0344,"0.00%")</f>
        <v>0</v>
      </c>
      <c r="H632">
        <f>TEXT(0.0064,"0.00%")</f>
        <v>0</v>
      </c>
      <c r="I632">
        <v>34556933124</v>
      </c>
      <c r="J632">
        <v>1.46</v>
      </c>
      <c r="K632">
        <v>10.73</v>
      </c>
      <c r="L632">
        <v>10.37</v>
      </c>
      <c r="M632">
        <v>10.49</v>
      </c>
      <c r="N632">
        <v>10.45</v>
      </c>
    </row>
    <row r="633" spans="1:14">
      <c r="A633" t="s">
        <v>645</v>
      </c>
      <c r="B633">
        <f>TEXT(002348,"000000")</f>
        <v>0</v>
      </c>
      <c r="C633">
        <v>4.52</v>
      </c>
      <c r="D633">
        <f>TEXT(0.024900000000000002,"0.00%")</f>
        <v>0</v>
      </c>
      <c r="E633">
        <v>15803302</v>
      </c>
      <c r="F633">
        <v>69913594</v>
      </c>
      <c r="G633">
        <f>TEXT(0.0499,"0.00%")</f>
        <v>0</v>
      </c>
      <c r="H633">
        <f>TEXT(0.0178,"0.00%")</f>
        <v>0</v>
      </c>
      <c r="I633">
        <v>4281344000</v>
      </c>
      <c r="J633">
        <v>0.85</v>
      </c>
      <c r="K633">
        <v>4.53</v>
      </c>
      <c r="L633">
        <v>4.31</v>
      </c>
      <c r="M633">
        <v>4.44</v>
      </c>
      <c r="N633">
        <v>4.41</v>
      </c>
    </row>
    <row r="634" spans="1:14">
      <c r="A634" t="s">
        <v>646</v>
      </c>
      <c r="B634">
        <f>TEXT(001965,"000000")</f>
        <v>0</v>
      </c>
      <c r="C634">
        <v>9.050000000000001</v>
      </c>
      <c r="D634">
        <f>TEXT(0.024900000000000002,"0.00%")</f>
        <v>0</v>
      </c>
      <c r="E634">
        <v>9524248</v>
      </c>
      <c r="F634">
        <v>84800280</v>
      </c>
      <c r="G634">
        <f>TEXT(0.0374,"0.00%")</f>
        <v>0</v>
      </c>
      <c r="H634">
        <f>TEXT(0.0015,"0.00%")</f>
        <v>0</v>
      </c>
      <c r="I634">
        <v>55975914231</v>
      </c>
      <c r="J634">
        <v>1.21</v>
      </c>
      <c r="K634">
        <v>9.06</v>
      </c>
      <c r="L634">
        <v>8.73</v>
      </c>
      <c r="M634">
        <v>8.800000000000001</v>
      </c>
      <c r="N634">
        <v>8.83</v>
      </c>
    </row>
    <row r="635" spans="1:14">
      <c r="A635" t="s">
        <v>647</v>
      </c>
      <c r="B635">
        <f>TEXT(600941,"000000")</f>
        <v>0</v>
      </c>
      <c r="C635">
        <v>93.77</v>
      </c>
      <c r="D635">
        <f>TEXT(0.0248,"0.00%")</f>
        <v>0</v>
      </c>
      <c r="E635">
        <v>18001541</v>
      </c>
      <c r="F635">
        <v>1682614155</v>
      </c>
      <c r="G635">
        <f>TEXT(0.0403,"0.00%")</f>
        <v>0</v>
      </c>
      <c r="H635">
        <f>TEXT(0.023700000000000002,"0.00%")</f>
        <v>0</v>
      </c>
      <c r="I635">
        <v>2003979907404</v>
      </c>
      <c r="J635">
        <v>1.35</v>
      </c>
      <c r="K635">
        <v>94.59999999999999</v>
      </c>
      <c r="L635">
        <v>90.91</v>
      </c>
      <c r="M635">
        <v>91</v>
      </c>
      <c r="N635">
        <v>91.5</v>
      </c>
    </row>
    <row r="636" spans="1:14">
      <c r="A636" t="s">
        <v>648</v>
      </c>
      <c r="B636">
        <f>TEXT(603979,"000000")</f>
        <v>0</v>
      </c>
      <c r="C636">
        <v>30.56</v>
      </c>
      <c r="D636">
        <f>TEXT(0.0248,"0.00%")</f>
        <v>0</v>
      </c>
      <c r="E636">
        <v>2668195</v>
      </c>
      <c r="F636">
        <v>81254480</v>
      </c>
      <c r="G636">
        <f>TEXT(0.057999999999999996,"0.00%")</f>
        <v>0</v>
      </c>
      <c r="H636">
        <f>TEXT(0.0044,"0.00%")</f>
        <v>0</v>
      </c>
      <c r="I636">
        <v>18401123604</v>
      </c>
      <c r="J636">
        <v>1.31</v>
      </c>
      <c r="K636">
        <v>31.28</v>
      </c>
      <c r="L636">
        <v>29.55</v>
      </c>
      <c r="M636">
        <v>29.8</v>
      </c>
      <c r="N636">
        <v>29.82</v>
      </c>
    </row>
    <row r="637" spans="1:14">
      <c r="A637" t="s">
        <v>649</v>
      </c>
      <c r="B637">
        <f>TEXT(300434,"000000")</f>
        <v>0</v>
      </c>
      <c r="C637">
        <v>14.85</v>
      </c>
      <c r="D637">
        <f>TEXT(0.0248,"0.00%")</f>
        <v>0</v>
      </c>
      <c r="E637">
        <v>22755355</v>
      </c>
      <c r="F637">
        <v>336332582</v>
      </c>
      <c r="G637">
        <f>TEXT(0.0594,"0.00%")</f>
        <v>0</v>
      </c>
      <c r="H637">
        <f>TEXT(0.06860000000000001,"0.00%")</f>
        <v>0</v>
      </c>
      <c r="I637">
        <v>5965896499</v>
      </c>
      <c r="J637">
        <v>0.73</v>
      </c>
      <c r="K637">
        <v>15.17</v>
      </c>
      <c r="L637">
        <v>14.31</v>
      </c>
      <c r="M637">
        <v>14.4</v>
      </c>
      <c r="N637">
        <v>14.49</v>
      </c>
    </row>
    <row r="638" spans="1:14">
      <c r="A638" t="s">
        <v>650</v>
      </c>
      <c r="B638">
        <f>TEXT(300533,"000000")</f>
        <v>0</v>
      </c>
      <c r="C638">
        <v>87.2</v>
      </c>
      <c r="D638">
        <f>TEXT(0.0248,"0.00%")</f>
        <v>0</v>
      </c>
      <c r="E638">
        <v>16231191</v>
      </c>
      <c r="F638">
        <v>1397802718</v>
      </c>
      <c r="G638">
        <f>TEXT(0.0926,"0.00%")</f>
        <v>0</v>
      </c>
      <c r="H638">
        <f>TEXT(0.1525,"0.00%")</f>
        <v>0</v>
      </c>
      <c r="I638">
        <v>13301297904</v>
      </c>
      <c r="J638">
        <v>0.95</v>
      </c>
      <c r="K638">
        <v>89.88</v>
      </c>
      <c r="L638">
        <v>82</v>
      </c>
      <c r="M638">
        <v>84.03</v>
      </c>
      <c r="N638">
        <v>85.09</v>
      </c>
    </row>
    <row r="639" spans="1:14">
      <c r="A639" t="s">
        <v>651</v>
      </c>
      <c r="B639">
        <f>TEXT(301316,"000000")</f>
        <v>0</v>
      </c>
      <c r="C639">
        <v>23.54</v>
      </c>
      <c r="D639">
        <f>TEXT(0.0248,"0.00%")</f>
        <v>0</v>
      </c>
      <c r="E639">
        <v>3471065</v>
      </c>
      <c r="F639">
        <v>80731435</v>
      </c>
      <c r="G639">
        <f>TEXT(0.0374,"0.00%")</f>
        <v>0</v>
      </c>
      <c r="H639">
        <f>TEXT(0.0868,"0.00%")</f>
        <v>0</v>
      </c>
      <c r="I639">
        <v>9416235400</v>
      </c>
      <c r="J639">
        <v>1.09</v>
      </c>
      <c r="K639">
        <v>23.64</v>
      </c>
      <c r="L639">
        <v>22.78</v>
      </c>
      <c r="M639">
        <v>22.98</v>
      </c>
      <c r="N639">
        <v>22.97</v>
      </c>
    </row>
    <row r="640" spans="1:14">
      <c r="A640" t="s">
        <v>652</v>
      </c>
      <c r="B640">
        <f>TEXT(300691,"000000")</f>
        <v>0</v>
      </c>
      <c r="C640">
        <v>16.53</v>
      </c>
      <c r="D640">
        <f>TEXT(0.0248,"0.00%")</f>
        <v>0</v>
      </c>
      <c r="E640">
        <v>9098558</v>
      </c>
      <c r="F640">
        <v>150001045</v>
      </c>
      <c r="G640">
        <f>TEXT(0.0533,"0.00%")</f>
        <v>0</v>
      </c>
      <c r="H640">
        <f>TEXT(0.046,"0.00%")</f>
        <v>0</v>
      </c>
      <c r="I640">
        <v>4433597636</v>
      </c>
      <c r="J640">
        <v>1.2</v>
      </c>
      <c r="K640">
        <v>16.84</v>
      </c>
      <c r="L640">
        <v>15.98</v>
      </c>
      <c r="M640">
        <v>16.15</v>
      </c>
      <c r="N640">
        <v>16.13</v>
      </c>
    </row>
    <row r="641" spans="1:14">
      <c r="A641" t="s">
        <v>653</v>
      </c>
      <c r="B641">
        <f>TEXT(300177,"000000")</f>
        <v>0</v>
      </c>
      <c r="C641">
        <v>6.63</v>
      </c>
      <c r="D641">
        <f>TEXT(0.024700000000000003,"0.00%")</f>
        <v>0</v>
      </c>
      <c r="E641">
        <v>9239252</v>
      </c>
      <c r="F641">
        <v>60800600</v>
      </c>
      <c r="G641">
        <f>TEXT(0.034,"0.00%")</f>
        <v>0</v>
      </c>
      <c r="H641">
        <f>TEXT(0.0152,"0.00%")</f>
        <v>0</v>
      </c>
      <c r="I641">
        <v>4933840907</v>
      </c>
      <c r="J641">
        <v>1.4</v>
      </c>
      <c r="K641">
        <v>6.65</v>
      </c>
      <c r="L641">
        <v>6.43</v>
      </c>
      <c r="M641">
        <v>6.45</v>
      </c>
      <c r="N641">
        <v>6.47</v>
      </c>
    </row>
    <row r="642" spans="1:14">
      <c r="A642" t="s">
        <v>654</v>
      </c>
      <c r="B642">
        <f>TEXT(300182,"000000")</f>
        <v>0</v>
      </c>
      <c r="C642">
        <v>5.8</v>
      </c>
      <c r="D642">
        <f>TEXT(0.024700000000000003,"0.00%")</f>
        <v>0</v>
      </c>
      <c r="E642">
        <v>106447375</v>
      </c>
      <c r="F642">
        <v>609392646</v>
      </c>
      <c r="G642">
        <f>TEXT(0.0512,"0.00%")</f>
        <v>0</v>
      </c>
      <c r="H642">
        <f>TEXT(0.048499999999999995,"0.00%")</f>
        <v>0</v>
      </c>
      <c r="I642">
        <v>15190002840</v>
      </c>
      <c r="J642">
        <v>0.96</v>
      </c>
      <c r="K642">
        <v>5.84</v>
      </c>
      <c r="L642">
        <v>5.55</v>
      </c>
      <c r="M642">
        <v>5.66</v>
      </c>
      <c r="N642">
        <v>5.66</v>
      </c>
    </row>
    <row r="643" spans="1:14">
      <c r="A643" t="s">
        <v>655</v>
      </c>
      <c r="B643">
        <f>TEXT(300601,"000000")</f>
        <v>0</v>
      </c>
      <c r="C643">
        <v>29.02</v>
      </c>
      <c r="D643">
        <f>TEXT(0.024700000000000003,"0.00%")</f>
        <v>0</v>
      </c>
      <c r="E643">
        <v>5708769</v>
      </c>
      <c r="F643">
        <v>164117996</v>
      </c>
      <c r="G643">
        <f>TEXT(0.0282,"0.00%")</f>
        <v>0</v>
      </c>
      <c r="H643">
        <f>TEXT(0.006500000000000001,"0.00%")</f>
        <v>0</v>
      </c>
      <c r="I643">
        <v>32412798776</v>
      </c>
      <c r="J643">
        <v>0.87</v>
      </c>
      <c r="K643">
        <v>29.1</v>
      </c>
      <c r="L643">
        <v>28.3</v>
      </c>
      <c r="M643">
        <v>28.3</v>
      </c>
      <c r="N643">
        <v>28.32</v>
      </c>
    </row>
    <row r="644" spans="1:14">
      <c r="A644" t="s">
        <v>656</v>
      </c>
      <c r="B644">
        <f>TEXT(301099,"000000")</f>
        <v>0</v>
      </c>
      <c r="C644">
        <v>51.77</v>
      </c>
      <c r="D644">
        <f>TEXT(0.024700000000000003,"0.00%")</f>
        <v>0</v>
      </c>
      <c r="E644">
        <v>2900991</v>
      </c>
      <c r="F644">
        <v>149696727</v>
      </c>
      <c r="G644">
        <f>TEXT(0.0538,"0.00%")</f>
        <v>0</v>
      </c>
      <c r="H644">
        <f>TEXT(0.1003,"0.00%")</f>
        <v>0</v>
      </c>
      <c r="I644">
        <v>4141600000</v>
      </c>
      <c r="J644">
        <v>1.24</v>
      </c>
      <c r="K644">
        <v>52.55</v>
      </c>
      <c r="L644">
        <v>49.83</v>
      </c>
      <c r="M644">
        <v>50.03</v>
      </c>
      <c r="N644">
        <v>50.52</v>
      </c>
    </row>
    <row r="645" spans="1:14">
      <c r="A645" t="s">
        <v>657</v>
      </c>
      <c r="B645">
        <f>TEXT(301128,"000000")</f>
        <v>0</v>
      </c>
      <c r="C645">
        <v>36.6</v>
      </c>
      <c r="D645">
        <f>TEXT(0.0246,"0.00%")</f>
        <v>0</v>
      </c>
      <c r="E645">
        <v>3990140</v>
      </c>
      <c r="F645">
        <v>143779037</v>
      </c>
      <c r="G645">
        <f>TEXT(0.0929,"0.00%")</f>
        <v>0</v>
      </c>
      <c r="H645">
        <f>TEXT(0.1464,"0.00%")</f>
        <v>0</v>
      </c>
      <c r="I645">
        <v>2704250365</v>
      </c>
      <c r="J645">
        <v>1.85</v>
      </c>
      <c r="K645">
        <v>37.42</v>
      </c>
      <c r="L645">
        <v>34.1</v>
      </c>
      <c r="M645">
        <v>35.2</v>
      </c>
      <c r="N645">
        <v>35.72</v>
      </c>
    </row>
    <row r="646" spans="1:14">
      <c r="A646" t="s">
        <v>658</v>
      </c>
      <c r="B646">
        <f>TEXT(300373,"000000")</f>
        <v>0</v>
      </c>
      <c r="C646">
        <v>43.34</v>
      </c>
      <c r="D646">
        <f>TEXT(0.0246,"0.00%")</f>
        <v>0</v>
      </c>
      <c r="E646">
        <v>9239234</v>
      </c>
      <c r="F646">
        <v>400993773</v>
      </c>
      <c r="G646">
        <f>TEXT(0.0319,"0.00%")</f>
        <v>0</v>
      </c>
      <c r="H646">
        <f>TEXT(0.0171,"0.00%")</f>
        <v>0</v>
      </c>
      <c r="I646">
        <v>23466520448</v>
      </c>
      <c r="J646">
        <v>1.57</v>
      </c>
      <c r="K646">
        <v>43.95</v>
      </c>
      <c r="L646">
        <v>42.6</v>
      </c>
      <c r="M646">
        <v>42.63</v>
      </c>
      <c r="N646">
        <v>42.3</v>
      </c>
    </row>
    <row r="647" spans="1:14">
      <c r="A647" t="s">
        <v>659</v>
      </c>
      <c r="B647">
        <f>TEXT(000788,"000000")</f>
        <v>0</v>
      </c>
      <c r="C647">
        <v>7.08</v>
      </c>
      <c r="D647">
        <f>TEXT(0.0246,"0.00%")</f>
        <v>0</v>
      </c>
      <c r="E647">
        <v>9336278</v>
      </c>
      <c r="F647">
        <v>65818913</v>
      </c>
      <c r="G647">
        <f>TEXT(0.0492,"0.00%")</f>
        <v>0</v>
      </c>
      <c r="H647">
        <f>TEXT(0.015700000000000002,"0.00%")</f>
        <v>0</v>
      </c>
      <c r="I647">
        <v>4219590969</v>
      </c>
      <c r="J647">
        <v>1.6</v>
      </c>
      <c r="K647">
        <v>7.19</v>
      </c>
      <c r="L647">
        <v>6.85</v>
      </c>
      <c r="M647">
        <v>6.87</v>
      </c>
      <c r="N647">
        <v>6.91</v>
      </c>
    </row>
    <row r="648" spans="1:14">
      <c r="A648" t="s">
        <v>660</v>
      </c>
      <c r="B648">
        <f>TEXT(603040,"000000")</f>
        <v>0</v>
      </c>
      <c r="C648">
        <v>23.29</v>
      </c>
      <c r="D648">
        <f>TEXT(0.0246,"0.00%")</f>
        <v>0</v>
      </c>
      <c r="E648">
        <v>2869281</v>
      </c>
      <c r="F648">
        <v>65492234</v>
      </c>
      <c r="G648">
        <f>TEXT(0.0576,"0.00%")</f>
        <v>0</v>
      </c>
      <c r="H648">
        <f>TEXT(0.021400000000000002,"0.00%")</f>
        <v>0</v>
      </c>
      <c r="I648">
        <v>3149332234</v>
      </c>
      <c r="J648">
        <v>1.37</v>
      </c>
      <c r="K648">
        <v>23.51</v>
      </c>
      <c r="L648">
        <v>22.2</v>
      </c>
      <c r="M648">
        <v>22.78</v>
      </c>
      <c r="N648">
        <v>22.73</v>
      </c>
    </row>
    <row r="649" spans="1:14">
      <c r="A649" t="s">
        <v>661</v>
      </c>
      <c r="B649">
        <f>TEXT(300267,"000000")</f>
        <v>0</v>
      </c>
      <c r="C649">
        <v>3.34</v>
      </c>
      <c r="D649">
        <f>TEXT(0.0245,"0.00%")</f>
        <v>0</v>
      </c>
      <c r="E649">
        <v>13825743</v>
      </c>
      <c r="F649">
        <v>45579674</v>
      </c>
      <c r="G649">
        <f>TEXT(0.0276,"0.00%")</f>
        <v>0</v>
      </c>
      <c r="H649">
        <f>TEXT(0.0097,"0.00%")</f>
        <v>0</v>
      </c>
      <c r="I649">
        <v>6889100265</v>
      </c>
      <c r="J649">
        <v>0.99</v>
      </c>
      <c r="K649">
        <v>3.34</v>
      </c>
      <c r="L649">
        <v>3.25</v>
      </c>
      <c r="M649">
        <v>3.28</v>
      </c>
      <c r="N649">
        <v>3.26</v>
      </c>
    </row>
    <row r="650" spans="1:14">
      <c r="A650" t="s">
        <v>662</v>
      </c>
      <c r="B650">
        <f>TEXT(300672,"000000")</f>
        <v>0</v>
      </c>
      <c r="C650">
        <v>96.58</v>
      </c>
      <c r="D650">
        <f>TEXT(0.0245,"0.00%")</f>
        <v>0</v>
      </c>
      <c r="E650">
        <v>8658939</v>
      </c>
      <c r="F650">
        <v>836885640</v>
      </c>
      <c r="G650">
        <f>TEXT(0.0484,"0.00%")</f>
        <v>0</v>
      </c>
      <c r="H650">
        <f>TEXT(0.049699999999999994,"0.00%")</f>
        <v>0</v>
      </c>
      <c r="I650">
        <v>20982015816</v>
      </c>
      <c r="J650">
        <v>1.15</v>
      </c>
      <c r="K650">
        <v>98.56</v>
      </c>
      <c r="L650">
        <v>94</v>
      </c>
      <c r="M650">
        <v>94.05</v>
      </c>
      <c r="N650">
        <v>94.27</v>
      </c>
    </row>
    <row r="651" spans="1:14">
      <c r="A651" t="s">
        <v>663</v>
      </c>
      <c r="B651">
        <f>TEXT(002703,"000000")</f>
        <v>0</v>
      </c>
      <c r="C651">
        <v>7.95</v>
      </c>
      <c r="D651">
        <f>TEXT(0.0245,"0.00%")</f>
        <v>0</v>
      </c>
      <c r="E651">
        <v>15861891</v>
      </c>
      <c r="F651">
        <v>124548457</v>
      </c>
      <c r="G651">
        <f>TEXT(0.060599999999999994,"0.00%")</f>
        <v>0</v>
      </c>
      <c r="H651">
        <f>TEXT(0.0287,"0.00%")</f>
        <v>0</v>
      </c>
      <c r="I651">
        <v>6277674864</v>
      </c>
      <c r="J651">
        <v>2.34</v>
      </c>
      <c r="K651">
        <v>8.050000000000001</v>
      </c>
      <c r="L651">
        <v>7.58</v>
      </c>
      <c r="M651">
        <v>7.76</v>
      </c>
      <c r="N651">
        <v>7.76</v>
      </c>
    </row>
    <row r="652" spans="1:14">
      <c r="A652" t="s">
        <v>664</v>
      </c>
      <c r="B652">
        <f>TEXT(002305,"000000")</f>
        <v>0</v>
      </c>
      <c r="C652">
        <v>2.09</v>
      </c>
      <c r="D652">
        <f>TEXT(0.0245,"0.00%")</f>
        <v>0</v>
      </c>
      <c r="E652">
        <v>26685726</v>
      </c>
      <c r="F652">
        <v>54991553</v>
      </c>
      <c r="G652">
        <f>TEXT(0.0441,"0.00%")</f>
        <v>0</v>
      </c>
      <c r="H652">
        <f>TEXT(0.0154,"0.00%")</f>
        <v>0</v>
      </c>
      <c r="I652">
        <v>3624510959</v>
      </c>
      <c r="J652">
        <v>1.2</v>
      </c>
      <c r="K652">
        <v>2.1</v>
      </c>
      <c r="L652">
        <v>2.01</v>
      </c>
      <c r="M652">
        <v>2.05</v>
      </c>
      <c r="N652">
        <v>2.04</v>
      </c>
    </row>
    <row r="653" spans="1:14">
      <c r="A653" t="s">
        <v>665</v>
      </c>
      <c r="B653">
        <f>TEXT(688486,"000000")</f>
        <v>0</v>
      </c>
      <c r="C653">
        <v>98.31</v>
      </c>
      <c r="D653">
        <f>TEXT(0.0245,"0.00%")</f>
        <v>0</v>
      </c>
      <c r="E653">
        <v>906433</v>
      </c>
      <c r="F653">
        <v>89785052</v>
      </c>
      <c r="G653">
        <f>TEXT(0.0649,"0.00%")</f>
        <v>0</v>
      </c>
      <c r="H653">
        <f>TEXT(0.060899999999999996,"0.00%")</f>
        <v>0</v>
      </c>
      <c r="I653">
        <v>6808838723</v>
      </c>
      <c r="J653">
        <v>1.23</v>
      </c>
      <c r="K653">
        <v>100.9</v>
      </c>
      <c r="L653">
        <v>94.67</v>
      </c>
      <c r="M653">
        <v>95.95999999999999</v>
      </c>
      <c r="N653">
        <v>95.95999999999999</v>
      </c>
    </row>
    <row r="654" spans="1:14">
      <c r="A654" t="s">
        <v>666</v>
      </c>
      <c r="B654">
        <f>TEXT(002439,"000000")</f>
        <v>0</v>
      </c>
      <c r="C654">
        <v>30.61</v>
      </c>
      <c r="D654">
        <f>TEXT(0.024399999999999998,"0.00%")</f>
        <v>0</v>
      </c>
      <c r="E654">
        <v>7937248</v>
      </c>
      <c r="F654">
        <v>241114792</v>
      </c>
      <c r="G654">
        <f>TEXT(0.0281,"0.00%")</f>
        <v>0</v>
      </c>
      <c r="H654">
        <f>TEXT(0.011000000000000001,"0.00%")</f>
        <v>0</v>
      </c>
      <c r="I654">
        <v>29159194298</v>
      </c>
      <c r="J654">
        <v>0.58</v>
      </c>
      <c r="K654">
        <v>30.77</v>
      </c>
      <c r="L654">
        <v>29.93</v>
      </c>
      <c r="M654">
        <v>30.06</v>
      </c>
      <c r="N654">
        <v>29.88</v>
      </c>
    </row>
    <row r="655" spans="1:14">
      <c r="A655" t="s">
        <v>667</v>
      </c>
      <c r="B655">
        <f>TEXT(000630,"000000")</f>
        <v>0</v>
      </c>
      <c r="C655">
        <v>2.94</v>
      </c>
      <c r="D655">
        <f>TEXT(0.024399999999999998,"0.00%")</f>
        <v>0</v>
      </c>
      <c r="E655">
        <v>87278030</v>
      </c>
      <c r="F655">
        <v>252952994</v>
      </c>
      <c r="G655">
        <f>TEXT(0.0383,"0.00%")</f>
        <v>0</v>
      </c>
      <c r="H655">
        <f>TEXT(0.0083,"0.00%")</f>
        <v>0</v>
      </c>
      <c r="I655">
        <v>30948007925</v>
      </c>
      <c r="J655">
        <v>1.2</v>
      </c>
      <c r="K655">
        <v>2.95</v>
      </c>
      <c r="L655">
        <v>2.84</v>
      </c>
      <c r="M655">
        <v>2.86</v>
      </c>
      <c r="N655">
        <v>2.87</v>
      </c>
    </row>
    <row r="656" spans="1:14">
      <c r="A656" t="s">
        <v>668</v>
      </c>
      <c r="B656">
        <f>TEXT(688393,"000000")</f>
        <v>0</v>
      </c>
      <c r="C656">
        <v>24.33</v>
      </c>
      <c r="D656">
        <f>TEXT(0.024399999999999998,"0.00%")</f>
        <v>0</v>
      </c>
      <c r="E656">
        <v>707748</v>
      </c>
      <c r="F656">
        <v>17094949</v>
      </c>
      <c r="G656">
        <f>TEXT(0.0387,"0.00%")</f>
        <v>0</v>
      </c>
      <c r="H656">
        <f>TEXT(0.011699999999999999,"0.00%")</f>
        <v>0</v>
      </c>
      <c r="I656">
        <v>2270962200</v>
      </c>
      <c r="J656">
        <v>0.96</v>
      </c>
      <c r="K656">
        <v>24.49</v>
      </c>
      <c r="L656">
        <v>23.57</v>
      </c>
      <c r="M656">
        <v>23.79</v>
      </c>
      <c r="N656">
        <v>23.75</v>
      </c>
    </row>
    <row r="657" spans="1:14">
      <c r="A657" t="s">
        <v>669</v>
      </c>
      <c r="B657">
        <f>TEXT(603059,"000000")</f>
        <v>0</v>
      </c>
      <c r="C657">
        <v>22.21</v>
      </c>
      <c r="D657">
        <f>TEXT(0.024399999999999998,"0.00%")</f>
        <v>0</v>
      </c>
      <c r="E657">
        <v>1210900</v>
      </c>
      <c r="F657">
        <v>26679720</v>
      </c>
      <c r="G657">
        <f>TEXT(0.031400000000000004,"0.00%")</f>
        <v>0</v>
      </c>
      <c r="H657">
        <f>TEXT(0.0121,"0.00%")</f>
        <v>0</v>
      </c>
      <c r="I657">
        <v>2222133154</v>
      </c>
      <c r="J657">
        <v>1.27</v>
      </c>
      <c r="K657">
        <v>22.29</v>
      </c>
      <c r="L657">
        <v>21.61</v>
      </c>
      <c r="M657">
        <v>21.68</v>
      </c>
      <c r="N657">
        <v>21.68</v>
      </c>
    </row>
    <row r="658" spans="1:14">
      <c r="A658" t="s">
        <v>670</v>
      </c>
      <c r="B658">
        <f>TEXT(002869,"000000")</f>
        <v>0</v>
      </c>
      <c r="C658">
        <v>23.21</v>
      </c>
      <c r="D658">
        <f>TEXT(0.024300000000000002,"0.00%")</f>
        <v>0</v>
      </c>
      <c r="E658">
        <v>2371062</v>
      </c>
      <c r="F658">
        <v>54463086</v>
      </c>
      <c r="G658">
        <f>TEXT(0.0331,"0.00%")</f>
        <v>0</v>
      </c>
      <c r="H658">
        <f>TEXT(0.015700000000000002,"0.00%")</f>
        <v>0</v>
      </c>
      <c r="I658">
        <v>4167502674</v>
      </c>
      <c r="J658">
        <v>0.6899999999999999</v>
      </c>
      <c r="K658">
        <v>23.25</v>
      </c>
      <c r="L658">
        <v>22.5</v>
      </c>
      <c r="M658">
        <v>22.5</v>
      </c>
      <c r="N658">
        <v>22.66</v>
      </c>
    </row>
    <row r="659" spans="1:14">
      <c r="A659" t="s">
        <v>671</v>
      </c>
      <c r="B659">
        <f>TEXT(600782,"000000")</f>
        <v>0</v>
      </c>
      <c r="C659">
        <v>3.8</v>
      </c>
      <c r="D659">
        <f>TEXT(0.024300000000000002,"0.00%")</f>
        <v>0</v>
      </c>
      <c r="E659">
        <v>30983995</v>
      </c>
      <c r="F659">
        <v>116289179</v>
      </c>
      <c r="G659">
        <f>TEXT(0.0404,"0.00%")</f>
        <v>0</v>
      </c>
      <c r="H659">
        <f>TEXT(0.0097,"0.00%")</f>
        <v>0</v>
      </c>
      <c r="I659">
        <v>12117146244</v>
      </c>
      <c r="J659">
        <v>1.02</v>
      </c>
      <c r="K659">
        <v>3.82</v>
      </c>
      <c r="L659">
        <v>3.67</v>
      </c>
      <c r="M659">
        <v>3.71</v>
      </c>
      <c r="N659">
        <v>3.71</v>
      </c>
    </row>
    <row r="660" spans="1:14">
      <c r="A660" t="s">
        <v>672</v>
      </c>
      <c r="B660">
        <f>TEXT(688062,"000000")</f>
        <v>0</v>
      </c>
      <c r="C660">
        <v>24.02</v>
      </c>
      <c r="D660">
        <f>TEXT(0.024300000000000002,"0.00%")</f>
        <v>0</v>
      </c>
      <c r="E660">
        <v>1649623</v>
      </c>
      <c r="F660">
        <v>39511960</v>
      </c>
      <c r="G660">
        <f>TEXT(0.046900000000000004,"0.00%")</f>
        <v>0</v>
      </c>
      <c r="H660">
        <f>TEXT(0.008199999999999999,"0.00%")</f>
        <v>0</v>
      </c>
      <c r="I660">
        <v>9598392000</v>
      </c>
      <c r="J660">
        <v>0.62</v>
      </c>
      <c r="K660">
        <v>24.2</v>
      </c>
      <c r="L660">
        <v>23.1</v>
      </c>
      <c r="M660">
        <v>23.34</v>
      </c>
      <c r="N660">
        <v>23.45</v>
      </c>
    </row>
    <row r="661" spans="1:14">
      <c r="A661" t="s">
        <v>673</v>
      </c>
      <c r="B661">
        <f>TEXT(000915,"000000")</f>
        <v>0</v>
      </c>
      <c r="C661">
        <v>36.87</v>
      </c>
      <c r="D661">
        <f>TEXT(0.0242,"0.00%")</f>
        <v>0</v>
      </c>
      <c r="E661">
        <v>3667939</v>
      </c>
      <c r="F661">
        <v>133967513</v>
      </c>
      <c r="G661">
        <f>TEXT(0.037200000000000004,"0.00%")</f>
        <v>0</v>
      </c>
      <c r="H661">
        <f>TEXT(0.015700000000000002,"0.00%")</f>
        <v>0</v>
      </c>
      <c r="I661">
        <v>8639801851</v>
      </c>
      <c r="J661">
        <v>1.64</v>
      </c>
      <c r="K661">
        <v>37.12</v>
      </c>
      <c r="L661">
        <v>35.78</v>
      </c>
      <c r="M661">
        <v>36.01</v>
      </c>
      <c r="N661">
        <v>36</v>
      </c>
    </row>
    <row r="662" spans="1:14">
      <c r="A662" t="s">
        <v>674</v>
      </c>
      <c r="B662">
        <f>TEXT(600859,"000000")</f>
        <v>0</v>
      </c>
      <c r="C662">
        <v>21.19</v>
      </c>
      <c r="D662">
        <f>TEXT(0.0242,"0.00%")</f>
        <v>0</v>
      </c>
      <c r="E662">
        <v>9807183</v>
      </c>
      <c r="F662">
        <v>204833269</v>
      </c>
      <c r="G662">
        <f>TEXT(0.037200000000000004,"0.00%")</f>
        <v>0</v>
      </c>
      <c r="H662">
        <f>TEXT(0.009000000000000001,"0.00%")</f>
        <v>0</v>
      </c>
      <c r="I662">
        <v>24051697866</v>
      </c>
      <c r="J662">
        <v>1.18</v>
      </c>
      <c r="K662">
        <v>21.24</v>
      </c>
      <c r="L662">
        <v>20.47</v>
      </c>
      <c r="M662">
        <v>20.67</v>
      </c>
      <c r="N662">
        <v>20.69</v>
      </c>
    </row>
    <row r="663" spans="1:14">
      <c r="A663" t="s">
        <v>675</v>
      </c>
      <c r="B663">
        <f>TEXT(300563,"000000")</f>
        <v>0</v>
      </c>
      <c r="C663">
        <v>13.53</v>
      </c>
      <c r="D663">
        <f>TEXT(0.0242,"0.00%")</f>
        <v>0</v>
      </c>
      <c r="E663">
        <v>5634780</v>
      </c>
      <c r="F663">
        <v>75871001</v>
      </c>
      <c r="G663">
        <f>TEXT(0.0326,"0.00%")</f>
        <v>0</v>
      </c>
      <c r="H663">
        <f>TEXT(0.045899999999999996,"0.00%")</f>
        <v>0</v>
      </c>
      <c r="I663">
        <v>2419468776</v>
      </c>
      <c r="J663">
        <v>1.53</v>
      </c>
      <c r="K663">
        <v>13.58</v>
      </c>
      <c r="L663">
        <v>13.15</v>
      </c>
      <c r="M663">
        <v>13.21</v>
      </c>
      <c r="N663">
        <v>13.21</v>
      </c>
    </row>
    <row r="664" spans="1:14">
      <c r="A664" t="s">
        <v>676</v>
      </c>
      <c r="B664">
        <f>TEXT(300110,"000000")</f>
        <v>0</v>
      </c>
      <c r="C664">
        <v>4.23</v>
      </c>
      <c r="D664">
        <f>TEXT(0.0242,"0.00%")</f>
        <v>0</v>
      </c>
      <c r="E664">
        <v>12965466</v>
      </c>
      <c r="F664">
        <v>54165497</v>
      </c>
      <c r="G664">
        <f>TEXT(0.0339,"0.00%")</f>
        <v>0</v>
      </c>
      <c r="H664">
        <f>TEXT(0.011000000000000001,"0.00%")</f>
        <v>0</v>
      </c>
      <c r="I664">
        <v>5000760913</v>
      </c>
      <c r="J664">
        <v>0.91</v>
      </c>
      <c r="K664">
        <v>4.24</v>
      </c>
      <c r="L664">
        <v>4.1</v>
      </c>
      <c r="M664">
        <v>4.13</v>
      </c>
      <c r="N664">
        <v>4.13</v>
      </c>
    </row>
    <row r="665" spans="1:14">
      <c r="A665" t="s">
        <v>677</v>
      </c>
      <c r="B665">
        <f>TEXT(300805,"000000")</f>
        <v>0</v>
      </c>
      <c r="C665">
        <v>8.49</v>
      </c>
      <c r="D665">
        <f>TEXT(0.0241,"0.00%")</f>
        <v>0</v>
      </c>
      <c r="E665">
        <v>6815468</v>
      </c>
      <c r="F665">
        <v>57068663</v>
      </c>
      <c r="G665">
        <f>TEXT(0.040999999999999995,"0.00%")</f>
        <v>0</v>
      </c>
      <c r="H665">
        <f>TEXT(0.024900000000000002,"0.00%")</f>
        <v>0</v>
      </c>
      <c r="I665">
        <v>3593222700</v>
      </c>
      <c r="J665">
        <v>0.63</v>
      </c>
      <c r="K665">
        <v>8.49</v>
      </c>
      <c r="L665">
        <v>8.15</v>
      </c>
      <c r="M665">
        <v>8.27</v>
      </c>
      <c r="N665">
        <v>8.289999999999999</v>
      </c>
    </row>
    <row r="666" spans="1:14">
      <c r="A666" t="s">
        <v>678</v>
      </c>
      <c r="B666">
        <f>TEXT(301136,"000000")</f>
        <v>0</v>
      </c>
      <c r="C666">
        <v>14.01</v>
      </c>
      <c r="D666">
        <f>TEXT(0.0241,"0.00%")</f>
        <v>0</v>
      </c>
      <c r="E666">
        <v>8340129</v>
      </c>
      <c r="F666">
        <v>118667869</v>
      </c>
      <c r="G666">
        <f>TEXT(0.0731,"0.00%")</f>
        <v>0</v>
      </c>
      <c r="H666">
        <f>TEXT(0.0803,"0.00%")</f>
        <v>0</v>
      </c>
      <c r="I666">
        <v>3855619528</v>
      </c>
      <c r="J666">
        <v>3.45</v>
      </c>
      <c r="K666">
        <v>14.87</v>
      </c>
      <c r="L666">
        <v>13.87</v>
      </c>
      <c r="M666">
        <v>14.29</v>
      </c>
      <c r="N666">
        <v>13.68</v>
      </c>
    </row>
    <row r="667" spans="1:14">
      <c r="A667" t="s">
        <v>679</v>
      </c>
      <c r="B667">
        <f>TEXT(002596,"000000")</f>
        <v>0</v>
      </c>
      <c r="C667">
        <v>2.97</v>
      </c>
      <c r="D667">
        <f>TEXT(0.0241,"0.00%")</f>
        <v>0</v>
      </c>
      <c r="E667">
        <v>21864103</v>
      </c>
      <c r="F667">
        <v>64204463</v>
      </c>
      <c r="G667">
        <f>TEXT(0.0345,"0.00%")</f>
        <v>0</v>
      </c>
      <c r="H667">
        <f>TEXT(0.0207,"0.00%")</f>
        <v>0</v>
      </c>
      <c r="I667">
        <v>3408314138</v>
      </c>
      <c r="J667">
        <v>1.28</v>
      </c>
      <c r="K667">
        <v>2.98</v>
      </c>
      <c r="L667">
        <v>2.88</v>
      </c>
      <c r="M667">
        <v>2.9</v>
      </c>
      <c r="N667">
        <v>2.9</v>
      </c>
    </row>
    <row r="668" spans="1:14">
      <c r="A668" t="s">
        <v>680</v>
      </c>
      <c r="B668">
        <f>TEXT(002855,"000000")</f>
        <v>0</v>
      </c>
      <c r="C668">
        <v>9.779999999999999</v>
      </c>
      <c r="D668">
        <f>TEXT(0.0241,"0.00%")</f>
        <v>0</v>
      </c>
      <c r="E668">
        <v>2797800</v>
      </c>
      <c r="F668">
        <v>27027075</v>
      </c>
      <c r="G668">
        <f>TEXT(0.0304,"0.00%")</f>
        <v>0</v>
      </c>
      <c r="H668">
        <f>TEXT(0.011399999999999999,"0.00%")</f>
        <v>0</v>
      </c>
      <c r="I668">
        <v>2409984489</v>
      </c>
      <c r="J668">
        <v>1.13</v>
      </c>
      <c r="K668">
        <v>9.779999999999999</v>
      </c>
      <c r="L668">
        <v>9.49</v>
      </c>
      <c r="M668">
        <v>9.6</v>
      </c>
      <c r="N668">
        <v>9.550000000000001</v>
      </c>
    </row>
    <row r="669" spans="1:14">
      <c r="A669" t="s">
        <v>681</v>
      </c>
      <c r="B669">
        <f>TEXT(002908,"000000")</f>
        <v>0</v>
      </c>
      <c r="C669">
        <v>20.87</v>
      </c>
      <c r="D669">
        <f>TEXT(0.024,"0.00%")</f>
        <v>0</v>
      </c>
      <c r="E669">
        <v>6233214</v>
      </c>
      <c r="F669">
        <v>129083890</v>
      </c>
      <c r="G669">
        <f>TEXT(0.0368,"0.00%")</f>
        <v>0</v>
      </c>
      <c r="H669">
        <f>TEXT(0.0291,"0.00%")</f>
        <v>0</v>
      </c>
      <c r="I669">
        <v>6441469985</v>
      </c>
      <c r="J669">
        <v>0.9399999999999999</v>
      </c>
      <c r="K669">
        <v>21.05</v>
      </c>
      <c r="L669">
        <v>20.3</v>
      </c>
      <c r="M669">
        <v>20.3</v>
      </c>
      <c r="N669">
        <v>20.38</v>
      </c>
    </row>
    <row r="670" spans="1:14">
      <c r="A670" t="s">
        <v>682</v>
      </c>
      <c r="B670">
        <f>TEXT(603817,"000000")</f>
        <v>0</v>
      </c>
      <c r="C670">
        <v>6.39</v>
      </c>
      <c r="D670">
        <f>TEXT(0.024,"0.00%")</f>
        <v>0</v>
      </c>
      <c r="E670">
        <v>15555248</v>
      </c>
      <c r="F670">
        <v>98966294</v>
      </c>
      <c r="G670">
        <f>TEXT(0.0385,"0.00%")</f>
        <v>0</v>
      </c>
      <c r="H670">
        <f>TEXT(0.0301,"0.00%")</f>
        <v>0</v>
      </c>
      <c r="I670">
        <v>3414481362</v>
      </c>
      <c r="J670">
        <v>3.61</v>
      </c>
      <c r="K670">
        <v>6.48</v>
      </c>
      <c r="L670">
        <v>6.24</v>
      </c>
      <c r="M670">
        <v>6.24</v>
      </c>
      <c r="N670">
        <v>6.24</v>
      </c>
    </row>
    <row r="671" spans="1:14">
      <c r="A671" t="s">
        <v>683</v>
      </c>
      <c r="B671">
        <f>TEXT(603348,"000000")</f>
        <v>0</v>
      </c>
      <c r="C671">
        <v>41.74</v>
      </c>
      <c r="D671">
        <f>TEXT(0.024,"0.00%")</f>
        <v>0</v>
      </c>
      <c r="E671">
        <v>2908723</v>
      </c>
      <c r="F671">
        <v>119812315</v>
      </c>
      <c r="G671">
        <f>TEXT(0.0599,"0.00%")</f>
        <v>0</v>
      </c>
      <c r="H671">
        <f>TEXT(0.0111,"0.00%")</f>
        <v>0</v>
      </c>
      <c r="I671">
        <v>10999468719</v>
      </c>
      <c r="J671">
        <v>1.17</v>
      </c>
      <c r="K671">
        <v>42.19</v>
      </c>
      <c r="L671">
        <v>39.75</v>
      </c>
      <c r="M671">
        <v>40.58</v>
      </c>
      <c r="N671">
        <v>40.76</v>
      </c>
    </row>
    <row r="672" spans="1:14">
      <c r="A672" t="s">
        <v>684</v>
      </c>
      <c r="B672">
        <f>TEXT(002760,"000000")</f>
        <v>0</v>
      </c>
      <c r="C672">
        <v>26.85</v>
      </c>
      <c r="D672">
        <f>TEXT(0.024,"0.00%")</f>
        <v>0</v>
      </c>
      <c r="E672">
        <v>2172600</v>
      </c>
      <c r="F672">
        <v>58159887</v>
      </c>
      <c r="G672">
        <f>TEXT(0.0378,"0.00%")</f>
        <v>0</v>
      </c>
      <c r="H672">
        <f>TEXT(0.024700000000000003,"0.00%")</f>
        <v>0</v>
      </c>
      <c r="I672">
        <v>2899496756</v>
      </c>
      <c r="J672">
        <v>0.67</v>
      </c>
      <c r="K672">
        <v>27.1</v>
      </c>
      <c r="L672">
        <v>26.11</v>
      </c>
      <c r="M672">
        <v>26.28</v>
      </c>
      <c r="N672">
        <v>26.22</v>
      </c>
    </row>
    <row r="673" spans="1:14">
      <c r="A673" t="s">
        <v>685</v>
      </c>
      <c r="B673">
        <f>TEXT(605068,"000000")</f>
        <v>0</v>
      </c>
      <c r="C673">
        <v>22.21</v>
      </c>
      <c r="D673">
        <f>TEXT(0.024,"0.00%")</f>
        <v>0</v>
      </c>
      <c r="E673">
        <v>918500</v>
      </c>
      <c r="F673">
        <v>20252748</v>
      </c>
      <c r="G673">
        <f>TEXT(0.042,"0.00%")</f>
        <v>0</v>
      </c>
      <c r="H673">
        <f>TEXT(0.0174,"0.00%")</f>
        <v>0</v>
      </c>
      <c r="I673">
        <v>3614443117</v>
      </c>
      <c r="J673">
        <v>1.29</v>
      </c>
      <c r="K673">
        <v>22.35</v>
      </c>
      <c r="L673">
        <v>21.44</v>
      </c>
      <c r="M673">
        <v>21.8</v>
      </c>
      <c r="N673">
        <v>21.69</v>
      </c>
    </row>
    <row r="674" spans="1:14">
      <c r="A674" t="s">
        <v>686</v>
      </c>
      <c r="B674">
        <f>TEXT(300009,"000000")</f>
        <v>0</v>
      </c>
      <c r="C674">
        <v>10.22</v>
      </c>
      <c r="D674">
        <f>TEXT(0.024,"0.00%")</f>
        <v>0</v>
      </c>
      <c r="E674">
        <v>8505409</v>
      </c>
      <c r="F674">
        <v>86355643</v>
      </c>
      <c r="G674">
        <f>TEXT(0.0301,"0.00%")</f>
        <v>0</v>
      </c>
      <c r="H674">
        <f>TEXT(0.0073,"0.00%")</f>
        <v>0</v>
      </c>
      <c r="I674">
        <v>17100696330</v>
      </c>
      <c r="J674">
        <v>0.98</v>
      </c>
      <c r="K674">
        <v>10.28</v>
      </c>
      <c r="L674">
        <v>9.98</v>
      </c>
      <c r="M674">
        <v>10.03</v>
      </c>
      <c r="N674">
        <v>9.98</v>
      </c>
    </row>
    <row r="675" spans="1:14">
      <c r="A675" t="s">
        <v>687</v>
      </c>
      <c r="B675">
        <f>TEXT(688338,"000000")</f>
        <v>0</v>
      </c>
      <c r="C675">
        <v>54.9</v>
      </c>
      <c r="D675">
        <f>TEXT(0.0239,"0.00%")</f>
        <v>0</v>
      </c>
      <c r="E675">
        <v>277938</v>
      </c>
      <c r="F675">
        <v>15148594</v>
      </c>
      <c r="G675">
        <f>TEXT(0.0388,"0.00%")</f>
        <v>0</v>
      </c>
      <c r="H675">
        <f>TEXT(0.005699999999999999,"0.00%")</f>
        <v>0</v>
      </c>
      <c r="I675">
        <v>4482475200</v>
      </c>
      <c r="J675">
        <v>0.51</v>
      </c>
      <c r="K675">
        <v>55.38</v>
      </c>
      <c r="L675">
        <v>53.3</v>
      </c>
      <c r="M675">
        <v>54.25</v>
      </c>
      <c r="N675">
        <v>53.62</v>
      </c>
    </row>
    <row r="676" spans="1:14">
      <c r="A676" t="s">
        <v>688</v>
      </c>
      <c r="B676">
        <f>TEXT(603766,"000000")</f>
        <v>0</v>
      </c>
      <c r="C676">
        <v>4.71</v>
      </c>
      <c r="D676">
        <f>TEXT(0.0239,"0.00%")</f>
        <v>0</v>
      </c>
      <c r="E676">
        <v>11559335</v>
      </c>
      <c r="F676">
        <v>53681174</v>
      </c>
      <c r="G676">
        <f>TEXT(0.0435,"0.00%")</f>
        <v>0</v>
      </c>
      <c r="H676">
        <f>TEXT(0.005600000000000001,"0.00%")</f>
        <v>0</v>
      </c>
      <c r="I676">
        <v>9672182113</v>
      </c>
      <c r="J676">
        <v>1.38</v>
      </c>
      <c r="K676">
        <v>4.73</v>
      </c>
      <c r="L676">
        <v>4.53</v>
      </c>
      <c r="M676">
        <v>4.6</v>
      </c>
      <c r="N676">
        <v>4.6</v>
      </c>
    </row>
    <row r="677" spans="1:14">
      <c r="A677" t="s">
        <v>689</v>
      </c>
      <c r="B677">
        <f>TEXT(688314,"000000")</f>
        <v>0</v>
      </c>
      <c r="C677">
        <v>38.95</v>
      </c>
      <c r="D677">
        <f>TEXT(0.0239,"0.00%")</f>
        <v>0</v>
      </c>
      <c r="E677">
        <v>1058693</v>
      </c>
      <c r="F677">
        <v>40890044</v>
      </c>
      <c r="G677">
        <f>TEXT(0.04650000000000001,"0.00%")</f>
        <v>0</v>
      </c>
      <c r="H677">
        <f>TEXT(0.028900000000000002,"0.00%")</f>
        <v>0</v>
      </c>
      <c r="I677">
        <v>3164265749</v>
      </c>
      <c r="J677">
        <v>0.55</v>
      </c>
      <c r="K677">
        <v>39.39</v>
      </c>
      <c r="L677">
        <v>37.62</v>
      </c>
      <c r="M677">
        <v>38.38</v>
      </c>
      <c r="N677">
        <v>38.04</v>
      </c>
    </row>
    <row r="678" spans="1:14">
      <c r="A678" t="s">
        <v>690</v>
      </c>
      <c r="B678">
        <f>TEXT(301186,"000000")</f>
        <v>0</v>
      </c>
      <c r="C678">
        <v>33</v>
      </c>
      <c r="D678">
        <f>TEXT(0.0239,"0.00%")</f>
        <v>0</v>
      </c>
      <c r="E678">
        <v>1862322</v>
      </c>
      <c r="F678">
        <v>60998956</v>
      </c>
      <c r="G678">
        <f>TEXT(0.0707,"0.00%")</f>
        <v>0</v>
      </c>
      <c r="H678">
        <f>TEXT(0.0862,"0.00%")</f>
        <v>0</v>
      </c>
      <c r="I678">
        <v>2401041126</v>
      </c>
      <c r="J678">
        <v>2.21</v>
      </c>
      <c r="K678">
        <v>33.88</v>
      </c>
      <c r="L678">
        <v>31.6</v>
      </c>
      <c r="M678">
        <v>32.31</v>
      </c>
      <c r="N678">
        <v>32.23</v>
      </c>
    </row>
    <row r="679" spans="1:14">
      <c r="A679" t="s">
        <v>691</v>
      </c>
      <c r="B679">
        <f>TEXT(603042,"000000")</f>
        <v>0</v>
      </c>
      <c r="C679">
        <v>12.5</v>
      </c>
      <c r="D679">
        <f>TEXT(0.023799999999999998,"0.00%")</f>
        <v>0</v>
      </c>
      <c r="E679">
        <v>5808155</v>
      </c>
      <c r="F679">
        <v>72028817</v>
      </c>
      <c r="G679">
        <f>TEXT(0.036000000000000004,"0.00%")</f>
        <v>0</v>
      </c>
      <c r="H679">
        <f>TEXT(0.0362,"0.00%")</f>
        <v>0</v>
      </c>
      <c r="I679">
        <v>2007373000</v>
      </c>
      <c r="J679">
        <v>0.98</v>
      </c>
      <c r="K679">
        <v>12.55</v>
      </c>
      <c r="L679">
        <v>12.11</v>
      </c>
      <c r="M679">
        <v>12.12</v>
      </c>
      <c r="N679">
        <v>12.21</v>
      </c>
    </row>
    <row r="680" spans="1:14">
      <c r="A680" t="s">
        <v>692</v>
      </c>
      <c r="B680">
        <f>TEXT(301396,"000000")</f>
        <v>0</v>
      </c>
      <c r="C680">
        <v>40.09</v>
      </c>
      <c r="D680">
        <f>TEXT(0.023700000000000002,"0.00%")</f>
        <v>0</v>
      </c>
      <c r="E680">
        <v>2516232</v>
      </c>
      <c r="F680">
        <v>100190041</v>
      </c>
      <c r="G680">
        <f>TEXT(0.0424,"0.00%")</f>
        <v>0</v>
      </c>
      <c r="H680">
        <f>TEXT(0.1101,"0.00%")</f>
        <v>0</v>
      </c>
      <c r="I680">
        <v>3663403874</v>
      </c>
      <c r="J680">
        <v>1.04</v>
      </c>
      <c r="K680">
        <v>40.58</v>
      </c>
      <c r="L680">
        <v>38.92</v>
      </c>
      <c r="M680">
        <v>38.92</v>
      </c>
      <c r="N680">
        <v>39.16</v>
      </c>
    </row>
    <row r="681" spans="1:14">
      <c r="A681" t="s">
        <v>693</v>
      </c>
      <c r="B681">
        <f>TEXT(002988,"000000")</f>
        <v>0</v>
      </c>
      <c r="C681">
        <v>16.4</v>
      </c>
      <c r="D681">
        <f>TEXT(0.023700000000000002,"0.00%")</f>
        <v>0</v>
      </c>
      <c r="E681">
        <v>1220096</v>
      </c>
      <c r="F681">
        <v>19728119</v>
      </c>
      <c r="G681">
        <f>TEXT(0.0431,"0.00%")</f>
        <v>0</v>
      </c>
      <c r="H681">
        <f>TEXT(0.0052,"0.00%")</f>
        <v>0</v>
      </c>
      <c r="I681">
        <v>3817444400</v>
      </c>
      <c r="J681">
        <v>1.13</v>
      </c>
      <c r="K681">
        <v>16.43</v>
      </c>
      <c r="L681">
        <v>15.74</v>
      </c>
      <c r="M681">
        <v>16.12</v>
      </c>
      <c r="N681">
        <v>16.02</v>
      </c>
    </row>
    <row r="682" spans="1:14">
      <c r="A682" t="s">
        <v>694</v>
      </c>
      <c r="B682">
        <f>TEXT(603298,"000000")</f>
        <v>0</v>
      </c>
      <c r="C682">
        <v>20.47</v>
      </c>
      <c r="D682">
        <f>TEXT(0.0235,"0.00%")</f>
        <v>0</v>
      </c>
      <c r="E682">
        <v>4139950</v>
      </c>
      <c r="F682">
        <v>83394675</v>
      </c>
      <c r="G682">
        <f>TEXT(0.0535,"0.00%")</f>
        <v>0</v>
      </c>
      <c r="H682">
        <f>TEXT(0.0044,"0.00%")</f>
        <v>0</v>
      </c>
      <c r="I682">
        <v>19151323316</v>
      </c>
      <c r="J682">
        <v>0.98</v>
      </c>
      <c r="K682">
        <v>20.59</v>
      </c>
      <c r="L682">
        <v>19.52</v>
      </c>
      <c r="M682">
        <v>20.04</v>
      </c>
      <c r="N682">
        <v>20</v>
      </c>
    </row>
    <row r="683" spans="1:14">
      <c r="A683" t="s">
        <v>695</v>
      </c>
      <c r="B683">
        <f>TEXT(301218,"000000")</f>
        <v>0</v>
      </c>
      <c r="C683">
        <v>22.2</v>
      </c>
      <c r="D683">
        <f>TEXT(0.0235,"0.00%")</f>
        <v>0</v>
      </c>
      <c r="E683">
        <v>1357600</v>
      </c>
      <c r="F683">
        <v>29833845</v>
      </c>
      <c r="G683">
        <f>TEXT(0.0337,"0.00%")</f>
        <v>0</v>
      </c>
      <c r="H683">
        <f>TEXT(0.0242,"0.00%")</f>
        <v>0</v>
      </c>
      <c r="I683">
        <v>2531688000</v>
      </c>
      <c r="J683">
        <v>0.82</v>
      </c>
      <c r="K683">
        <v>22.3</v>
      </c>
      <c r="L683">
        <v>21.57</v>
      </c>
      <c r="M683">
        <v>21.73</v>
      </c>
      <c r="N683">
        <v>21.69</v>
      </c>
    </row>
    <row r="684" spans="1:14">
      <c r="A684" t="s">
        <v>696</v>
      </c>
      <c r="B684">
        <f>TEXT(600797,"000000")</f>
        <v>0</v>
      </c>
      <c r="C684">
        <v>6.54</v>
      </c>
      <c r="D684">
        <f>TEXT(0.0235,"0.00%")</f>
        <v>0</v>
      </c>
      <c r="E684">
        <v>27830863</v>
      </c>
      <c r="F684">
        <v>180553804</v>
      </c>
      <c r="G684">
        <f>TEXT(0.0344,"0.00%")</f>
        <v>0</v>
      </c>
      <c r="H684">
        <f>TEXT(0.0271,"0.00%")</f>
        <v>0</v>
      </c>
      <c r="I684">
        <v>6720027247</v>
      </c>
      <c r="J684">
        <v>1.11</v>
      </c>
      <c r="K684">
        <v>6.57</v>
      </c>
      <c r="L684">
        <v>6.35</v>
      </c>
      <c r="M684">
        <v>6.39</v>
      </c>
      <c r="N684">
        <v>6.39</v>
      </c>
    </row>
    <row r="685" spans="1:14">
      <c r="A685" t="s">
        <v>697</v>
      </c>
      <c r="B685">
        <f>TEXT(603758,"000000")</f>
        <v>0</v>
      </c>
      <c r="C685">
        <v>9.6</v>
      </c>
      <c r="D685">
        <f>TEXT(0.0235,"0.00%")</f>
        <v>0</v>
      </c>
      <c r="E685">
        <v>3457067</v>
      </c>
      <c r="F685">
        <v>32890554</v>
      </c>
      <c r="G685">
        <f>TEXT(0.046900000000000004,"0.00%")</f>
        <v>0</v>
      </c>
      <c r="H685">
        <f>TEXT(0.0079,"0.00%")</f>
        <v>0</v>
      </c>
      <c r="I685">
        <v>4212451670</v>
      </c>
      <c r="J685">
        <v>1.54</v>
      </c>
      <c r="K685">
        <v>9.699999999999999</v>
      </c>
      <c r="L685">
        <v>9.26</v>
      </c>
      <c r="M685">
        <v>9.4</v>
      </c>
      <c r="N685">
        <v>9.380000000000001</v>
      </c>
    </row>
    <row r="686" spans="1:14">
      <c r="A686" t="s">
        <v>698</v>
      </c>
      <c r="B686">
        <f>TEXT(301269,"000000")</f>
        <v>0</v>
      </c>
      <c r="C686">
        <v>109.01</v>
      </c>
      <c r="D686">
        <f>TEXT(0.0235,"0.00%")</f>
        <v>0</v>
      </c>
      <c r="E686">
        <v>2420641</v>
      </c>
      <c r="F686">
        <v>261492693</v>
      </c>
      <c r="G686">
        <f>TEXT(0.024900000000000002,"0.00%")</f>
        <v>0</v>
      </c>
      <c r="H686">
        <f>TEXT(0.0308,"0.00%")</f>
        <v>0</v>
      </c>
      <c r="I686">
        <v>59186082129</v>
      </c>
      <c r="J686">
        <v>0.97</v>
      </c>
      <c r="K686">
        <v>109.1</v>
      </c>
      <c r="L686">
        <v>106.45</v>
      </c>
      <c r="M686">
        <v>106.45</v>
      </c>
      <c r="N686">
        <v>106.51</v>
      </c>
    </row>
    <row r="687" spans="1:14">
      <c r="A687" t="s">
        <v>699</v>
      </c>
      <c r="B687">
        <f>TEXT(601021,"000000")</f>
        <v>0</v>
      </c>
      <c r="C687">
        <v>56.35</v>
      </c>
      <c r="D687">
        <f>TEXT(0.023399999999999997,"0.00%")</f>
        <v>0</v>
      </c>
      <c r="E687">
        <v>3350078</v>
      </c>
      <c r="F687">
        <v>187246750</v>
      </c>
      <c r="G687">
        <f>TEXT(0.036000000000000004,"0.00%")</f>
        <v>0</v>
      </c>
      <c r="H687">
        <f>TEXT(0.0037,"0.00%")</f>
        <v>0</v>
      </c>
      <c r="I687">
        <v>55141225161</v>
      </c>
      <c r="J687">
        <v>1.12</v>
      </c>
      <c r="K687">
        <v>56.66</v>
      </c>
      <c r="L687">
        <v>54.68</v>
      </c>
      <c r="M687">
        <v>55.58</v>
      </c>
      <c r="N687">
        <v>55.06</v>
      </c>
    </row>
    <row r="688" spans="1:14">
      <c r="A688" t="s">
        <v>700</v>
      </c>
      <c r="B688">
        <f>TEXT(300401,"000000")</f>
        <v>0</v>
      </c>
      <c r="C688">
        <v>12.24</v>
      </c>
      <c r="D688">
        <f>TEXT(0.023399999999999997,"0.00%")</f>
        <v>0</v>
      </c>
      <c r="E688">
        <v>3996433</v>
      </c>
      <c r="F688">
        <v>48340873</v>
      </c>
      <c r="G688">
        <f>TEXT(0.029300000000000003,"0.00%")</f>
        <v>0</v>
      </c>
      <c r="H688">
        <f>TEXT(0.0074,"0.00%")</f>
        <v>0</v>
      </c>
      <c r="I688">
        <v>6744332497</v>
      </c>
      <c r="J688">
        <v>1.17</v>
      </c>
      <c r="K688">
        <v>12.26</v>
      </c>
      <c r="L688">
        <v>11.91</v>
      </c>
      <c r="M688">
        <v>11.97</v>
      </c>
      <c r="N688">
        <v>11.96</v>
      </c>
    </row>
    <row r="689" spans="1:14">
      <c r="A689" t="s">
        <v>701</v>
      </c>
      <c r="B689">
        <f>TEXT(603015,"000000")</f>
        <v>0</v>
      </c>
      <c r="C689">
        <v>8.75</v>
      </c>
      <c r="D689">
        <f>TEXT(0.023399999999999997,"0.00%")</f>
        <v>0</v>
      </c>
      <c r="E689">
        <v>8741543</v>
      </c>
      <c r="F689">
        <v>75713941</v>
      </c>
      <c r="G689">
        <f>TEXT(0.0421,"0.00%")</f>
        <v>0</v>
      </c>
      <c r="H689">
        <f>TEXT(0.0216,"0.00%")</f>
        <v>0</v>
      </c>
      <c r="I689">
        <v>3536916250</v>
      </c>
      <c r="J689">
        <v>1.3</v>
      </c>
      <c r="K689">
        <v>8.779999999999999</v>
      </c>
      <c r="L689">
        <v>8.42</v>
      </c>
      <c r="M689">
        <v>8.550000000000001</v>
      </c>
      <c r="N689">
        <v>8.550000000000001</v>
      </c>
    </row>
    <row r="690" spans="1:14">
      <c r="A690" t="s">
        <v>702</v>
      </c>
      <c r="B690">
        <f>TEXT(603013,"000000")</f>
        <v>0</v>
      </c>
      <c r="C690">
        <v>17.03</v>
      </c>
      <c r="D690">
        <f>TEXT(0.023399999999999997,"0.00%")</f>
        <v>0</v>
      </c>
      <c r="E690">
        <v>28884500</v>
      </c>
      <c r="F690">
        <v>490888812</v>
      </c>
      <c r="G690">
        <f>TEXT(0.08109999999999999,"0.00%")</f>
        <v>0</v>
      </c>
      <c r="H690">
        <f>TEXT(0.0565,"0.00%")</f>
        <v>0</v>
      </c>
      <c r="I690">
        <v>8730161549</v>
      </c>
      <c r="J690">
        <v>4.68</v>
      </c>
      <c r="K690">
        <v>17.7</v>
      </c>
      <c r="L690">
        <v>16.35</v>
      </c>
      <c r="M690">
        <v>17.14</v>
      </c>
      <c r="N690">
        <v>16.64</v>
      </c>
    </row>
    <row r="691" spans="1:14">
      <c r="A691" t="s">
        <v>703</v>
      </c>
      <c r="B691">
        <f>TEXT(301022,"000000")</f>
        <v>0</v>
      </c>
      <c r="C691">
        <v>32.8</v>
      </c>
      <c r="D691">
        <f>TEXT(0.023399999999999997,"0.00%")</f>
        <v>0</v>
      </c>
      <c r="E691">
        <v>915510</v>
      </c>
      <c r="F691">
        <v>29810866</v>
      </c>
      <c r="G691">
        <f>TEXT(0.0443,"0.00%")</f>
        <v>0</v>
      </c>
      <c r="H691">
        <f>TEXT(0.0281,"0.00%")</f>
        <v>0</v>
      </c>
      <c r="I691">
        <v>2099200000</v>
      </c>
      <c r="J691">
        <v>1.09</v>
      </c>
      <c r="K691">
        <v>33.29</v>
      </c>
      <c r="L691">
        <v>31.87</v>
      </c>
      <c r="M691">
        <v>31.9</v>
      </c>
      <c r="N691">
        <v>32.05</v>
      </c>
    </row>
    <row r="692" spans="1:14">
      <c r="A692" t="s">
        <v>704</v>
      </c>
      <c r="B692">
        <f>TEXT(688288,"000000")</f>
        <v>0</v>
      </c>
      <c r="C692">
        <v>22.75</v>
      </c>
      <c r="D692">
        <f>TEXT(0.023399999999999997,"0.00%")</f>
        <v>0</v>
      </c>
      <c r="E692">
        <v>608035</v>
      </c>
      <c r="F692">
        <v>13704106</v>
      </c>
      <c r="G692">
        <f>TEXT(0.049,"0.00%")</f>
        <v>0</v>
      </c>
      <c r="H692">
        <f>TEXT(0.0060999999999999995,"0.00%")</f>
        <v>0</v>
      </c>
      <c r="I692">
        <v>2282824180</v>
      </c>
      <c r="J692">
        <v>0.82</v>
      </c>
      <c r="K692">
        <v>22.99</v>
      </c>
      <c r="L692">
        <v>21.9</v>
      </c>
      <c r="M692">
        <v>22.32</v>
      </c>
      <c r="N692">
        <v>22.23</v>
      </c>
    </row>
    <row r="693" spans="1:14">
      <c r="A693" t="s">
        <v>705</v>
      </c>
      <c r="B693">
        <f>TEXT(002771,"000000")</f>
        <v>0</v>
      </c>
      <c r="C693">
        <v>12.29</v>
      </c>
      <c r="D693">
        <f>TEXT(0.0233,"0.00%")</f>
        <v>0</v>
      </c>
      <c r="E693">
        <v>5021380</v>
      </c>
      <c r="F693">
        <v>61125461</v>
      </c>
      <c r="G693">
        <f>TEXT(0.0316,"0.00%")</f>
        <v>0</v>
      </c>
      <c r="H693">
        <f>TEXT(0.0297,"0.00%")</f>
        <v>0</v>
      </c>
      <c r="I693">
        <v>2578000789</v>
      </c>
      <c r="J693">
        <v>1.08</v>
      </c>
      <c r="K693">
        <v>12.32</v>
      </c>
      <c r="L693">
        <v>11.94</v>
      </c>
      <c r="M693">
        <v>12.09</v>
      </c>
      <c r="N693">
        <v>12.01</v>
      </c>
    </row>
    <row r="694" spans="1:14">
      <c r="A694" t="s">
        <v>706</v>
      </c>
      <c r="B694">
        <f>TEXT(688658,"000000")</f>
        <v>0</v>
      </c>
      <c r="C694">
        <v>25.19</v>
      </c>
      <c r="D694">
        <f>TEXT(0.0232,"0.00%")</f>
        <v>0</v>
      </c>
      <c r="E694">
        <v>4126432</v>
      </c>
      <c r="F694">
        <v>103587637</v>
      </c>
      <c r="G694">
        <f>TEXT(0.0613,"0.00%")</f>
        <v>0</v>
      </c>
      <c r="H694">
        <f>TEXT(0.0202,"0.00%")</f>
        <v>0</v>
      </c>
      <c r="I694">
        <v>11335500000</v>
      </c>
      <c r="J694">
        <v>0.66</v>
      </c>
      <c r="K694">
        <v>25.8</v>
      </c>
      <c r="L694">
        <v>24.29</v>
      </c>
      <c r="M694">
        <v>24.62</v>
      </c>
      <c r="N694">
        <v>24.62</v>
      </c>
    </row>
    <row r="695" spans="1:14">
      <c r="A695" t="s">
        <v>707</v>
      </c>
      <c r="B695">
        <f>TEXT(600543,"000000")</f>
        <v>0</v>
      </c>
      <c r="C695">
        <v>5.29</v>
      </c>
      <c r="D695">
        <f>TEXT(0.0232,"0.00%")</f>
        <v>0</v>
      </c>
      <c r="E695">
        <v>3992661</v>
      </c>
      <c r="F695">
        <v>20948461</v>
      </c>
      <c r="G695">
        <f>TEXT(0.0329,"0.00%")</f>
        <v>0</v>
      </c>
      <c r="H695">
        <f>TEXT(0.0124,"0.00%")</f>
        <v>0</v>
      </c>
      <c r="I695">
        <v>1698724800</v>
      </c>
      <c r="J695">
        <v>1.06</v>
      </c>
      <c r="K695">
        <v>5.32</v>
      </c>
      <c r="L695">
        <v>5.15</v>
      </c>
      <c r="M695">
        <v>5.16</v>
      </c>
      <c r="N695">
        <v>5.17</v>
      </c>
    </row>
    <row r="696" spans="1:14">
      <c r="A696" t="s">
        <v>708</v>
      </c>
      <c r="B696">
        <f>TEXT(000988,"000000")</f>
        <v>0</v>
      </c>
      <c r="C696">
        <v>31.27</v>
      </c>
      <c r="D696">
        <f>TEXT(0.0232,"0.00%")</f>
        <v>0</v>
      </c>
      <c r="E696">
        <v>87791889</v>
      </c>
      <c r="F696">
        <v>2726796134</v>
      </c>
      <c r="G696">
        <f>TEXT(0.0684,"0.00%")</f>
        <v>0</v>
      </c>
      <c r="H696">
        <f>TEXT(0.0874,"0.00%")</f>
        <v>0</v>
      </c>
      <c r="I696">
        <v>31442069647</v>
      </c>
      <c r="J696">
        <v>0.95</v>
      </c>
      <c r="K696">
        <v>31.8</v>
      </c>
      <c r="L696">
        <v>29.71</v>
      </c>
      <c r="M696">
        <v>29.94</v>
      </c>
      <c r="N696">
        <v>30.56</v>
      </c>
    </row>
    <row r="697" spans="1:14">
      <c r="A697" t="s">
        <v>709</v>
      </c>
      <c r="B697">
        <f>TEXT(603963,"000000")</f>
        <v>0</v>
      </c>
      <c r="C697">
        <v>11.47</v>
      </c>
      <c r="D697">
        <f>TEXT(0.0232,"0.00%")</f>
        <v>0</v>
      </c>
      <c r="E697">
        <v>3142383</v>
      </c>
      <c r="F697">
        <v>35743068</v>
      </c>
      <c r="G697">
        <f>TEXT(0.049100000000000005,"0.00%")</f>
        <v>0</v>
      </c>
      <c r="H697">
        <f>TEXT(0.0143,"0.00%")</f>
        <v>0</v>
      </c>
      <c r="I697">
        <v>2519959000</v>
      </c>
      <c r="J697">
        <v>0.97</v>
      </c>
      <c r="K697">
        <v>11.55</v>
      </c>
      <c r="L697">
        <v>11</v>
      </c>
      <c r="M697">
        <v>11.22</v>
      </c>
      <c r="N697">
        <v>11.21</v>
      </c>
    </row>
    <row r="698" spans="1:14">
      <c r="A698" t="s">
        <v>710</v>
      </c>
      <c r="B698">
        <f>TEXT(002857,"000000")</f>
        <v>0</v>
      </c>
      <c r="C698">
        <v>20.26</v>
      </c>
      <c r="D698">
        <f>TEXT(0.0232,"0.00%")</f>
        <v>0</v>
      </c>
      <c r="E698">
        <v>1700000</v>
      </c>
      <c r="F698">
        <v>33989942</v>
      </c>
      <c r="G698">
        <f>TEXT(0.0495,"0.00%")</f>
        <v>0</v>
      </c>
      <c r="H698">
        <f>TEXT(0.013300000000000001,"0.00%")</f>
        <v>0</v>
      </c>
      <c r="I698">
        <v>2593280000</v>
      </c>
      <c r="J698">
        <v>0.57</v>
      </c>
      <c r="K698">
        <v>20.37</v>
      </c>
      <c r="L698">
        <v>19.39</v>
      </c>
      <c r="M698">
        <v>19.94</v>
      </c>
      <c r="N698">
        <v>19.8</v>
      </c>
    </row>
    <row r="699" spans="1:14">
      <c r="A699" t="s">
        <v>711</v>
      </c>
      <c r="B699">
        <f>TEXT(688566,"000000")</f>
        <v>0</v>
      </c>
      <c r="C699">
        <v>34.95</v>
      </c>
      <c r="D699">
        <f>TEXT(0.0231,"0.00%")</f>
        <v>0</v>
      </c>
      <c r="E699">
        <v>2721902</v>
      </c>
      <c r="F699">
        <v>96832051</v>
      </c>
      <c r="G699">
        <f>TEXT(0.0796,"0.00%")</f>
        <v>0</v>
      </c>
      <c r="H699">
        <f>TEXT(0.0146,"0.00%")</f>
        <v>0</v>
      </c>
      <c r="I699">
        <v>6533608920</v>
      </c>
      <c r="J699">
        <v>1.18</v>
      </c>
      <c r="K699">
        <v>36.75</v>
      </c>
      <c r="L699">
        <v>34.03</v>
      </c>
      <c r="M699">
        <v>34.15</v>
      </c>
      <c r="N699">
        <v>34.16</v>
      </c>
    </row>
    <row r="700" spans="1:14">
      <c r="A700" t="s">
        <v>712</v>
      </c>
      <c r="B700">
        <f>TEXT(603309,"000000")</f>
        <v>0</v>
      </c>
      <c r="C700">
        <v>19.51</v>
      </c>
      <c r="D700">
        <f>TEXT(0.0231,"0.00%")</f>
        <v>0</v>
      </c>
      <c r="E700">
        <v>2554790</v>
      </c>
      <c r="F700">
        <v>49773139</v>
      </c>
      <c r="G700">
        <f>TEXT(0.043,"0.00%")</f>
        <v>0</v>
      </c>
      <c r="H700">
        <f>TEXT(0.0088,"0.00%")</f>
        <v>0</v>
      </c>
      <c r="I700">
        <v>5722716473</v>
      </c>
      <c r="J700">
        <v>1.06</v>
      </c>
      <c r="K700">
        <v>19.78</v>
      </c>
      <c r="L700">
        <v>18.96</v>
      </c>
      <c r="M700">
        <v>19.5</v>
      </c>
      <c r="N700">
        <v>19.07</v>
      </c>
    </row>
    <row r="701" spans="1:14">
      <c r="A701" t="s">
        <v>713</v>
      </c>
      <c r="B701">
        <f>TEXT(600081,"000000")</f>
        <v>0</v>
      </c>
      <c r="C701">
        <v>11.53</v>
      </c>
      <c r="D701">
        <f>TEXT(0.0231,"0.00%")</f>
        <v>0</v>
      </c>
      <c r="E701">
        <v>6829959</v>
      </c>
      <c r="F701">
        <v>78058762</v>
      </c>
      <c r="G701">
        <f>TEXT(0.047,"0.00%")</f>
        <v>0</v>
      </c>
      <c r="H701">
        <f>TEXT(0.0218,"0.00%")</f>
        <v>0</v>
      </c>
      <c r="I701">
        <v>5423929974</v>
      </c>
      <c r="J701">
        <v>2.25</v>
      </c>
      <c r="K701">
        <v>11.65</v>
      </c>
      <c r="L701">
        <v>11.12</v>
      </c>
      <c r="M701">
        <v>11.27</v>
      </c>
      <c r="N701">
        <v>11.27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2023-05-27T03:14:51Z</dcterms:created>
  <dcterms:modified xsi:type="dcterms:W3CDTF">2023-05-27T03:14:51Z</dcterms:modified>
</cp:coreProperties>
</file>