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45" windowWidth="18795" windowHeight="7890" activeTab="5"/>
  </bookViews>
  <sheets>
    <sheet name="2011revand2012" sheetId="1" r:id="rId1"/>
    <sheet name="ethanol" sheetId="2" r:id="rId2"/>
    <sheet name="biodiesel" sheetId="3" r:id="rId3"/>
    <sheet name="Productioncapacity" sheetId="4" r:id="rId4"/>
    <sheet name="Figure" sheetId="5" r:id="rId5"/>
    <sheet name="Table" sheetId="6" r:id="rId6"/>
  </sheets>
  <definedNames>
    <definedName name="_edn1" localSheetId="1">ethanol!$J$43</definedName>
    <definedName name="_ednref1" localSheetId="1">ethanol!$J$39</definedName>
  </definedNames>
  <calcPr calcId="145621"/>
</workbook>
</file>

<file path=xl/calcChain.xml><?xml version="1.0" encoding="utf-8"?>
<calcChain xmlns="http://schemas.openxmlformats.org/spreadsheetml/2006/main">
  <c r="I20" i="6" l="1"/>
  <c r="N7" i="5"/>
  <c r="C6" i="6" l="1"/>
  <c r="R21" i="2"/>
  <c r="Q21" i="2"/>
  <c r="D8" i="6" l="1"/>
  <c r="C20" i="6"/>
  <c r="D21" i="6"/>
  <c r="C21" i="6"/>
  <c r="E13" i="6"/>
  <c r="D20" i="6"/>
  <c r="D13" i="6"/>
  <c r="C13" i="6"/>
  <c r="C8" i="6"/>
  <c r="D3" i="6"/>
  <c r="C3" i="6"/>
  <c r="I13" i="6"/>
  <c r="I26" i="6"/>
  <c r="I23" i="6"/>
  <c r="I21" i="6"/>
  <c r="I18" i="6"/>
  <c r="I17" i="6"/>
  <c r="I8" i="6"/>
  <c r="I16" i="6"/>
  <c r="I15" i="6"/>
  <c r="I14" i="6"/>
  <c r="I12" i="6"/>
  <c r="I9" i="6"/>
  <c r="I11" i="6"/>
  <c r="I10" i="6"/>
  <c r="I7" i="6"/>
  <c r="I6" i="6"/>
  <c r="I5" i="6"/>
  <c r="I4" i="6"/>
  <c r="I3" i="6"/>
  <c r="C26" i="6"/>
  <c r="C25" i="6"/>
  <c r="C23" i="6"/>
  <c r="C18" i="6"/>
  <c r="C17" i="6"/>
  <c r="C16" i="6"/>
  <c r="C15" i="6"/>
  <c r="C14" i="6"/>
  <c r="C12" i="6"/>
  <c r="C9" i="6"/>
  <c r="C11" i="6"/>
  <c r="C10" i="6"/>
  <c r="C7" i="6"/>
  <c r="C5" i="6"/>
  <c r="C4" i="6"/>
  <c r="S6" i="5"/>
  <c r="M6" i="5"/>
  <c r="N6" i="5"/>
  <c r="O6" i="5"/>
  <c r="E21" i="6" l="1"/>
  <c r="F13" i="6"/>
  <c r="B26" i="6"/>
  <c r="E26" i="6" s="1"/>
  <c r="F26" i="6" s="1"/>
  <c r="B25" i="6"/>
  <c r="E25" i="6" s="1"/>
  <c r="F25" i="6" s="1"/>
  <c r="B24" i="6"/>
  <c r="E24" i="6" s="1"/>
  <c r="F24" i="6" s="1"/>
  <c r="B23" i="6"/>
  <c r="E23" i="6" s="1"/>
  <c r="F23" i="6" s="1"/>
  <c r="B21" i="6"/>
  <c r="B20" i="6"/>
  <c r="B18" i="6"/>
  <c r="E18" i="6" s="1"/>
  <c r="F18" i="6" s="1"/>
  <c r="B17" i="6"/>
  <c r="E17" i="6" s="1"/>
  <c r="F17" i="6" s="1"/>
  <c r="B8" i="6"/>
  <c r="B16" i="6"/>
  <c r="E16" i="6" s="1"/>
  <c r="F16" i="6" s="1"/>
  <c r="B15" i="6"/>
  <c r="E15" i="6" s="1"/>
  <c r="F15" i="6" s="1"/>
  <c r="B14" i="6"/>
  <c r="E14" i="6" s="1"/>
  <c r="F14" i="6" s="1"/>
  <c r="B12" i="6"/>
  <c r="E12" i="6" s="1"/>
  <c r="F12" i="6" s="1"/>
  <c r="B9" i="6"/>
  <c r="E9" i="6" s="1"/>
  <c r="F9" i="6" s="1"/>
  <c r="B11" i="6"/>
  <c r="E11" i="6" s="1"/>
  <c r="F11" i="6" s="1"/>
  <c r="B10" i="6"/>
  <c r="E10" i="6" s="1"/>
  <c r="F10" i="6" s="1"/>
  <c r="B7" i="6"/>
  <c r="E7" i="6" s="1"/>
  <c r="F7" i="6" s="1"/>
  <c r="B6" i="6"/>
  <c r="E6" i="6" s="1"/>
  <c r="F6" i="6" s="1"/>
  <c r="B5" i="6"/>
  <c r="E5" i="6" s="1"/>
  <c r="F5" i="6" s="1"/>
  <c r="B4" i="6"/>
  <c r="E4" i="6" s="1"/>
  <c r="F4" i="6" s="1"/>
  <c r="B3" i="6"/>
  <c r="O66" i="3"/>
  <c r="P66" i="3"/>
  <c r="O67" i="3"/>
  <c r="P67" i="3"/>
  <c r="O68" i="3"/>
  <c r="P68" i="3"/>
  <c r="O69" i="3"/>
  <c r="P69" i="3"/>
  <c r="M66" i="3"/>
  <c r="N66" i="3"/>
  <c r="M67" i="3"/>
  <c r="N67" i="3"/>
  <c r="M68" i="3"/>
  <c r="N68" i="3"/>
  <c r="M69" i="3"/>
  <c r="N69" i="3"/>
  <c r="K66" i="3"/>
  <c r="L66" i="3"/>
  <c r="K67" i="3"/>
  <c r="L67" i="3"/>
  <c r="K68" i="3"/>
  <c r="L68" i="3"/>
  <c r="K69" i="3"/>
  <c r="L69" i="3"/>
  <c r="J66" i="3"/>
  <c r="J67" i="3"/>
  <c r="J68" i="3"/>
  <c r="J69" i="3"/>
  <c r="N5" i="5"/>
  <c r="O5" i="5"/>
  <c r="M5" i="5"/>
  <c r="O4" i="5"/>
  <c r="O7" i="5" s="1"/>
  <c r="N61" i="3"/>
  <c r="N60" i="3"/>
  <c r="L60" i="3"/>
  <c r="L61" i="3"/>
  <c r="K60" i="3"/>
  <c r="K61" i="3"/>
  <c r="S8" i="3"/>
  <c r="S9" i="3"/>
  <c r="S10" i="3"/>
  <c r="S11" i="3"/>
  <c r="S12" i="3"/>
  <c r="R8" i="3"/>
  <c r="R9" i="3"/>
  <c r="R10" i="3"/>
  <c r="R11" i="3"/>
  <c r="R12" i="3"/>
  <c r="R7" i="3"/>
  <c r="N4" i="5" s="1"/>
  <c r="S7" i="3"/>
  <c r="Q8" i="3"/>
  <c r="Q9" i="3"/>
  <c r="Q10" i="3"/>
  <c r="Q11" i="3"/>
  <c r="Q12" i="3"/>
  <c r="Q7" i="3"/>
  <c r="M4" i="5" s="1"/>
  <c r="M7" i="5" s="1"/>
  <c r="F20" i="6" l="1"/>
  <c r="E8" i="6"/>
  <c r="F8" i="6" s="1"/>
  <c r="E3" i="6"/>
  <c r="F3" i="6" s="1"/>
  <c r="F21" i="6"/>
  <c r="E20" i="6"/>
  <c r="Q22" i="2"/>
  <c r="Q23" i="2"/>
  <c r="Q24" i="2"/>
  <c r="Q26" i="2"/>
  <c r="S5" i="5" l="1"/>
  <c r="S4" i="5"/>
  <c r="S26" i="2"/>
  <c r="S25" i="2"/>
  <c r="S24" i="2"/>
  <c r="S21" i="2" s="1"/>
  <c r="S23" i="2"/>
  <c r="S22" i="2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K14" i="3"/>
  <c r="J18" i="3" s="1"/>
  <c r="J20" i="3"/>
  <c r="J21" i="3"/>
  <c r="J24" i="3"/>
  <c r="J25" i="3"/>
  <c r="J28" i="3"/>
  <c r="J29" i="3"/>
  <c r="J32" i="3"/>
  <c r="J33" i="3"/>
  <c r="J36" i="3"/>
  <c r="J37" i="3"/>
  <c r="J40" i="3"/>
  <c r="J41" i="3"/>
  <c r="J43" i="3"/>
  <c r="V11" i="3" s="1"/>
  <c r="J44" i="3"/>
  <c r="J45" i="3"/>
  <c r="J47" i="3"/>
  <c r="J48" i="3"/>
  <c r="J49" i="3"/>
  <c r="J51" i="3"/>
  <c r="J52" i="3"/>
  <c r="J53" i="3"/>
  <c r="J55" i="3"/>
  <c r="J56" i="3"/>
  <c r="J57" i="3"/>
  <c r="J59" i="3"/>
  <c r="J60" i="3"/>
  <c r="J61" i="3"/>
  <c r="M17" i="3"/>
  <c r="P61" i="3" l="1"/>
  <c r="O61" i="3"/>
  <c r="P60" i="3"/>
  <c r="O60" i="3"/>
  <c r="J17" i="3"/>
  <c r="V7" i="3" s="1"/>
  <c r="J39" i="3"/>
  <c r="J35" i="3"/>
  <c r="J31" i="3"/>
  <c r="J27" i="3"/>
  <c r="J23" i="3"/>
  <c r="J19" i="3"/>
  <c r="V8" i="3" s="1"/>
  <c r="J58" i="3"/>
  <c r="J54" i="3"/>
  <c r="J50" i="3"/>
  <c r="J46" i="3"/>
  <c r="J42" i="3"/>
  <c r="V10" i="3" s="1"/>
  <c r="J38" i="3"/>
  <c r="J34" i="3"/>
  <c r="J30" i="3"/>
  <c r="J26" i="3"/>
  <c r="J22" i="3"/>
  <c r="R20" i="1"/>
  <c r="V9" i="3" l="1"/>
  <c r="R19" i="1"/>
  <c r="R18" i="1"/>
  <c r="R17" i="1"/>
  <c r="R14" i="1"/>
  <c r="R13" i="1"/>
  <c r="R12" i="1"/>
  <c r="R26" i="1" l="1"/>
  <c r="N17" i="3" l="1"/>
  <c r="Q19" i="3" s="1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42" i="3"/>
  <c r="G20" i="1" l="1"/>
  <c r="Q12" i="1"/>
  <c r="G11" i="1"/>
  <c r="C7" i="5"/>
  <c r="D7" i="5"/>
  <c r="E7" i="5"/>
  <c r="F7" i="5"/>
  <c r="G7" i="5"/>
  <c r="H7" i="5"/>
  <c r="I7" i="5"/>
  <c r="J7" i="5"/>
  <c r="K7" i="5"/>
  <c r="L7" i="5"/>
  <c r="B7" i="5"/>
  <c r="R24" i="2"/>
  <c r="R23" i="2"/>
  <c r="R22" i="2"/>
  <c r="R26" i="2"/>
  <c r="O28" i="4"/>
  <c r="O23" i="4"/>
  <c r="D27" i="1"/>
  <c r="C27" i="1"/>
  <c r="D26" i="1"/>
  <c r="C26" i="1"/>
  <c r="D25" i="1"/>
  <c r="C25" i="1"/>
  <c r="D24" i="1"/>
  <c r="C24" i="1"/>
  <c r="I27" i="1"/>
  <c r="I26" i="1"/>
  <c r="I25" i="1"/>
  <c r="I24" i="1"/>
  <c r="O27" i="1"/>
  <c r="N27" i="1"/>
  <c r="O26" i="1"/>
  <c r="N26" i="1"/>
  <c r="O25" i="1"/>
  <c r="N25" i="1"/>
  <c r="O24" i="1"/>
  <c r="N24" i="1"/>
  <c r="P19" i="1"/>
  <c r="J21" i="1"/>
  <c r="L34" i="3"/>
  <c r="P22" i="1"/>
  <c r="R22" i="1" s="1"/>
  <c r="P14" i="1"/>
  <c r="K18" i="1"/>
  <c r="K14" i="1"/>
  <c r="K10" i="1"/>
  <c r="P21" i="1"/>
  <c r="R21" i="1" s="1"/>
  <c r="P18" i="1"/>
  <c r="P17" i="1"/>
  <c r="P20" i="1"/>
  <c r="P16" i="1"/>
  <c r="P15" i="1"/>
  <c r="P12" i="1"/>
  <c r="P13" i="1"/>
  <c r="P11" i="1"/>
  <c r="Q11" i="1" s="1"/>
  <c r="P10" i="1"/>
  <c r="P9" i="1"/>
  <c r="P8" i="1"/>
  <c r="P7" i="1"/>
  <c r="P6" i="1"/>
  <c r="K22" i="1"/>
  <c r="G22" i="1" s="1"/>
  <c r="K21" i="1"/>
  <c r="G21" i="1" s="1"/>
  <c r="K19" i="1"/>
  <c r="K17" i="1"/>
  <c r="K16" i="1"/>
  <c r="K15" i="1"/>
  <c r="G15" i="1" s="1"/>
  <c r="K13" i="1"/>
  <c r="G13" i="1" s="1"/>
  <c r="K12" i="1"/>
  <c r="K11" i="1"/>
  <c r="K9" i="1"/>
  <c r="R9" i="1" s="1"/>
  <c r="K8" i="1"/>
  <c r="R8" i="1" s="1"/>
  <c r="K7" i="1"/>
  <c r="K6" i="1"/>
  <c r="P5" i="1"/>
  <c r="K5" i="1"/>
  <c r="G5" i="1" s="1"/>
  <c r="R6" i="1" l="1"/>
  <c r="R7" i="1"/>
  <c r="J26" i="1"/>
  <c r="S26" i="1"/>
  <c r="T26" i="1" s="1"/>
  <c r="G17" i="1"/>
  <c r="R5" i="1"/>
  <c r="R10" i="1"/>
  <c r="G6" i="1"/>
  <c r="Q5" i="1"/>
  <c r="R27" i="1"/>
  <c r="G10" i="1"/>
  <c r="Q9" i="1"/>
  <c r="Q14" i="1"/>
  <c r="G14" i="1"/>
  <c r="G9" i="1"/>
  <c r="Q22" i="1"/>
  <c r="Q8" i="1"/>
  <c r="Q18" i="1"/>
  <c r="R15" i="1"/>
  <c r="G19" i="1"/>
  <c r="G8" i="1"/>
  <c r="Q21" i="1"/>
  <c r="Q6" i="1"/>
  <c r="Q17" i="1"/>
  <c r="G18" i="1"/>
  <c r="R16" i="1"/>
  <c r="G16" i="1"/>
  <c r="Q16" i="1"/>
  <c r="Q15" i="1"/>
  <c r="G12" i="1"/>
  <c r="Q13" i="1"/>
  <c r="R11" i="1"/>
  <c r="Q10" i="1"/>
  <c r="G7" i="1"/>
  <c r="Q7" i="1"/>
  <c r="J25" i="1"/>
  <c r="J27" i="1"/>
  <c r="J24" i="1"/>
  <c r="K29" i="3"/>
  <c r="K17" i="3"/>
  <c r="U7" i="3" s="1"/>
  <c r="L28" i="3"/>
  <c r="L48" i="3"/>
  <c r="L56" i="3"/>
  <c r="K36" i="3"/>
  <c r="K44" i="3"/>
  <c r="L18" i="3"/>
  <c r="L27" i="3"/>
  <c r="L35" i="3"/>
  <c r="K48" i="3"/>
  <c r="K52" i="3"/>
  <c r="K56" i="3"/>
  <c r="K27" i="3"/>
  <c r="K35" i="3"/>
  <c r="K43" i="3"/>
  <c r="U11" i="3" s="1"/>
  <c r="L17" i="3"/>
  <c r="T7" i="3" s="1"/>
  <c r="L26" i="3"/>
  <c r="L42" i="3"/>
  <c r="L47" i="3"/>
  <c r="L51" i="3"/>
  <c r="L55" i="3"/>
  <c r="L59" i="3"/>
  <c r="K26" i="3"/>
  <c r="K34" i="3"/>
  <c r="K42" i="3"/>
  <c r="L22" i="3"/>
  <c r="L25" i="3"/>
  <c r="L33" i="3"/>
  <c r="L41" i="3"/>
  <c r="K47" i="3"/>
  <c r="K51" i="3"/>
  <c r="K55" i="3"/>
  <c r="K59" i="3"/>
  <c r="P59" i="3" s="1"/>
  <c r="L46" i="3"/>
  <c r="K21" i="3"/>
  <c r="L32" i="3"/>
  <c r="K37" i="3"/>
  <c r="L19" i="3"/>
  <c r="T8" i="3" s="1"/>
  <c r="L36" i="3"/>
  <c r="L44" i="3"/>
  <c r="L52" i="3"/>
  <c r="K28" i="3"/>
  <c r="U10" i="3" s="1"/>
  <c r="K25" i="3"/>
  <c r="K33" i="3"/>
  <c r="K41" i="3"/>
  <c r="L24" i="3"/>
  <c r="L40" i="3"/>
  <c r="L50" i="3"/>
  <c r="L54" i="3"/>
  <c r="L58" i="3"/>
  <c r="K24" i="3"/>
  <c r="K32" i="3"/>
  <c r="K40" i="3"/>
  <c r="K20" i="3"/>
  <c r="L23" i="3"/>
  <c r="L31" i="3"/>
  <c r="L39" i="3"/>
  <c r="K46" i="3"/>
  <c r="K50" i="3"/>
  <c r="K54" i="3"/>
  <c r="K58" i="3"/>
  <c r="K23" i="3"/>
  <c r="K31" i="3"/>
  <c r="K39" i="3"/>
  <c r="K19" i="3"/>
  <c r="U8" i="3" s="1"/>
  <c r="L21" i="3"/>
  <c r="L30" i="3"/>
  <c r="L38" i="3"/>
  <c r="L45" i="3"/>
  <c r="L49" i="3"/>
  <c r="L53" i="3"/>
  <c r="L57" i="3"/>
  <c r="K22" i="3"/>
  <c r="K30" i="3"/>
  <c r="K38" i="3"/>
  <c r="K18" i="3"/>
  <c r="L20" i="3"/>
  <c r="L29" i="3"/>
  <c r="L37" i="3"/>
  <c r="K45" i="3"/>
  <c r="K49" i="3"/>
  <c r="K53" i="3"/>
  <c r="K57" i="3"/>
  <c r="L43" i="3"/>
  <c r="T11" i="3" s="1"/>
  <c r="T9" i="3" l="1"/>
  <c r="T10" i="3"/>
  <c r="U9" i="3"/>
  <c r="O24" i="3"/>
  <c r="P24" i="3"/>
  <c r="O51" i="3"/>
  <c r="P51" i="3"/>
  <c r="P49" i="3"/>
  <c r="O49" i="3"/>
  <c r="P58" i="3"/>
  <c r="O58" i="3"/>
  <c r="O40" i="3"/>
  <c r="P40" i="3"/>
  <c r="P41" i="3"/>
  <c r="O41" i="3"/>
  <c r="P37" i="3"/>
  <c r="O37" i="3"/>
  <c r="O59" i="3"/>
  <c r="P42" i="3"/>
  <c r="O42" i="3"/>
  <c r="P27" i="3"/>
  <c r="O27" i="3"/>
  <c r="P36" i="3"/>
  <c r="O36" i="3"/>
  <c r="P17" i="3"/>
  <c r="O17" i="3"/>
  <c r="P38" i="3"/>
  <c r="O38" i="3"/>
  <c r="O31" i="3"/>
  <c r="P31" i="3"/>
  <c r="P21" i="3"/>
  <c r="O21" i="3"/>
  <c r="P26" i="3"/>
  <c r="O26" i="3"/>
  <c r="O43" i="3"/>
  <c r="P43" i="3"/>
  <c r="P53" i="3"/>
  <c r="O53" i="3"/>
  <c r="O45" i="3"/>
  <c r="P45" i="3"/>
  <c r="P18" i="3"/>
  <c r="O18" i="3"/>
  <c r="P39" i="3"/>
  <c r="O39" i="3"/>
  <c r="P54" i="3"/>
  <c r="O54" i="3"/>
  <c r="P32" i="3"/>
  <c r="O32" i="3"/>
  <c r="P33" i="3"/>
  <c r="O33" i="3"/>
  <c r="O55" i="3"/>
  <c r="P55" i="3"/>
  <c r="P34" i="3"/>
  <c r="O34" i="3"/>
  <c r="P56" i="3"/>
  <c r="O56" i="3"/>
  <c r="P29" i="3"/>
  <c r="O29" i="3"/>
  <c r="P57" i="3"/>
  <c r="O57" i="3"/>
  <c r="P50" i="3"/>
  <c r="O50" i="3"/>
  <c r="P25" i="3"/>
  <c r="O25" i="3"/>
  <c r="P52" i="3"/>
  <c r="O52" i="3"/>
  <c r="P30" i="3"/>
  <c r="O30" i="3"/>
  <c r="P23" i="3"/>
  <c r="O23" i="3"/>
  <c r="P46" i="3"/>
  <c r="O46" i="3"/>
  <c r="P20" i="3"/>
  <c r="O20" i="3"/>
  <c r="P28" i="3"/>
  <c r="O28" i="3"/>
  <c r="P47" i="3"/>
  <c r="O47" i="3"/>
  <c r="P35" i="3"/>
  <c r="O35" i="3"/>
  <c r="P48" i="3"/>
  <c r="O48" i="3"/>
  <c r="O44" i="3"/>
  <c r="P44" i="3"/>
  <c r="P22" i="3"/>
  <c r="O22" i="3"/>
  <c r="O19" i="3"/>
  <c r="P19" i="3"/>
</calcChain>
</file>

<file path=xl/sharedStrings.xml><?xml version="1.0" encoding="utf-8"?>
<sst xmlns="http://schemas.openxmlformats.org/spreadsheetml/2006/main" count="394" uniqueCount="162">
  <si>
    <t>COUNTRY</t>
  </si>
  <si>
    <t>Fuel Ethanol</t>
  </si>
  <si>
    <t>Biodiesel</t>
  </si>
  <si>
    <t>Total</t>
  </si>
  <si>
    <t>(billion litres)</t>
  </si>
  <si>
    <t>United States</t>
  </si>
  <si>
    <t>Brazil</t>
  </si>
  <si>
    <t>Germany</t>
  </si>
  <si>
    <t>Argentina</t>
  </si>
  <si>
    <t>France</t>
  </si>
  <si>
    <t>China</t>
  </si>
  <si>
    <t>Canada</t>
  </si>
  <si>
    <t>Indonesia</t>
  </si>
  <si>
    <t>Spain</t>
  </si>
  <si>
    <t>Thailand</t>
  </si>
  <si>
    <t>Belgium</t>
  </si>
  <si>
    <t>The Netherlands</t>
  </si>
  <si>
    <t>Italy</t>
  </si>
  <si>
    <t>Colombia</t>
  </si>
  <si>
    <t>Austria</t>
  </si>
  <si>
    <t>World Total</t>
  </si>
  <si>
    <t>EU Total</t>
  </si>
  <si>
    <t>TABLE R4 BIOFUEL PRODUCTION IN TOP 15 COUNTRIES PLUS EU, 2011</t>
  </si>
  <si>
    <t>TABLE R4 BIOFUEL PRODUCTION IN TOP 15 COUNTRIES PLUS EU, 2012 preliminary</t>
  </si>
  <si>
    <t>Fuel Ethanol: World Production, by Country (1000 cubic metres)</t>
  </si>
  <si>
    <t xml:space="preserve">               </t>
  </si>
  <si>
    <t xml:space="preserve">Austria        </t>
  </si>
  <si>
    <t xml:space="preserve">Belgium        </t>
  </si>
  <si>
    <t xml:space="preserve">Czech Rep      </t>
  </si>
  <si>
    <t xml:space="preserve">Finland        </t>
  </si>
  <si>
    <t xml:space="preserve">France         </t>
  </si>
  <si>
    <t xml:space="preserve">Germany        </t>
  </si>
  <si>
    <t xml:space="preserve">Hungary        </t>
  </si>
  <si>
    <t xml:space="preserve">Ireland        </t>
  </si>
  <si>
    <t xml:space="preserve">Italy          </t>
  </si>
  <si>
    <t xml:space="preserve">Latvia         </t>
  </si>
  <si>
    <t xml:space="preserve">Lithuania      </t>
  </si>
  <si>
    <t xml:space="preserve">Netherlands    </t>
  </si>
  <si>
    <t xml:space="preserve">Poland         </t>
  </si>
  <si>
    <t xml:space="preserve">Romania        </t>
  </si>
  <si>
    <t xml:space="preserve">Slovakia       </t>
  </si>
  <si>
    <t xml:space="preserve">Spain          </t>
  </si>
  <si>
    <t xml:space="preserve">Sweden         </t>
  </si>
  <si>
    <t xml:space="preserve">U.K.           </t>
  </si>
  <si>
    <t xml:space="preserve">        </t>
  </si>
  <si>
    <t xml:space="preserve">EU             </t>
  </si>
  <si>
    <t xml:space="preserve">Other Europe   </t>
  </si>
  <si>
    <t xml:space="preserve">Europe         </t>
  </si>
  <si>
    <t xml:space="preserve">Malawi         </t>
  </si>
  <si>
    <t xml:space="preserve">Swaziland      </t>
  </si>
  <si>
    <t xml:space="preserve">Other Africa   </t>
  </si>
  <si>
    <t xml:space="preserve">Africa         </t>
  </si>
  <si>
    <t xml:space="preserve">Canada         </t>
  </si>
  <si>
    <t xml:space="preserve">Mexico         </t>
  </si>
  <si>
    <t xml:space="preserve">U.S.A.         </t>
  </si>
  <si>
    <t>Other N&amp;C America</t>
  </si>
  <si>
    <t xml:space="preserve">N &amp; C America  </t>
  </si>
  <si>
    <t xml:space="preserve">Argentina      </t>
  </si>
  <si>
    <t xml:space="preserve">Brazil         </t>
  </si>
  <si>
    <t xml:space="preserve">Colombia       </t>
  </si>
  <si>
    <t xml:space="preserve">Peru           </t>
  </si>
  <si>
    <t>Other S. America</t>
  </si>
  <si>
    <t xml:space="preserve">South America  </t>
  </si>
  <si>
    <t xml:space="preserve">China          </t>
  </si>
  <si>
    <t xml:space="preserve">India          </t>
  </si>
  <si>
    <t xml:space="preserve">Indonesia      </t>
  </si>
  <si>
    <t xml:space="preserve">Japan          </t>
  </si>
  <si>
    <t xml:space="preserve">Pakistan       </t>
  </si>
  <si>
    <t xml:space="preserve">Philippines    </t>
  </si>
  <si>
    <t xml:space="preserve">Thailand       </t>
  </si>
  <si>
    <t xml:space="preserve">Other Asia     </t>
  </si>
  <si>
    <t xml:space="preserve">Asia           </t>
  </si>
  <si>
    <t xml:space="preserve">Australia      </t>
  </si>
  <si>
    <t xml:space="preserve">Oceania        </t>
  </si>
  <si>
    <t xml:space="preserve">WORLD          </t>
  </si>
  <si>
    <t>Biodiesel [FAME] : World Production, by Country (1000 T)</t>
  </si>
  <si>
    <t xml:space="preserve">Denmark        </t>
  </si>
  <si>
    <t xml:space="preserve">Portugal       </t>
  </si>
  <si>
    <t xml:space="preserve">Slovenia       </t>
  </si>
  <si>
    <t xml:space="preserve">Albania        </t>
  </si>
  <si>
    <t xml:space="preserve">Belarus        </t>
  </si>
  <si>
    <t xml:space="preserve">other Europe   </t>
  </si>
  <si>
    <t>other N &amp; C Am.</t>
  </si>
  <si>
    <t xml:space="preserve">N &amp; C Am.      </t>
  </si>
  <si>
    <t>other S. America</t>
  </si>
  <si>
    <t xml:space="preserve">S. America     </t>
  </si>
  <si>
    <t xml:space="preserve">Korea,South    </t>
  </si>
  <si>
    <t xml:space="preserve">Malaysia       </t>
  </si>
  <si>
    <t xml:space="preserve">Singapore      </t>
  </si>
  <si>
    <t xml:space="preserve">Taiwan         </t>
  </si>
  <si>
    <t xml:space="preserve">other Oceania  </t>
  </si>
  <si>
    <t>1 tonne biodiesel</t>
  </si>
  <si>
    <t>1,136 liters</t>
  </si>
  <si>
    <t>Factor</t>
  </si>
  <si>
    <t>tonnes</t>
  </si>
  <si>
    <t>India</t>
  </si>
  <si>
    <t>2012 REN 21</t>
  </si>
  <si>
    <t>2013 REN 21</t>
  </si>
  <si>
    <t>US % WORLD</t>
  </si>
  <si>
    <t>BRAZIL % WORLD</t>
  </si>
  <si>
    <t>GERMANY % WORLD</t>
  </si>
  <si>
    <t>EU % WORLD</t>
  </si>
  <si>
    <t xml:space="preserve">TABLE R4 BIOFUEL PRODUCTION IN TOP 15 COUNTRIES PLUS EU, 2011 revised </t>
  </si>
  <si>
    <t>2012 GSR for 2011</t>
  </si>
  <si>
    <t>2013 GSR for 2011</t>
  </si>
  <si>
    <t>2013 GSR for 2012 (preliminary)</t>
  </si>
  <si>
    <t>WORLD</t>
  </si>
  <si>
    <t>EUROPE</t>
  </si>
  <si>
    <t>AMERICAS</t>
  </si>
  <si>
    <t>ASIA</t>
  </si>
  <si>
    <t>OCEANIA</t>
  </si>
  <si>
    <t>Biodiesel, Bi litres</t>
  </si>
  <si>
    <t>Ethanol, Billion litres</t>
  </si>
  <si>
    <t>FAO</t>
  </si>
  <si>
    <t>Licht's</t>
  </si>
  <si>
    <t>liter/ton</t>
  </si>
  <si>
    <t>liters</t>
  </si>
  <si>
    <t>Europe</t>
  </si>
  <si>
    <t>US</t>
  </si>
  <si>
    <t>Total annual production capacity of the plants that NBB has figures for is approximately 2.714 billion gallons.</t>
  </si>
  <si>
    <t>b gal</t>
  </si>
  <si>
    <t>b L</t>
  </si>
  <si>
    <t>Please spell out this caveat</t>
  </si>
  <si>
    <t>AFRICA</t>
  </si>
  <si>
    <t>Year</t>
  </si>
  <si>
    <t>Comparison with volumes produced in 2011</t>
  </si>
  <si>
    <t>Prelim vs actual</t>
  </si>
  <si>
    <t>Revised from GSR 2012 preliminary</t>
  </si>
  <si>
    <t>World</t>
  </si>
  <si>
    <t>l/t</t>
  </si>
  <si>
    <t>2012 Ranking from ColH order</t>
  </si>
  <si>
    <t>2012 Ranking</t>
  </si>
  <si>
    <t>Addition</t>
  </si>
  <si>
    <t>-0.34</t>
  </si>
  <si>
    <t>errors in earlier sheet now amended</t>
  </si>
  <si>
    <t>S Africa</t>
  </si>
  <si>
    <t>Guatamala</t>
  </si>
  <si>
    <t>Paraguay</t>
  </si>
  <si>
    <t>S Korea</t>
  </si>
  <si>
    <t>Peru</t>
  </si>
  <si>
    <t>Other</t>
  </si>
  <si>
    <t>BIODIESEL</t>
  </si>
  <si>
    <t xml:space="preserve">BIODIESEL </t>
  </si>
  <si>
    <t>Comparison with total volumes produced in 2012</t>
  </si>
  <si>
    <t>Poland</t>
  </si>
  <si>
    <t>Australia</t>
  </si>
  <si>
    <t>Updated</t>
  </si>
  <si>
    <t>EU-27</t>
  </si>
  <si>
    <t>No change</t>
  </si>
  <si>
    <t>000 l</t>
  </si>
  <si>
    <t>210 M t from non-grain</t>
  </si>
  <si>
    <t>EU</t>
  </si>
  <si>
    <t>U.S.A.</t>
  </si>
  <si>
    <t>Singapore</t>
  </si>
  <si>
    <t>TOTAL</t>
  </si>
  <si>
    <t>1000t</t>
  </si>
  <si>
    <t>Density</t>
  </si>
  <si>
    <t>% change</t>
  </si>
  <si>
    <t>HVO</t>
  </si>
  <si>
    <t>Ethanol</t>
  </si>
  <si>
    <t xml:space="preserve">Biodiesel </t>
  </si>
  <si>
    <t>HVO less then EU cause of 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</si>
</sst>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Cambria"/>
      <family val="1"/>
    </font>
    <font>
      <sz val="9"/>
      <color theme="1"/>
      <name val="Cambria"/>
      <family val="1"/>
    </font>
    <font>
      <b/>
      <sz val="13"/>
      <color theme="1"/>
      <name val="Arial"/>
      <family val="2"/>
    </font>
    <font>
      <sz val="10"/>
      <color rgb="FF2E2E2E"/>
      <name val="Arial Unicode MS"/>
      <family val="2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Verdana"/>
      <family val="2"/>
    </font>
    <font>
      <b/>
      <sz val="9"/>
      <color rgb="FF00000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b/>
      <sz val="9"/>
      <color rgb="FF000000"/>
      <name val="Cambria"/>
      <family val="1"/>
    </font>
    <font>
      <sz val="9"/>
      <color rgb="FF000000"/>
      <name val="Cambria"/>
      <family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rgb="FF000000"/>
      <name val="Cambria"/>
      <family val="1"/>
    </font>
    <font>
      <i/>
      <sz val="10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0"/>
      <name val="Arial"/>
      <family val="2"/>
    </font>
    <font>
      <sz val="10"/>
      <color theme="1"/>
      <name val="Calibri"/>
      <family val="2"/>
      <scheme val="minor"/>
    </font>
    <font>
      <sz val="8"/>
      <color rgb="FF000000"/>
      <name val="Verdana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2DC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0" applyNumberFormat="0" applyFill="0" applyAlignment="0" applyProtection="0"/>
    <xf numFmtId="0" fontId="11" fillId="0" borderId="31" applyNumberFormat="0" applyFill="0" applyAlignment="0" applyProtection="0"/>
    <xf numFmtId="0" fontId="12" fillId="0" borderId="32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33" applyNumberFormat="0" applyAlignment="0" applyProtection="0"/>
    <xf numFmtId="0" fontId="17" fillId="9" borderId="34" applyNumberFormat="0" applyAlignment="0" applyProtection="0"/>
    <xf numFmtId="0" fontId="18" fillId="9" borderId="33" applyNumberFormat="0" applyAlignment="0" applyProtection="0"/>
    <xf numFmtId="0" fontId="19" fillId="0" borderId="35" applyNumberFormat="0" applyFill="0" applyAlignment="0" applyProtection="0"/>
    <xf numFmtId="0" fontId="20" fillId="10" borderId="36" applyNumberFormat="0" applyAlignment="0" applyProtection="0"/>
    <xf numFmtId="0" fontId="21" fillId="0" borderId="0" applyNumberFormat="0" applyFill="0" applyBorder="0" applyAlignment="0" applyProtection="0"/>
    <xf numFmtId="0" fontId="1" fillId="11" borderId="37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38" applyNumberFormat="0" applyFill="0" applyAlignment="0" applyProtection="0"/>
    <xf numFmtId="0" fontId="2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32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0" fontId="5" fillId="3" borderId="0" xfId="0" applyFont="1" applyFill="1" applyAlignment="1">
      <alignment vertical="top" wrapText="1"/>
    </xf>
    <xf numFmtId="164" fontId="0" fillId="3" borderId="0" xfId="0" applyNumberFormat="1" applyFill="1"/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 wrapText="1"/>
    </xf>
    <xf numFmtId="0" fontId="0" fillId="0" borderId="1" xfId="0" applyBorder="1"/>
    <xf numFmtId="164" fontId="0" fillId="0" borderId="1" xfId="0" applyNumberFormat="1" applyBorder="1"/>
    <xf numFmtId="0" fontId="4" fillId="0" borderId="1" xfId="0" applyFont="1" applyBorder="1" applyAlignment="1">
      <alignment vertical="top" wrapText="1"/>
    </xf>
    <xf numFmtId="9" fontId="0" fillId="0" borderId="1" xfId="1" applyFont="1" applyBorder="1"/>
    <xf numFmtId="0" fontId="0" fillId="0" borderId="0" xfId="0" applyBorder="1"/>
    <xf numFmtId="0" fontId="4" fillId="2" borderId="3" xfId="0" applyFont="1" applyFill="1" applyBorder="1" applyAlignment="1">
      <alignment vertical="top" wrapText="1"/>
    </xf>
    <xf numFmtId="0" fontId="0" fillId="0" borderId="4" xfId="0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6" xfId="0" applyFont="1" applyBorder="1" applyAlignment="1">
      <alignment vertical="top" wrapText="1"/>
    </xf>
    <xf numFmtId="164" fontId="0" fillId="0" borderId="7" xfId="0" applyNumberFormat="1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 wrapText="1"/>
    </xf>
    <xf numFmtId="0" fontId="0" fillId="0" borderId="8" xfId="0" applyBorder="1"/>
    <xf numFmtId="9" fontId="0" fillId="0" borderId="9" xfId="1" applyFont="1" applyBorder="1"/>
    <xf numFmtId="0" fontId="0" fillId="0" borderId="10" xfId="0" applyBorder="1"/>
    <xf numFmtId="0" fontId="4" fillId="2" borderId="4" xfId="0" applyFont="1" applyFill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0" fillId="0" borderId="14" xfId="0" applyBorder="1"/>
    <xf numFmtId="0" fontId="0" fillId="0" borderId="15" xfId="0" applyBorder="1"/>
    <xf numFmtId="0" fontId="0" fillId="0" borderId="3" xfId="0" applyBorder="1"/>
    <xf numFmtId="0" fontId="0" fillId="0" borderId="5" xfId="0" applyBorder="1"/>
    <xf numFmtId="164" fontId="0" fillId="0" borderId="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3" borderId="1" xfId="0" applyNumberFormat="1" applyFont="1" applyFill="1" applyBorder="1" applyAlignment="1">
      <alignment horizontal="right"/>
    </xf>
    <xf numFmtId="0" fontId="0" fillId="0" borderId="1" xfId="0" applyFill="1" applyBorder="1"/>
    <xf numFmtId="0" fontId="8" fillId="3" borderId="7" xfId="0" applyNumberFormat="1" applyFont="1" applyFill="1" applyBorder="1" applyAlignment="1">
      <alignment horizontal="right"/>
    </xf>
    <xf numFmtId="0" fontId="0" fillId="0" borderId="9" xfId="0" applyBorder="1"/>
    <xf numFmtId="0" fontId="0" fillId="4" borderId="0" xfId="0" applyFill="1"/>
    <xf numFmtId="0" fontId="7" fillId="4" borderId="0" xfId="0" applyFont="1" applyFill="1" applyAlignment="1">
      <alignment wrapText="1"/>
    </xf>
    <xf numFmtId="0" fontId="0" fillId="0" borderId="11" xfId="0" applyFill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0" xfId="0" applyNumberFormat="1"/>
    <xf numFmtId="0" fontId="2" fillId="0" borderId="0" xfId="0" applyNumberFormat="1" applyFont="1"/>
    <xf numFmtId="164" fontId="2" fillId="0" borderId="0" xfId="0" applyNumberFormat="1" applyFont="1"/>
    <xf numFmtId="0" fontId="5" fillId="0" borderId="0" xfId="0" applyFont="1" applyFill="1" applyAlignment="1">
      <alignment vertical="top" wrapText="1"/>
    </xf>
    <xf numFmtId="164" fontId="0" fillId="0" borderId="0" xfId="0" applyNumberFormat="1" applyFill="1"/>
    <xf numFmtId="165" fontId="0" fillId="3" borderId="0" xfId="0" applyNumberFormat="1" applyFill="1"/>
    <xf numFmtId="164" fontId="5" fillId="0" borderId="0" xfId="0" applyNumberFormat="1" applyFont="1" applyAlignment="1">
      <alignment vertical="top" wrapText="1"/>
    </xf>
    <xf numFmtId="164" fontId="4" fillId="2" borderId="5" xfId="0" applyNumberFormat="1" applyFont="1" applyFill="1" applyBorder="1" applyAlignment="1">
      <alignment vertical="top" wrapText="1"/>
    </xf>
    <xf numFmtId="9" fontId="0" fillId="0" borderId="0" xfId="1" applyFont="1"/>
    <xf numFmtId="0" fontId="2" fillId="0" borderId="0" xfId="0" applyFont="1"/>
    <xf numFmtId="10" fontId="0" fillId="0" borderId="0" xfId="1" applyNumberFormat="1" applyFont="1"/>
    <xf numFmtId="2" fontId="0" fillId="3" borderId="0" xfId="0" applyNumberFormat="1" applyFill="1"/>
    <xf numFmtId="2" fontId="0" fillId="0" borderId="0" xfId="0" applyNumberFormat="1" applyFill="1"/>
    <xf numFmtId="164" fontId="0" fillId="4" borderId="0" xfId="0" applyNumberFormat="1" applyFill="1"/>
    <xf numFmtId="164" fontId="5" fillId="4" borderId="0" xfId="0" applyNumberFormat="1" applyFont="1" applyFill="1" applyAlignment="1">
      <alignment vertical="top" wrapText="1"/>
    </xf>
    <xf numFmtId="2" fontId="5" fillId="0" borderId="0" xfId="0" applyNumberFormat="1" applyFont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2" fontId="0" fillId="36" borderId="0" xfId="0" applyNumberFormat="1" applyFill="1"/>
    <xf numFmtId="1" fontId="2" fillId="0" borderId="0" xfId="0" applyNumberFormat="1" applyFont="1"/>
    <xf numFmtId="0" fontId="2" fillId="36" borderId="0" xfId="0" applyFont="1" applyFill="1"/>
    <xf numFmtId="0" fontId="24" fillId="36" borderId="0" xfId="0" applyFont="1" applyFill="1" applyAlignment="1">
      <alignment wrapText="1"/>
    </xf>
    <xf numFmtId="166" fontId="0" fillId="0" borderId="0" xfId="0" applyNumberFormat="1"/>
    <xf numFmtId="0" fontId="0" fillId="36" borderId="0" xfId="0" applyFill="1"/>
    <xf numFmtId="0" fontId="0" fillId="0" borderId="0" xfId="0" applyNumberFormat="1" applyFont="1"/>
    <xf numFmtId="0" fontId="26" fillId="36" borderId="0" xfId="0" applyFont="1" applyFill="1"/>
    <xf numFmtId="0" fontId="27" fillId="36" borderId="0" xfId="0" applyFont="1" applyFill="1"/>
    <xf numFmtId="0" fontId="0" fillId="0" borderId="0" xfId="0"/>
    <xf numFmtId="0" fontId="30" fillId="0" borderId="0" xfId="0" applyFont="1" applyAlignment="1">
      <alignment vertical="center" wrapText="1"/>
    </xf>
    <xf numFmtId="0" fontId="31" fillId="0" borderId="0" xfId="0" applyFont="1" applyAlignment="1">
      <alignment horizontal="right" vertical="center"/>
    </xf>
    <xf numFmtId="0" fontId="32" fillId="0" borderId="0" xfId="43" applyAlignment="1">
      <alignment vertical="center"/>
    </xf>
    <xf numFmtId="0" fontId="0" fillId="0" borderId="0" xfId="0"/>
    <xf numFmtId="164" fontId="31" fillId="0" borderId="0" xfId="0" applyNumberFormat="1" applyFont="1" applyAlignment="1">
      <alignment horizontal="right" vertical="center"/>
    </xf>
    <xf numFmtId="164" fontId="31" fillId="0" borderId="0" xfId="0" applyNumberFormat="1" applyFont="1" applyAlignment="1">
      <alignment horizontal="right" vertical="center" indent="1"/>
    </xf>
    <xf numFmtId="0" fontId="0" fillId="0" borderId="0" xfId="0" quotePrefix="1"/>
    <xf numFmtId="0" fontId="30" fillId="0" borderId="0" xfId="0" applyFont="1" applyAlignment="1">
      <alignment vertical="center" wrapText="1"/>
    </xf>
    <xf numFmtId="0" fontId="0" fillId="0" borderId="0" xfId="0"/>
    <xf numFmtId="0" fontId="0" fillId="0" borderId="0" xfId="0" applyAlignment="1">
      <alignment horizontal="right"/>
    </xf>
    <xf numFmtId="0" fontId="37" fillId="0" borderId="0" xfId="0" applyFont="1" applyAlignment="1">
      <alignment horizontal="right"/>
    </xf>
    <xf numFmtId="0" fontId="0" fillId="0" borderId="0" xfId="0" applyFill="1"/>
    <xf numFmtId="0" fontId="33" fillId="0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right" vertical="center"/>
    </xf>
    <xf numFmtId="0" fontId="0" fillId="0" borderId="0" xfId="0" applyFont="1"/>
    <xf numFmtId="0" fontId="24" fillId="0" borderId="0" xfId="0" applyFont="1" applyFill="1" applyAlignment="1">
      <alignment wrapText="1"/>
    </xf>
    <xf numFmtId="0" fontId="2" fillId="0" borderId="0" xfId="0" applyFont="1" applyFill="1"/>
    <xf numFmtId="164" fontId="0" fillId="0" borderId="27" xfId="0" applyNumberFormat="1" applyBorder="1"/>
    <xf numFmtId="0" fontId="0" fillId="36" borderId="0" xfId="0" applyFont="1" applyFill="1"/>
    <xf numFmtId="164" fontId="0" fillId="0" borderId="26" xfId="0" applyNumberFormat="1" applyBorder="1"/>
    <xf numFmtId="1" fontId="0" fillId="39" borderId="10" xfId="0" applyNumberFormat="1" applyFill="1" applyBorder="1"/>
    <xf numFmtId="0" fontId="2" fillId="3" borderId="5" xfId="0" applyFont="1" applyFill="1" applyBorder="1"/>
    <xf numFmtId="0" fontId="0" fillId="39" borderId="5" xfId="0" applyFill="1" applyBorder="1"/>
    <xf numFmtId="0" fontId="2" fillId="3" borderId="3" xfId="0" applyFont="1" applyFill="1" applyBorder="1"/>
    <xf numFmtId="0" fontId="2" fillId="3" borderId="0" xfId="0" applyFont="1" applyFill="1"/>
    <xf numFmtId="0" fontId="0" fillId="39" borderId="0" xfId="0" applyFill="1"/>
    <xf numFmtId="1" fontId="0" fillId="39" borderId="16" xfId="0" applyNumberFormat="1" applyFill="1" applyBorder="1"/>
    <xf numFmtId="0" fontId="25" fillId="0" borderId="0" xfId="0" applyFont="1" applyFill="1" applyAlignment="1">
      <alignment wrapText="1"/>
    </xf>
    <xf numFmtId="0" fontId="0" fillId="39" borderId="29" xfId="0" applyFill="1" applyBorder="1"/>
    <xf numFmtId="0" fontId="0" fillId="3" borderId="25" xfId="0" applyFill="1" applyBorder="1"/>
    <xf numFmtId="2" fontId="0" fillId="39" borderId="0" xfId="0" applyNumberFormat="1" applyFill="1"/>
    <xf numFmtId="0" fontId="0" fillId="3" borderId="23" xfId="0" applyFill="1" applyBorder="1"/>
    <xf numFmtId="164" fontId="0" fillId="39" borderId="0" xfId="0" applyNumberFormat="1" applyFill="1"/>
    <xf numFmtId="0" fontId="2" fillId="39" borderId="0" xfId="0" applyFont="1" applyFill="1"/>
    <xf numFmtId="164" fontId="0" fillId="3" borderId="6" xfId="0" applyNumberFormat="1" applyFill="1" applyBorder="1"/>
    <xf numFmtId="0" fontId="0" fillId="0" borderId="0" xfId="0"/>
    <xf numFmtId="0" fontId="0" fillId="37" borderId="0" xfId="0" applyFill="1"/>
    <xf numFmtId="0" fontId="24" fillId="37" borderId="0" xfId="0" applyFont="1" applyFill="1" applyAlignment="1">
      <alignment wrapText="1"/>
    </xf>
    <xf numFmtId="0" fontId="0" fillId="3" borderId="14" xfId="0" applyFill="1" applyBorder="1"/>
    <xf numFmtId="0" fontId="0" fillId="3" borderId="15" xfId="0" applyFill="1" applyBorder="1"/>
    <xf numFmtId="0" fontId="0" fillId="3" borderId="3" xfId="0" applyFill="1" applyBorder="1"/>
    <xf numFmtId="0" fontId="0" fillId="3" borderId="5" xfId="0" applyFill="1" applyBorder="1"/>
    <xf numFmtId="164" fontId="0" fillId="3" borderId="2" xfId="0" applyNumberFormat="1" applyFill="1" applyBorder="1"/>
    <xf numFmtId="164" fontId="0" fillId="3" borderId="7" xfId="0" applyNumberFormat="1" applyFill="1" applyBorder="1"/>
    <xf numFmtId="164" fontId="0" fillId="3" borderId="20" xfId="0" applyNumberFormat="1" applyFill="1" applyBorder="1"/>
    <xf numFmtId="164" fontId="0" fillId="3" borderId="21" xfId="0" applyNumberFormat="1" applyFill="1" applyBorder="1"/>
    <xf numFmtId="0" fontId="0" fillId="3" borderId="24" xfId="0" applyFill="1" applyBorder="1"/>
    <xf numFmtId="0" fontId="25" fillId="37" borderId="0" xfId="0" applyFont="1" applyFill="1" applyAlignment="1">
      <alignment wrapText="1"/>
    </xf>
    <xf numFmtId="0" fontId="24" fillId="38" borderId="0" xfId="0" applyFont="1" applyFill="1" applyAlignment="1">
      <alignment wrapText="1"/>
    </xf>
    <xf numFmtId="0" fontId="27" fillId="0" borderId="0" xfId="0" applyFont="1" applyFill="1"/>
    <xf numFmtId="9" fontId="0" fillId="0" borderId="0" xfId="1" applyFont="1" applyFill="1"/>
    <xf numFmtId="0" fontId="38" fillId="0" borderId="0" xfId="0" applyFont="1"/>
    <xf numFmtId="164" fontId="38" fillId="0" borderId="0" xfId="0" applyNumberFormat="1" applyFont="1"/>
    <xf numFmtId="0" fontId="28" fillId="3" borderId="0" xfId="0" applyFont="1" applyFill="1" applyAlignment="1">
      <alignment vertical="center" wrapText="1"/>
    </xf>
    <xf numFmtId="0" fontId="29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30" fillId="3" borderId="0" xfId="0" applyFont="1" applyFill="1" applyAlignment="1">
      <alignment vertical="center" wrapText="1"/>
    </xf>
    <xf numFmtId="164" fontId="31" fillId="3" borderId="0" xfId="0" applyNumberFormat="1" applyFont="1" applyFill="1" applyAlignment="1">
      <alignment horizontal="right" vertical="center"/>
    </xf>
    <xf numFmtId="164" fontId="38" fillId="3" borderId="0" xfId="0" applyNumberFormat="1" applyFont="1" applyFill="1" applyAlignment="1">
      <alignment vertical="center"/>
    </xf>
    <xf numFmtId="164" fontId="31" fillId="3" borderId="0" xfId="0" applyNumberFormat="1" applyFont="1" applyFill="1" applyAlignment="1">
      <alignment horizontal="right" vertical="center" indent="1"/>
    </xf>
    <xf numFmtId="164" fontId="38" fillId="3" borderId="0" xfId="0" applyNumberFormat="1" applyFont="1" applyFill="1"/>
    <xf numFmtId="0" fontId="38" fillId="3" borderId="0" xfId="0" applyFont="1" applyFill="1"/>
    <xf numFmtId="2" fontId="38" fillId="3" borderId="0" xfId="0" applyNumberFormat="1" applyFont="1" applyFill="1"/>
    <xf numFmtId="164" fontId="36" fillId="3" borderId="0" xfId="0" applyNumberFormat="1" applyFont="1" applyFill="1" applyAlignment="1">
      <alignment horizontal="right" vertical="center"/>
    </xf>
    <xf numFmtId="2" fontId="31" fillId="0" borderId="0" xfId="0" applyNumberFormat="1" applyFont="1" applyAlignment="1">
      <alignment horizontal="right" vertical="center"/>
    </xf>
    <xf numFmtId="0" fontId="39" fillId="37" borderId="0" xfId="0" applyFont="1" applyFill="1" applyAlignment="1">
      <alignment vertical="center" wrapText="1"/>
    </xf>
    <xf numFmtId="0" fontId="24" fillId="37" borderId="0" xfId="0" applyFont="1" applyFill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0" fillId="0" borderId="0" xfId="0"/>
    <xf numFmtId="0" fontId="30" fillId="0" borderId="0" xfId="0" applyFont="1" applyAlignment="1">
      <alignment vertical="center" wrapText="1"/>
    </xf>
    <xf numFmtId="0" fontId="30" fillId="0" borderId="0" xfId="0" applyFont="1" applyBorder="1" applyAlignment="1">
      <alignment vertical="center" wrapText="1"/>
    </xf>
    <xf numFmtId="0" fontId="31" fillId="0" borderId="0" xfId="0" applyFont="1" applyAlignment="1">
      <alignment horizontal="right" vertical="center"/>
    </xf>
    <xf numFmtId="0" fontId="35" fillId="0" borderId="0" xfId="0" applyFont="1" applyBorder="1" applyAlignment="1">
      <alignment vertical="center" wrapText="1"/>
    </xf>
    <xf numFmtId="0" fontId="32" fillId="0" borderId="0" xfId="43" applyBorder="1" applyAlignment="1">
      <alignment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Figure!$C$3:$O$3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Figure!$C$4:$O$4</c:f>
              <c:numCache>
                <c:formatCode>0.0</c:formatCode>
                <c:ptCount val="13"/>
                <c:pt idx="0">
                  <c:v>19</c:v>
                </c:pt>
                <c:pt idx="1">
                  <c:v>21</c:v>
                </c:pt>
                <c:pt idx="2">
                  <c:v>24.2</c:v>
                </c:pt>
                <c:pt idx="3">
                  <c:v>28.5</c:v>
                </c:pt>
                <c:pt idx="4">
                  <c:v>31.1</c:v>
                </c:pt>
                <c:pt idx="5">
                  <c:v>39.200000000000003</c:v>
                </c:pt>
                <c:pt idx="6">
                  <c:v>49.5</c:v>
                </c:pt>
                <c:pt idx="7">
                  <c:v>66</c:v>
                </c:pt>
                <c:pt idx="8">
                  <c:v>73.2</c:v>
                </c:pt>
                <c:pt idx="9">
                  <c:v>85</c:v>
                </c:pt>
                <c:pt idx="10">
                  <c:v>83.789000000000001</c:v>
                </c:pt>
                <c:pt idx="11">
                  <c:v>82.622</c:v>
                </c:pt>
                <c:pt idx="12">
                  <c:v>87.18180000000001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Figure!$C$5:$O$5</c:f>
              <c:numCache>
                <c:formatCode>0.0</c:formatCode>
                <c:ptCount val="13"/>
                <c:pt idx="0">
                  <c:v>1</c:v>
                </c:pt>
                <c:pt idx="1">
                  <c:v>1.4</c:v>
                </c:pt>
                <c:pt idx="2">
                  <c:v>1.9</c:v>
                </c:pt>
                <c:pt idx="3">
                  <c:v>2.4</c:v>
                </c:pt>
                <c:pt idx="4">
                  <c:v>3.8</c:v>
                </c:pt>
                <c:pt idx="5">
                  <c:v>6.5</c:v>
                </c:pt>
                <c:pt idx="6">
                  <c:v>10.5</c:v>
                </c:pt>
                <c:pt idx="7">
                  <c:v>15.6</c:v>
                </c:pt>
                <c:pt idx="8">
                  <c:v>17.8</c:v>
                </c:pt>
                <c:pt idx="9">
                  <c:v>18.5</c:v>
                </c:pt>
                <c:pt idx="10">
                  <c:v>22.991503999999996</c:v>
                </c:pt>
                <c:pt idx="11">
                  <c:v>23.643567999999998</c:v>
                </c:pt>
                <c:pt idx="12">
                  <c:v>26.344975999999996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Figure!$C$6:$O$6</c:f>
              <c:numCache>
                <c:formatCode>General</c:formatCode>
                <c:ptCount val="13"/>
                <c:pt idx="10" formatCode="0.0">
                  <c:v>1.0383039999999999</c:v>
                </c:pt>
                <c:pt idx="11" formatCode="0.0">
                  <c:v>2.6139359999999998</c:v>
                </c:pt>
                <c:pt idx="12" formatCode="0.0">
                  <c:v>3.0342559999999996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Figure!$C$7:$O$7</c:f>
              <c:numCache>
                <c:formatCode>0.0</c:formatCode>
                <c:ptCount val="13"/>
                <c:pt idx="0">
                  <c:v>20</c:v>
                </c:pt>
                <c:pt idx="1">
                  <c:v>22.4</c:v>
                </c:pt>
                <c:pt idx="2">
                  <c:v>26.099999999999998</c:v>
                </c:pt>
                <c:pt idx="3">
                  <c:v>30.9</c:v>
                </c:pt>
                <c:pt idx="4">
                  <c:v>34.9</c:v>
                </c:pt>
                <c:pt idx="5">
                  <c:v>45.7</c:v>
                </c:pt>
                <c:pt idx="6">
                  <c:v>60</c:v>
                </c:pt>
                <c:pt idx="7">
                  <c:v>81.599999999999994</c:v>
                </c:pt>
                <c:pt idx="8">
                  <c:v>91</c:v>
                </c:pt>
                <c:pt idx="9">
                  <c:v>103.5</c:v>
                </c:pt>
                <c:pt idx="10">
                  <c:v>107.81880799999999</c:v>
                </c:pt>
                <c:pt idx="11">
                  <c:v>108.879504</c:v>
                </c:pt>
                <c:pt idx="12">
                  <c:v>116.56103200000001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73024"/>
        <c:axId val="100674560"/>
      </c:lineChart>
      <c:catAx>
        <c:axId val="10067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674560"/>
        <c:crosses val="autoZero"/>
        <c:auto val="1"/>
        <c:lblAlgn val="ctr"/>
        <c:lblOffset val="100"/>
        <c:noMultiLvlLbl val="0"/>
      </c:catAx>
      <c:valAx>
        <c:axId val="1006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Figure!$P$4</c:f>
              <c:strCache>
                <c:ptCount val="1"/>
                <c:pt idx="0">
                  <c:v>Ethanol</c:v>
                </c:pt>
              </c:strCache>
            </c:strRef>
          </c:tx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b="1"/>
                      <a:t>87.2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Figure!$C$3:$O$3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Figure!$C$4:$O$4</c:f>
              <c:numCache>
                <c:formatCode>0.0</c:formatCode>
                <c:ptCount val="13"/>
                <c:pt idx="0">
                  <c:v>19</c:v>
                </c:pt>
                <c:pt idx="1">
                  <c:v>21</c:v>
                </c:pt>
                <c:pt idx="2">
                  <c:v>24.2</c:v>
                </c:pt>
                <c:pt idx="3">
                  <c:v>28.5</c:v>
                </c:pt>
                <c:pt idx="4">
                  <c:v>31.1</c:v>
                </c:pt>
                <c:pt idx="5">
                  <c:v>39.200000000000003</c:v>
                </c:pt>
                <c:pt idx="6">
                  <c:v>49.5</c:v>
                </c:pt>
                <c:pt idx="7">
                  <c:v>66</c:v>
                </c:pt>
                <c:pt idx="8">
                  <c:v>73.2</c:v>
                </c:pt>
                <c:pt idx="9">
                  <c:v>85</c:v>
                </c:pt>
                <c:pt idx="10">
                  <c:v>83.789000000000001</c:v>
                </c:pt>
                <c:pt idx="11">
                  <c:v>82.622</c:v>
                </c:pt>
                <c:pt idx="12">
                  <c:v>87.18180000000001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Figure!$P$5</c:f>
              <c:strCache>
                <c:ptCount val="1"/>
                <c:pt idx="0">
                  <c:v>Biodiesel </c:v>
                </c:pt>
              </c:strCache>
            </c:strRef>
          </c:tx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b="1"/>
                      <a:t>26.3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Figure!$C$3:$O$3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Figure!$C$5:$O$5</c:f>
              <c:numCache>
                <c:formatCode>0.0</c:formatCode>
                <c:ptCount val="13"/>
                <c:pt idx="0">
                  <c:v>1</c:v>
                </c:pt>
                <c:pt idx="1">
                  <c:v>1.4</c:v>
                </c:pt>
                <c:pt idx="2">
                  <c:v>1.9</c:v>
                </c:pt>
                <c:pt idx="3">
                  <c:v>2.4</c:v>
                </c:pt>
                <c:pt idx="4">
                  <c:v>3.8</c:v>
                </c:pt>
                <c:pt idx="5">
                  <c:v>6.5</c:v>
                </c:pt>
                <c:pt idx="6">
                  <c:v>10.5</c:v>
                </c:pt>
                <c:pt idx="7">
                  <c:v>15.6</c:v>
                </c:pt>
                <c:pt idx="8">
                  <c:v>17.8</c:v>
                </c:pt>
                <c:pt idx="9">
                  <c:v>18.5</c:v>
                </c:pt>
                <c:pt idx="10">
                  <c:v>22.991503999999996</c:v>
                </c:pt>
                <c:pt idx="11">
                  <c:v>23.643567999999998</c:v>
                </c:pt>
                <c:pt idx="12">
                  <c:v>26.344975999999996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Figure!$P$6</c:f>
              <c:strCache>
                <c:ptCount val="1"/>
                <c:pt idx="0">
                  <c:v>HVO</c:v>
                </c:pt>
              </c:strCache>
            </c:strRef>
          </c:tx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b="1"/>
                      <a:t>3.0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Figure!$C$3:$O$3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Figure!$C$6:$O$6</c:f>
              <c:numCache>
                <c:formatCode>General</c:formatCode>
                <c:ptCount val="13"/>
                <c:pt idx="10" formatCode="0.0">
                  <c:v>1.0383039999999999</c:v>
                </c:pt>
                <c:pt idx="11" formatCode="0.0">
                  <c:v>2.6139359999999998</c:v>
                </c:pt>
                <c:pt idx="12" formatCode="0.0">
                  <c:v>3.0342559999999996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Figure!$P$7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b="1"/>
                      <a:t>116.6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Figure!$C$3:$O$3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Figure!$C$7:$O$7</c:f>
              <c:numCache>
                <c:formatCode>0.0</c:formatCode>
                <c:ptCount val="13"/>
                <c:pt idx="0">
                  <c:v>20</c:v>
                </c:pt>
                <c:pt idx="1">
                  <c:v>22.4</c:v>
                </c:pt>
                <c:pt idx="2">
                  <c:v>26.099999999999998</c:v>
                </c:pt>
                <c:pt idx="3">
                  <c:v>30.9</c:v>
                </c:pt>
                <c:pt idx="4">
                  <c:v>34.9</c:v>
                </c:pt>
                <c:pt idx="5">
                  <c:v>45.7</c:v>
                </c:pt>
                <c:pt idx="6">
                  <c:v>60</c:v>
                </c:pt>
                <c:pt idx="7">
                  <c:v>81.599999999999994</c:v>
                </c:pt>
                <c:pt idx="8">
                  <c:v>91</c:v>
                </c:pt>
                <c:pt idx="9">
                  <c:v>103.5</c:v>
                </c:pt>
                <c:pt idx="10">
                  <c:v>107.81880799999999</c:v>
                </c:pt>
                <c:pt idx="11">
                  <c:v>108.879504</c:v>
                </c:pt>
                <c:pt idx="12">
                  <c:v>116.56103200000001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90272"/>
        <c:axId val="101204352"/>
      </c:lineChart>
      <c:catAx>
        <c:axId val="10119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04352"/>
        <c:crosses val="autoZero"/>
        <c:auto val="1"/>
        <c:lblAlgn val="ctr"/>
        <c:lblOffset val="100"/>
        <c:noMultiLvlLbl val="0"/>
      </c:catAx>
      <c:valAx>
        <c:axId val="1012043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119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400050</xdr:colOff>
      <xdr:row>14</xdr:row>
      <xdr:rowOff>19050</xdr:rowOff>
    </xdr:from>
    <xdr:to>
      <xdr:col>25</xdr:col>
      <xdr:colOff>104775</xdr:colOff>
      <xdr:row>44</xdr:row>
      <xdr:rowOff>95250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53850" y="2714625"/>
          <a:ext cx="4781550" cy="579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466725</xdr:colOff>
      <xdr:row>33</xdr:row>
      <xdr:rowOff>123825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4733925" cy="6219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7</xdr:row>
      <xdr:rowOff>109537</xdr:rowOff>
    </xdr:from>
    <xdr:to>
      <xdr:col>16</xdr:col>
      <xdr:colOff>161925</xdr:colOff>
      <xdr:row>21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466724</xdr:colOff>
      <xdr:row>7</xdr:row>
      <xdr:rowOff>109537</xdr:rowOff>
    </xdr:from>
    <xdr:to>
      <xdr:col>19</xdr:col>
      <xdr:colOff>600075</xdr:colOff>
      <xdr:row>30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0"/>
  <sheetViews>
    <sheetView topLeftCell="D15" workbookViewId="0">
      <selection activeCell="R9" sqref="R9"/>
    </sheetView>
  </sheetViews>
  <sheetFormatPr defaultRowHeight="15" x14ac:dyDescent="0.25"/>
  <cols>
    <col min="2" max="2" width="13" customWidth="1"/>
    <col min="3" max="3" width="10.140625" customWidth="1"/>
    <col min="4" max="4" width="8.5703125" customWidth="1"/>
    <col min="5" max="5" width="9" customWidth="1"/>
    <col min="7" max="7" width="6.85546875" customWidth="1"/>
    <col min="8" max="8" width="11.7109375" customWidth="1"/>
    <col min="9" max="9" width="7.85546875" customWidth="1"/>
    <col min="10" max="10" width="10.140625" customWidth="1"/>
    <col min="11" max="11" width="10.85546875" customWidth="1"/>
    <col min="12" max="12" width="10.140625" customWidth="1"/>
    <col min="13" max="13" width="12" customWidth="1"/>
    <col min="14" max="14" width="8.42578125" customWidth="1"/>
    <col min="15" max="15" width="10" customWidth="1"/>
    <col min="16" max="16" width="8.5703125" customWidth="1"/>
    <col min="17" max="17" width="16" customWidth="1"/>
  </cols>
  <sheetData>
    <row r="1" spans="2:22" ht="55.5" customHeight="1" x14ac:dyDescent="0.25">
      <c r="B1" s="151" t="s">
        <v>22</v>
      </c>
      <c r="C1" s="151"/>
      <c r="D1" s="151"/>
      <c r="E1" s="151"/>
      <c r="H1" s="151" t="s">
        <v>102</v>
      </c>
      <c r="I1" s="151"/>
      <c r="J1" s="151"/>
      <c r="K1" s="151"/>
      <c r="M1" s="151" t="s">
        <v>23</v>
      </c>
      <c r="N1" s="151"/>
      <c r="O1" s="151"/>
      <c r="P1" s="151"/>
    </row>
    <row r="2" spans="2:22" x14ac:dyDescent="0.25">
      <c r="B2" s="150" t="s">
        <v>96</v>
      </c>
      <c r="C2" s="150"/>
      <c r="D2" s="150"/>
      <c r="E2" s="150"/>
      <c r="H2" s="152" t="s">
        <v>97</v>
      </c>
      <c r="I2" s="152"/>
      <c r="J2" s="152"/>
      <c r="K2" s="152"/>
      <c r="M2" s="152" t="s">
        <v>97</v>
      </c>
      <c r="N2" s="152"/>
      <c r="O2" s="152"/>
      <c r="P2" s="152"/>
      <c r="S2" s="43" t="s">
        <v>134</v>
      </c>
      <c r="T2" s="43"/>
      <c r="U2" s="43"/>
      <c r="V2" s="43"/>
    </row>
    <row r="3" spans="2:22" ht="36" x14ac:dyDescent="0.25">
      <c r="B3" s="2" t="s">
        <v>0</v>
      </c>
      <c r="C3" s="3" t="s">
        <v>1</v>
      </c>
      <c r="D3" s="3" t="s">
        <v>2</v>
      </c>
      <c r="E3" s="3" t="s">
        <v>3</v>
      </c>
      <c r="G3" s="3"/>
      <c r="H3" s="2" t="s">
        <v>0</v>
      </c>
      <c r="I3" s="3" t="s">
        <v>1</v>
      </c>
      <c r="J3" s="3" t="s">
        <v>2</v>
      </c>
      <c r="K3" s="3" t="s">
        <v>3</v>
      </c>
      <c r="M3" s="2" t="s">
        <v>0</v>
      </c>
      <c r="N3" s="3" t="s">
        <v>1</v>
      </c>
      <c r="O3" s="3" t="s">
        <v>2</v>
      </c>
      <c r="P3" s="3" t="s">
        <v>3</v>
      </c>
      <c r="Q3" s="3" t="s">
        <v>125</v>
      </c>
    </row>
    <row r="4" spans="2:22" ht="48" x14ac:dyDescent="0.25">
      <c r="B4" s="1"/>
      <c r="C4" s="4" t="s">
        <v>4</v>
      </c>
      <c r="D4" s="4" t="s">
        <v>4</v>
      </c>
      <c r="E4" s="4" t="s">
        <v>4</v>
      </c>
      <c r="G4" s="4" t="s">
        <v>126</v>
      </c>
      <c r="I4" s="4" t="s">
        <v>4</v>
      </c>
      <c r="J4" s="4" t="s">
        <v>4</v>
      </c>
      <c r="K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S4" s="4" t="s">
        <v>131</v>
      </c>
      <c r="T4" s="4" t="s">
        <v>130</v>
      </c>
    </row>
    <row r="5" spans="2:22" x14ac:dyDescent="0.25">
      <c r="B5" s="4" t="s">
        <v>5</v>
      </c>
      <c r="C5" s="4">
        <v>54.2</v>
      </c>
      <c r="D5" s="4">
        <v>3.2</v>
      </c>
      <c r="E5" s="4">
        <v>57.4</v>
      </c>
      <c r="F5" s="11">
        <v>1</v>
      </c>
      <c r="G5" s="58">
        <f>K5-E5</f>
        <v>-1</v>
      </c>
      <c r="H5" s="4" t="s">
        <v>5</v>
      </c>
      <c r="I5">
        <v>52.8</v>
      </c>
      <c r="J5" s="7">
        <v>3.6</v>
      </c>
      <c r="K5" s="6">
        <f>+I5+J5</f>
        <v>56.4</v>
      </c>
      <c r="L5" s="10">
        <v>1</v>
      </c>
      <c r="M5" s="4" t="s">
        <v>5</v>
      </c>
      <c r="N5" s="7">
        <v>50.4</v>
      </c>
      <c r="O5" s="7">
        <v>3.6</v>
      </c>
      <c r="P5" s="6">
        <f>+N5+O5</f>
        <v>54</v>
      </c>
      <c r="Q5" s="58">
        <f t="shared" ref="Q5:Q11" si="0">P5-K5</f>
        <v>-2.3999999999999986</v>
      </c>
      <c r="R5" s="60">
        <f t="shared" ref="R5:R11" si="1">P5/K5</f>
        <v>0.95744680851063835</v>
      </c>
      <c r="S5">
        <v>1</v>
      </c>
      <c r="T5" s="10">
        <v>1</v>
      </c>
    </row>
    <row r="6" spans="2:22" x14ac:dyDescent="0.25">
      <c r="B6" s="4" t="s">
        <v>6</v>
      </c>
      <c r="C6" s="4">
        <v>21</v>
      </c>
      <c r="D6" s="4">
        <v>2.7</v>
      </c>
      <c r="E6" s="4">
        <v>23.7</v>
      </c>
      <c r="F6" s="11">
        <v>2</v>
      </c>
      <c r="G6" s="58">
        <f t="shared" ref="G6:G19" si="2">K6-E6</f>
        <v>0</v>
      </c>
      <c r="H6" s="4" t="s">
        <v>6</v>
      </c>
      <c r="I6">
        <v>21</v>
      </c>
      <c r="J6" s="7">
        <v>2.7</v>
      </c>
      <c r="K6" s="6">
        <f t="shared" ref="K6:K19" si="3">+I6+J6</f>
        <v>23.7</v>
      </c>
      <c r="L6" s="10">
        <v>2</v>
      </c>
      <c r="M6" s="4" t="s">
        <v>6</v>
      </c>
      <c r="N6" s="7">
        <v>21.6</v>
      </c>
      <c r="O6" s="7">
        <v>2.7</v>
      </c>
      <c r="P6" s="6">
        <f t="shared" ref="P6:P22" si="4">+N6+O6</f>
        <v>24.3</v>
      </c>
      <c r="Q6" s="58">
        <f t="shared" si="0"/>
        <v>0.60000000000000142</v>
      </c>
      <c r="R6" s="60">
        <f t="shared" si="1"/>
        <v>1.0253164556962027</v>
      </c>
      <c r="S6">
        <v>2</v>
      </c>
      <c r="T6" s="10">
        <v>2</v>
      </c>
    </row>
    <row r="7" spans="2:22" x14ac:dyDescent="0.25">
      <c r="B7" s="4" t="s">
        <v>7</v>
      </c>
      <c r="C7" s="4">
        <v>0.8</v>
      </c>
      <c r="D7" s="4">
        <v>3.2</v>
      </c>
      <c r="E7" s="4">
        <v>3.9</v>
      </c>
      <c r="F7" s="11">
        <v>3</v>
      </c>
      <c r="G7" s="58">
        <f t="shared" si="2"/>
        <v>5.0000000000000266E-2</v>
      </c>
      <c r="H7" s="4" t="s">
        <v>7</v>
      </c>
      <c r="I7">
        <v>0.75</v>
      </c>
      <c r="J7" s="65">
        <v>3.2</v>
      </c>
      <c r="K7" s="6">
        <f t="shared" si="3"/>
        <v>3.95</v>
      </c>
      <c r="L7" s="10">
        <v>3</v>
      </c>
      <c r="M7" s="4" t="s">
        <v>7</v>
      </c>
      <c r="N7" s="7">
        <v>0.77</v>
      </c>
      <c r="O7" s="65">
        <v>2.7</v>
      </c>
      <c r="P7" s="6">
        <f t="shared" si="4"/>
        <v>3.47</v>
      </c>
      <c r="Q7" s="66">
        <f t="shared" si="0"/>
        <v>-0.48</v>
      </c>
      <c r="R7" s="60">
        <f t="shared" si="1"/>
        <v>0.87848101265822787</v>
      </c>
      <c r="S7">
        <v>3</v>
      </c>
      <c r="T7" s="10">
        <v>3</v>
      </c>
    </row>
    <row r="8" spans="2:22" x14ac:dyDescent="0.25">
      <c r="B8" s="4" t="s">
        <v>8</v>
      </c>
      <c r="C8" s="4">
        <v>0.2</v>
      </c>
      <c r="D8" s="4">
        <v>2.8</v>
      </c>
      <c r="E8" s="4">
        <v>3</v>
      </c>
      <c r="F8" s="11">
        <v>4</v>
      </c>
      <c r="G8" s="58">
        <f t="shared" si="2"/>
        <v>-3.0000000000000249E-2</v>
      </c>
      <c r="H8" s="4" t="s">
        <v>8</v>
      </c>
      <c r="I8">
        <v>0.17</v>
      </c>
      <c r="J8" s="7">
        <v>2.8</v>
      </c>
      <c r="K8" s="6">
        <f t="shared" si="3"/>
        <v>2.9699999999999998</v>
      </c>
      <c r="L8" s="10">
        <v>4</v>
      </c>
      <c r="M8" s="4" t="s">
        <v>8</v>
      </c>
      <c r="N8" s="6">
        <v>0.23</v>
      </c>
      <c r="O8" s="7">
        <v>2.8</v>
      </c>
      <c r="P8" s="6">
        <f t="shared" si="4"/>
        <v>3.03</v>
      </c>
      <c r="Q8" s="58">
        <f t="shared" si="0"/>
        <v>6.0000000000000053E-2</v>
      </c>
      <c r="R8" s="60">
        <f t="shared" si="1"/>
        <v>1.0202020202020203</v>
      </c>
      <c r="S8">
        <v>4</v>
      </c>
      <c r="T8" s="10">
        <v>4</v>
      </c>
    </row>
    <row r="9" spans="2:22" x14ac:dyDescent="0.25">
      <c r="B9" s="4" t="s">
        <v>9</v>
      </c>
      <c r="C9" s="4">
        <v>1.1000000000000001</v>
      </c>
      <c r="D9" s="4">
        <v>1.6</v>
      </c>
      <c r="E9" s="4">
        <v>2.7</v>
      </c>
      <c r="F9" s="11">
        <v>5</v>
      </c>
      <c r="G9" s="58">
        <f t="shared" si="2"/>
        <v>4.9999999999999822E-2</v>
      </c>
      <c r="H9" s="4" t="s">
        <v>9</v>
      </c>
      <c r="I9">
        <v>1.1499999999999999</v>
      </c>
      <c r="J9" s="7">
        <v>1.6</v>
      </c>
      <c r="K9" s="6">
        <f t="shared" si="3"/>
        <v>2.75</v>
      </c>
      <c r="L9" s="10">
        <v>5</v>
      </c>
      <c r="M9" s="4" t="s">
        <v>9</v>
      </c>
      <c r="N9" s="7">
        <v>1</v>
      </c>
      <c r="O9" s="7">
        <v>1.9</v>
      </c>
      <c r="P9" s="6">
        <f t="shared" si="4"/>
        <v>2.9</v>
      </c>
      <c r="Q9" s="58">
        <f t="shared" si="0"/>
        <v>0.14999999999999991</v>
      </c>
      <c r="R9" s="60">
        <f t="shared" si="1"/>
        <v>1.0545454545454545</v>
      </c>
      <c r="S9">
        <v>5</v>
      </c>
      <c r="T9" s="10">
        <v>5</v>
      </c>
    </row>
    <row r="10" spans="2:22" x14ac:dyDescent="0.25">
      <c r="B10" s="4" t="s">
        <v>10</v>
      </c>
      <c r="C10" s="4">
        <v>2.1</v>
      </c>
      <c r="D10" s="4">
        <v>0.2</v>
      </c>
      <c r="E10" s="4">
        <v>2.2999999999999998</v>
      </c>
      <c r="F10" s="11">
        <v>6</v>
      </c>
      <c r="G10" s="58">
        <f t="shared" si="2"/>
        <v>-3.9999999999999591E-2</v>
      </c>
      <c r="H10" s="4" t="s">
        <v>10</v>
      </c>
      <c r="I10">
        <v>2.1</v>
      </c>
      <c r="J10" s="56">
        <v>0.16</v>
      </c>
      <c r="K10" s="6">
        <f t="shared" si="3"/>
        <v>2.2600000000000002</v>
      </c>
      <c r="L10" s="10">
        <v>6</v>
      </c>
      <c r="M10" s="4" t="s">
        <v>10</v>
      </c>
      <c r="N10" s="7">
        <v>2.1</v>
      </c>
      <c r="O10" s="7">
        <v>0.16</v>
      </c>
      <c r="P10" s="6">
        <f t="shared" si="4"/>
        <v>2.2600000000000002</v>
      </c>
      <c r="Q10" s="58">
        <f t="shared" si="0"/>
        <v>0</v>
      </c>
      <c r="R10" s="60">
        <f t="shared" si="1"/>
        <v>1</v>
      </c>
      <c r="S10">
        <v>6</v>
      </c>
      <c r="T10" s="10">
        <v>6</v>
      </c>
    </row>
    <row r="11" spans="2:22" x14ac:dyDescent="0.25">
      <c r="B11" s="4" t="s">
        <v>11</v>
      </c>
      <c r="C11" s="4">
        <v>1.8</v>
      </c>
      <c r="D11" s="4">
        <v>0.2</v>
      </c>
      <c r="E11" s="4">
        <v>2</v>
      </c>
      <c r="F11" s="11">
        <v>7</v>
      </c>
      <c r="G11" s="58">
        <f t="shared" si="2"/>
        <v>-0.33000000000000007</v>
      </c>
      <c r="H11" s="4" t="s">
        <v>11</v>
      </c>
      <c r="I11">
        <v>1.55</v>
      </c>
      <c r="J11" s="56">
        <v>0.12</v>
      </c>
      <c r="K11" s="6">
        <f t="shared" si="3"/>
        <v>1.67</v>
      </c>
      <c r="L11" s="10">
        <v>7</v>
      </c>
      <c r="M11" s="4" t="s">
        <v>11</v>
      </c>
      <c r="N11" s="7">
        <v>1.8</v>
      </c>
      <c r="O11" s="56">
        <v>0.11</v>
      </c>
      <c r="P11" s="6">
        <f t="shared" si="4"/>
        <v>1.9100000000000001</v>
      </c>
      <c r="Q11" s="67">
        <f t="shared" si="0"/>
        <v>0.24000000000000021</v>
      </c>
      <c r="R11" s="60">
        <f t="shared" si="1"/>
        <v>1.1437125748502996</v>
      </c>
      <c r="S11">
        <v>7</v>
      </c>
      <c r="T11" s="10">
        <v>7</v>
      </c>
    </row>
    <row r="12" spans="2:22" x14ac:dyDescent="0.25">
      <c r="B12" s="4" t="s">
        <v>12</v>
      </c>
      <c r="C12" s="4">
        <v>0</v>
      </c>
      <c r="D12" s="4">
        <v>1.4</v>
      </c>
      <c r="E12" s="4">
        <v>1.4</v>
      </c>
      <c r="F12" s="11">
        <v>8</v>
      </c>
      <c r="G12" s="58">
        <f t="shared" si="2"/>
        <v>3.0000000000000027E-2</v>
      </c>
      <c r="H12" s="4" t="s">
        <v>12</v>
      </c>
      <c r="I12">
        <v>0.01</v>
      </c>
      <c r="J12" s="65">
        <v>1.42</v>
      </c>
      <c r="K12" s="6">
        <f t="shared" si="3"/>
        <v>1.43</v>
      </c>
      <c r="L12" s="10">
        <v>8</v>
      </c>
      <c r="M12" s="55" t="s">
        <v>14</v>
      </c>
      <c r="N12" s="56">
        <v>0.66</v>
      </c>
      <c r="O12" s="56">
        <v>0.9</v>
      </c>
      <c r="P12" s="64">
        <f>+N12+O12</f>
        <v>1.56</v>
      </c>
      <c r="Q12" s="58">
        <f>P12-K14</f>
        <v>0.45000000000000018</v>
      </c>
      <c r="R12" s="60">
        <f>P12/K14</f>
        <v>1.4054054054054057</v>
      </c>
      <c r="S12">
        <v>8</v>
      </c>
      <c r="T12" s="10">
        <v>9</v>
      </c>
    </row>
    <row r="13" spans="2:22" x14ac:dyDescent="0.25">
      <c r="B13" s="4" t="s">
        <v>13</v>
      </c>
      <c r="C13" s="4">
        <v>0.5</v>
      </c>
      <c r="D13" s="4">
        <v>0.7</v>
      </c>
      <c r="E13" s="4">
        <v>1.2</v>
      </c>
      <c r="F13" s="11">
        <v>9</v>
      </c>
      <c r="G13" s="58">
        <f t="shared" si="2"/>
        <v>-4.0000000000000036E-2</v>
      </c>
      <c r="H13" s="4" t="s">
        <v>13</v>
      </c>
      <c r="I13">
        <v>0.46</v>
      </c>
      <c r="J13" s="7">
        <v>0.7</v>
      </c>
      <c r="K13" s="6">
        <f t="shared" si="3"/>
        <v>1.1599999999999999</v>
      </c>
      <c r="L13" s="10">
        <v>9</v>
      </c>
      <c r="M13" s="55" t="s">
        <v>12</v>
      </c>
      <c r="N13" s="56">
        <v>0.05</v>
      </c>
      <c r="O13" s="65">
        <v>1.53</v>
      </c>
      <c r="P13" s="64">
        <f>+N13+O13</f>
        <v>1.58</v>
      </c>
      <c r="Q13" s="58">
        <f>P13-K12</f>
        <v>0.15000000000000013</v>
      </c>
      <c r="R13" s="60">
        <f>P13/K12</f>
        <v>1.104895104895105</v>
      </c>
      <c r="S13">
        <v>9</v>
      </c>
      <c r="T13" s="10">
        <v>10</v>
      </c>
    </row>
    <row r="14" spans="2:22" x14ac:dyDescent="0.25">
      <c r="B14" s="4" t="s">
        <v>14</v>
      </c>
      <c r="C14" s="4">
        <v>0.5</v>
      </c>
      <c r="D14" s="4">
        <v>0.6</v>
      </c>
      <c r="E14" s="4">
        <v>1.1000000000000001</v>
      </c>
      <c r="F14" s="11">
        <v>10</v>
      </c>
      <c r="G14" s="58">
        <f t="shared" si="2"/>
        <v>9.9999999999997868E-3</v>
      </c>
      <c r="H14" s="4" t="s">
        <v>14</v>
      </c>
      <c r="I14">
        <v>0.51</v>
      </c>
      <c r="J14" s="7">
        <v>0.6</v>
      </c>
      <c r="K14" s="6">
        <f t="shared" si="3"/>
        <v>1.1099999999999999</v>
      </c>
      <c r="L14" s="10">
        <v>10</v>
      </c>
      <c r="M14" s="55" t="s">
        <v>13</v>
      </c>
      <c r="N14" s="56">
        <v>0.37</v>
      </c>
      <c r="O14" s="56">
        <v>0.5</v>
      </c>
      <c r="P14" s="64">
        <f>+N14+O14</f>
        <v>0.87</v>
      </c>
      <c r="Q14" s="58">
        <f>P14-K13</f>
        <v>-0.28999999999999992</v>
      </c>
      <c r="R14" s="60">
        <f>P14/K13</f>
        <v>0.75</v>
      </c>
      <c r="S14">
        <v>10</v>
      </c>
      <c r="T14" s="10">
        <v>8</v>
      </c>
    </row>
    <row r="15" spans="2:22" x14ac:dyDescent="0.25">
      <c r="B15" s="4" t="s">
        <v>15</v>
      </c>
      <c r="C15" s="4">
        <v>0.4</v>
      </c>
      <c r="D15" s="4">
        <v>0.4</v>
      </c>
      <c r="E15" s="4">
        <v>0.8</v>
      </c>
      <c r="F15" s="11">
        <v>11</v>
      </c>
      <c r="G15" s="58">
        <f t="shared" si="2"/>
        <v>0</v>
      </c>
      <c r="H15" s="4" t="s">
        <v>15</v>
      </c>
      <c r="I15" s="5">
        <v>0.4</v>
      </c>
      <c r="J15" s="9">
        <v>0.4</v>
      </c>
      <c r="K15" s="63">
        <f t="shared" si="3"/>
        <v>0.8</v>
      </c>
      <c r="L15" s="10">
        <v>12</v>
      </c>
      <c r="M15" s="55" t="s">
        <v>15</v>
      </c>
      <c r="N15" s="56">
        <v>0.45</v>
      </c>
      <c r="O15" s="56">
        <v>0.37</v>
      </c>
      <c r="P15" s="64">
        <f t="shared" si="4"/>
        <v>0.82000000000000006</v>
      </c>
      <c r="Q15" s="58">
        <f>P15-K15</f>
        <v>2.0000000000000018E-2</v>
      </c>
      <c r="R15" s="60">
        <f>P15/K15</f>
        <v>1.0249999999999999</v>
      </c>
      <c r="S15">
        <v>11</v>
      </c>
      <c r="T15" s="10">
        <v>11</v>
      </c>
    </row>
    <row r="16" spans="2:22" ht="24" x14ac:dyDescent="0.25">
      <c r="B16" s="4" t="s">
        <v>16</v>
      </c>
      <c r="C16" s="4">
        <v>0.3</v>
      </c>
      <c r="D16" s="4">
        <v>0.4</v>
      </c>
      <c r="E16" s="4">
        <v>0.7</v>
      </c>
      <c r="F16" s="11">
        <v>12</v>
      </c>
      <c r="G16" s="58">
        <f t="shared" si="2"/>
        <v>0.12000000000000011</v>
      </c>
      <c r="H16" s="4" t="s">
        <v>16</v>
      </c>
      <c r="I16" s="5">
        <v>0.26</v>
      </c>
      <c r="J16" s="9">
        <v>0.56000000000000005</v>
      </c>
      <c r="K16" s="63">
        <f t="shared" si="3"/>
        <v>0.82000000000000006</v>
      </c>
      <c r="L16" s="10">
        <v>11</v>
      </c>
      <c r="M16" s="4" t="s">
        <v>16</v>
      </c>
      <c r="N16" s="7">
        <v>0.22</v>
      </c>
      <c r="O16" s="56">
        <v>0.45</v>
      </c>
      <c r="P16" s="6">
        <f t="shared" si="4"/>
        <v>0.67</v>
      </c>
      <c r="Q16" s="67">
        <f>P16-K16</f>
        <v>-0.15000000000000002</v>
      </c>
      <c r="R16" s="60">
        <f>P16/K16</f>
        <v>0.81707317073170727</v>
      </c>
      <c r="S16">
        <v>12</v>
      </c>
      <c r="T16" s="10">
        <v>12</v>
      </c>
    </row>
    <row r="17" spans="2:20" x14ac:dyDescent="0.25">
      <c r="B17" s="4" t="s">
        <v>17</v>
      </c>
      <c r="C17" s="4">
        <v>0</v>
      </c>
      <c r="D17" s="4">
        <v>0.6</v>
      </c>
      <c r="E17" s="4">
        <v>0.6</v>
      </c>
      <c r="F17" s="11">
        <v>13</v>
      </c>
      <c r="G17" s="58">
        <f t="shared" si="2"/>
        <v>0.13500000000000001</v>
      </c>
      <c r="H17" s="4" t="s">
        <v>17</v>
      </c>
      <c r="I17">
        <v>3.5000000000000003E-2</v>
      </c>
      <c r="J17" s="7">
        <v>0.7</v>
      </c>
      <c r="K17" s="6">
        <f t="shared" si="3"/>
        <v>0.73499999999999999</v>
      </c>
      <c r="L17" s="10">
        <v>13</v>
      </c>
      <c r="M17" s="4" t="s">
        <v>18</v>
      </c>
      <c r="N17" s="7">
        <v>0.37</v>
      </c>
      <c r="O17" s="7">
        <v>0.3</v>
      </c>
      <c r="P17" s="6">
        <f>+N17+O17</f>
        <v>0.66999999999999993</v>
      </c>
      <c r="Q17" s="58">
        <f>P17-K18</f>
        <v>4.9999999999999822E-2</v>
      </c>
      <c r="R17" s="60">
        <f>P17/K18</f>
        <v>1.0806451612903223</v>
      </c>
      <c r="S17">
        <v>13</v>
      </c>
      <c r="T17" s="10">
        <v>16</v>
      </c>
    </row>
    <row r="18" spans="2:20" x14ac:dyDescent="0.25">
      <c r="B18" s="4" t="s">
        <v>18</v>
      </c>
      <c r="C18" s="4">
        <v>0.3</v>
      </c>
      <c r="D18" s="4">
        <v>0.3</v>
      </c>
      <c r="E18" s="4">
        <v>0.6</v>
      </c>
      <c r="F18" s="11">
        <v>14</v>
      </c>
      <c r="G18" s="58">
        <f t="shared" si="2"/>
        <v>2.0000000000000129E-2</v>
      </c>
      <c r="H18" s="4" t="s">
        <v>18</v>
      </c>
      <c r="I18">
        <v>0.34</v>
      </c>
      <c r="J18" s="7">
        <v>0.28000000000000003</v>
      </c>
      <c r="K18" s="6">
        <f t="shared" si="3"/>
        <v>0.62000000000000011</v>
      </c>
      <c r="L18" s="10">
        <v>14</v>
      </c>
      <c r="M18" s="4" t="s">
        <v>19</v>
      </c>
      <c r="N18" s="7">
        <v>0.2</v>
      </c>
      <c r="O18" s="7">
        <v>0.4</v>
      </c>
      <c r="P18" s="6">
        <f>+N18+O18</f>
        <v>0.60000000000000009</v>
      </c>
      <c r="Q18" s="58">
        <f>P18-K19</f>
        <v>-1.9999999999999907E-2</v>
      </c>
      <c r="R18" s="60">
        <f>P18/K19</f>
        <v>0.96774193548387111</v>
      </c>
      <c r="S18">
        <v>14</v>
      </c>
      <c r="T18" s="10">
        <v>13</v>
      </c>
    </row>
    <row r="19" spans="2:20" ht="15.75" thickBot="1" x14ac:dyDescent="0.3">
      <c r="B19" s="4" t="s">
        <v>19</v>
      </c>
      <c r="C19" s="4">
        <v>0.2</v>
      </c>
      <c r="D19" s="4">
        <v>0.4</v>
      </c>
      <c r="E19" s="4">
        <v>0.6</v>
      </c>
      <c r="F19" s="11">
        <v>15</v>
      </c>
      <c r="G19" s="58">
        <f t="shared" si="2"/>
        <v>2.0000000000000018E-2</v>
      </c>
      <c r="H19" s="4" t="s">
        <v>19</v>
      </c>
      <c r="I19">
        <v>0.22</v>
      </c>
      <c r="J19" s="7">
        <v>0.4</v>
      </c>
      <c r="K19" s="6">
        <f t="shared" si="3"/>
        <v>0.62</v>
      </c>
      <c r="L19" s="10">
        <v>15</v>
      </c>
      <c r="M19" s="4" t="s">
        <v>95</v>
      </c>
      <c r="N19" s="7">
        <v>0.45</v>
      </c>
      <c r="O19" s="7">
        <v>0</v>
      </c>
      <c r="P19" s="6">
        <f>+N19+O19</f>
        <v>0.45</v>
      </c>
      <c r="Q19" s="58"/>
      <c r="R19" s="60">
        <f>'2011revand2012'!P19/0.39</f>
        <v>1.1538461538461537</v>
      </c>
      <c r="S19">
        <v>15</v>
      </c>
      <c r="T19" s="10">
        <v>14</v>
      </c>
    </row>
    <row r="20" spans="2:20" ht="15.75" thickBot="1" x14ac:dyDescent="0.3">
      <c r="B20" s="153" t="s">
        <v>103</v>
      </c>
      <c r="C20" s="154"/>
      <c r="D20" s="154"/>
      <c r="E20" s="155"/>
      <c r="G20" s="58">
        <f>K20-E20</f>
        <v>0</v>
      </c>
      <c r="H20" s="153" t="s">
        <v>104</v>
      </c>
      <c r="I20" s="154"/>
      <c r="J20" s="154"/>
      <c r="K20" s="155"/>
      <c r="L20" s="10"/>
      <c r="M20" s="8" t="s">
        <v>17</v>
      </c>
      <c r="N20" s="9">
        <v>3.2000000000000001E-2</v>
      </c>
      <c r="O20" s="57">
        <v>0.4</v>
      </c>
      <c r="P20" s="9">
        <f>+N20+O20</f>
        <v>0.43200000000000005</v>
      </c>
      <c r="Q20" s="69" t="s">
        <v>133</v>
      </c>
      <c r="R20" s="60">
        <f>P20/K17</f>
        <v>0.58775510204081638</v>
      </c>
      <c r="T20" s="10">
        <v>15</v>
      </c>
    </row>
    <row r="21" spans="2:20" x14ac:dyDescent="0.25">
      <c r="B21" s="17" t="s">
        <v>20</v>
      </c>
      <c r="C21" s="29">
        <v>86.1</v>
      </c>
      <c r="D21" s="29">
        <v>21.4</v>
      </c>
      <c r="E21" s="59">
        <v>107.5</v>
      </c>
      <c r="G21" s="58">
        <f>K21-E21</f>
        <v>-0.90000000000000568</v>
      </c>
      <c r="H21" s="17" t="s">
        <v>20</v>
      </c>
      <c r="I21" s="18">
        <v>84.2</v>
      </c>
      <c r="J21" s="19">
        <f>22.4</f>
        <v>22.4</v>
      </c>
      <c r="K21" s="20">
        <f>+I21+J21</f>
        <v>106.6</v>
      </c>
      <c r="L21" s="16"/>
      <c r="M21" s="17" t="s">
        <v>20</v>
      </c>
      <c r="N21" s="18">
        <v>83.1</v>
      </c>
      <c r="O21" s="19">
        <v>22.5</v>
      </c>
      <c r="P21" s="20">
        <f t="shared" si="4"/>
        <v>105.6</v>
      </c>
      <c r="Q21" s="58">
        <f>P21-K21</f>
        <v>-1</v>
      </c>
      <c r="R21" s="62">
        <f>P21/K21</f>
        <v>0.99061913696060033</v>
      </c>
    </row>
    <row r="22" spans="2:20" x14ac:dyDescent="0.25">
      <c r="B22" s="21" t="s">
        <v>21</v>
      </c>
      <c r="C22" s="14">
        <v>4.3</v>
      </c>
      <c r="D22" s="14">
        <v>9.1999999999999993</v>
      </c>
      <c r="E22" s="30">
        <v>13.5</v>
      </c>
      <c r="G22" s="58">
        <f>K22-E22</f>
        <v>0.80000000000000071</v>
      </c>
      <c r="H22" s="21" t="s">
        <v>21</v>
      </c>
      <c r="I22" s="12">
        <v>4.4000000000000004</v>
      </c>
      <c r="J22" s="13">
        <v>9.9</v>
      </c>
      <c r="K22" s="22">
        <f>+I22+J22</f>
        <v>14.3</v>
      </c>
      <c r="L22" s="16"/>
      <c r="M22" s="21" t="s">
        <v>21</v>
      </c>
      <c r="N22" s="12">
        <v>4.3</v>
      </c>
      <c r="O22" s="13">
        <v>9.3000000000000007</v>
      </c>
      <c r="P22" s="22">
        <f t="shared" si="4"/>
        <v>13.600000000000001</v>
      </c>
      <c r="Q22" s="58">
        <f>P22-K22</f>
        <v>-0.69999999999999929</v>
      </c>
      <c r="R22" s="60">
        <f>P22/K22</f>
        <v>0.95104895104895115</v>
      </c>
      <c r="S22" s="62"/>
    </row>
    <row r="23" spans="2:20" x14ac:dyDescent="0.25">
      <c r="B23" s="23"/>
      <c r="C23" s="12"/>
      <c r="D23" s="12"/>
      <c r="E23" s="24"/>
      <c r="H23" s="23"/>
      <c r="I23" s="12"/>
      <c r="J23" s="12"/>
      <c r="K23" s="24"/>
      <c r="L23" s="16"/>
      <c r="M23" s="23"/>
      <c r="N23" s="12"/>
      <c r="O23" s="12"/>
      <c r="P23" s="24"/>
    </row>
    <row r="24" spans="2:20" x14ac:dyDescent="0.25">
      <c r="B24" s="23" t="s">
        <v>98</v>
      </c>
      <c r="C24" s="15">
        <f>+C5/$C$21</f>
        <v>0.62950058072009296</v>
      </c>
      <c r="D24" s="15">
        <f>+D5/$D$21</f>
        <v>0.14953271028037385</v>
      </c>
      <c r="E24" s="24"/>
      <c r="H24" s="23" t="s">
        <v>98</v>
      </c>
      <c r="I24" s="15">
        <f>+I5/$I$21</f>
        <v>0.62707838479809974</v>
      </c>
      <c r="J24" s="15">
        <f>+J5/$J$21</f>
        <v>0.16071428571428573</v>
      </c>
      <c r="K24" s="24"/>
      <c r="L24" s="16"/>
      <c r="M24" s="23" t="s">
        <v>98</v>
      </c>
      <c r="N24" s="15">
        <f>+N5/$N$21</f>
        <v>0.60649819494584845</v>
      </c>
      <c r="O24" s="15">
        <f>+O5/$O$21</f>
        <v>0.16</v>
      </c>
      <c r="P24" s="24"/>
    </row>
    <row r="25" spans="2:20" ht="30" x14ac:dyDescent="0.25">
      <c r="B25" s="25" t="s">
        <v>99</v>
      </c>
      <c r="C25" s="15">
        <f>+C6/$C$21</f>
        <v>0.24390243902439027</v>
      </c>
      <c r="D25" s="15">
        <f>+D6/$D$21</f>
        <v>0.12616822429906543</v>
      </c>
      <c r="E25" s="24"/>
      <c r="H25" s="25" t="s">
        <v>99</v>
      </c>
      <c r="I25" s="15">
        <f>+I6/$I$21</f>
        <v>0.24940617577197149</v>
      </c>
      <c r="J25" s="15">
        <f>+J6/$J$21</f>
        <v>0.1205357142857143</v>
      </c>
      <c r="K25" s="24"/>
      <c r="L25" s="16"/>
      <c r="M25" s="25" t="s">
        <v>99</v>
      </c>
      <c r="N25" s="15">
        <f>+N6/$N$21</f>
        <v>0.25992779783393505</v>
      </c>
      <c r="O25" s="15">
        <f>+O6/$O$21</f>
        <v>0.12000000000000001</v>
      </c>
      <c r="P25" s="24"/>
    </row>
    <row r="26" spans="2:20" ht="30" x14ac:dyDescent="0.25">
      <c r="B26" s="25" t="s">
        <v>100</v>
      </c>
      <c r="C26" s="15">
        <f>+C7/$C$21</f>
        <v>9.2915214866434396E-3</v>
      </c>
      <c r="D26" s="15">
        <f>+D7/$D$21</f>
        <v>0.14953271028037385</v>
      </c>
      <c r="E26" s="24"/>
      <c r="H26" s="25" t="s">
        <v>100</v>
      </c>
      <c r="I26" s="15">
        <f>+I7/$I$21</f>
        <v>8.9073634204275536E-3</v>
      </c>
      <c r="J26" s="15">
        <f>+J7/$J$21</f>
        <v>0.14285714285714288</v>
      </c>
      <c r="K26" s="24"/>
      <c r="L26" s="16"/>
      <c r="M26" s="25" t="s">
        <v>100</v>
      </c>
      <c r="N26" s="15">
        <f>+N7/$N$21</f>
        <v>9.2659446450060173E-3</v>
      </c>
      <c r="O26" s="15">
        <f>+O7/$O$21</f>
        <v>0.12000000000000001</v>
      </c>
      <c r="P26" s="24"/>
      <c r="R26">
        <f>(N21*23)+(O21*40)</f>
        <v>2811.3</v>
      </c>
      <c r="S26">
        <f>(I21*23)+(J21*40)</f>
        <v>2832.6000000000004</v>
      </c>
      <c r="T26">
        <f>S26/R26</f>
        <v>1.0075765660014941</v>
      </c>
    </row>
    <row r="27" spans="2:20" ht="15.75" thickBot="1" x14ac:dyDescent="0.3">
      <c r="B27" s="26" t="s">
        <v>101</v>
      </c>
      <c r="C27" s="27">
        <f>+C22/$C$21</f>
        <v>4.9941927990708478E-2</v>
      </c>
      <c r="D27" s="27">
        <f>+D22/$D$21</f>
        <v>0.42990654205607476</v>
      </c>
      <c r="E27" s="28"/>
      <c r="H27" s="26" t="s">
        <v>101</v>
      </c>
      <c r="I27" s="27">
        <f>+I22/$I$21</f>
        <v>5.2256532066508314E-2</v>
      </c>
      <c r="J27" s="27">
        <f>+J22/$J$21</f>
        <v>0.44196428571428575</v>
      </c>
      <c r="K27" s="28"/>
      <c r="L27" s="16"/>
      <c r="M27" s="26" t="s">
        <v>101</v>
      </c>
      <c r="N27" s="27">
        <f>+N22/$N$21</f>
        <v>5.1744885679903735E-2</v>
      </c>
      <c r="O27" s="27">
        <f>+O22/$O$21</f>
        <v>0.41333333333333339</v>
      </c>
      <c r="P27" s="28"/>
      <c r="R27">
        <f>P21/K21</f>
        <v>0.99061913696060033</v>
      </c>
    </row>
    <row r="28" spans="2:20" ht="15.75" thickBot="1" x14ac:dyDescent="0.3">
      <c r="M28" s="147" t="s">
        <v>105</v>
      </c>
      <c r="N28" s="148"/>
      <c r="O28" s="148"/>
      <c r="P28" s="149"/>
    </row>
    <row r="30" spans="2:20" ht="45" x14ac:dyDescent="0.3">
      <c r="H30" s="43" t="s">
        <v>93</v>
      </c>
      <c r="I30" s="44" t="s">
        <v>91</v>
      </c>
      <c r="J30" s="44" t="s">
        <v>92</v>
      </c>
      <c r="K30" t="s">
        <v>122</v>
      </c>
    </row>
  </sheetData>
  <mergeCells count="9">
    <mergeCell ref="M28:P28"/>
    <mergeCell ref="B2:E2"/>
    <mergeCell ref="B1:E1"/>
    <mergeCell ref="H1:K1"/>
    <mergeCell ref="M1:P1"/>
    <mergeCell ref="H2:K2"/>
    <mergeCell ref="M2:P2"/>
    <mergeCell ref="B20:E20"/>
    <mergeCell ref="H20:K2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72"/>
  <sheetViews>
    <sheetView topLeftCell="B13" workbookViewId="0">
      <selection activeCell="L35" sqref="L35"/>
    </sheetView>
  </sheetViews>
  <sheetFormatPr defaultRowHeight="15" x14ac:dyDescent="0.25"/>
  <cols>
    <col min="2" max="2" width="14.28515625" customWidth="1"/>
    <col min="11" max="11" width="10.140625" customWidth="1"/>
    <col min="13" max="13" width="10" customWidth="1"/>
  </cols>
  <sheetData>
    <row r="3" spans="1:20" x14ac:dyDescent="0.25">
      <c r="A3">
        <v>1</v>
      </c>
      <c r="B3" t="s">
        <v>25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</row>
    <row r="4" spans="1:20" x14ac:dyDescent="0.25">
      <c r="A4">
        <v>2</v>
      </c>
      <c r="B4" t="s">
        <v>25</v>
      </c>
      <c r="C4" t="s">
        <v>44</v>
      </c>
      <c r="D4" t="s">
        <v>44</v>
      </c>
      <c r="E4" t="s">
        <v>44</v>
      </c>
      <c r="F4" t="s">
        <v>44</v>
      </c>
      <c r="G4" t="s">
        <v>44</v>
      </c>
    </row>
    <row r="5" spans="1:20" x14ac:dyDescent="0.25">
      <c r="A5">
        <v>3</v>
      </c>
      <c r="B5" t="s">
        <v>25</v>
      </c>
      <c r="C5" s="91"/>
      <c r="D5" s="91"/>
      <c r="E5" s="91"/>
      <c r="F5" s="91"/>
      <c r="G5" s="91"/>
      <c r="N5" t="s">
        <v>44</v>
      </c>
      <c r="O5" t="s">
        <v>44</v>
      </c>
      <c r="P5" t="s">
        <v>44</v>
      </c>
      <c r="Q5" t="s">
        <v>44</v>
      </c>
      <c r="S5" s="6"/>
      <c r="T5" s="6"/>
    </row>
    <row r="6" spans="1:20" x14ac:dyDescent="0.25">
      <c r="A6">
        <v>4</v>
      </c>
      <c r="B6" t="s">
        <v>25</v>
      </c>
      <c r="C6" s="91"/>
      <c r="D6" s="91"/>
      <c r="E6" s="91"/>
      <c r="F6" s="91"/>
      <c r="G6" s="91"/>
      <c r="N6" t="s">
        <v>44</v>
      </c>
      <c r="O6" t="s">
        <v>44</v>
      </c>
    </row>
    <row r="7" spans="1:20" x14ac:dyDescent="0.25">
      <c r="A7">
        <v>5</v>
      </c>
      <c r="B7" t="s">
        <v>25</v>
      </c>
      <c r="C7" s="91"/>
      <c r="D7" s="91"/>
      <c r="E7" s="91"/>
      <c r="F7" s="91"/>
      <c r="G7" s="91"/>
      <c r="Q7" s="61"/>
      <c r="R7" s="61"/>
      <c r="S7" s="61"/>
      <c r="T7" s="61"/>
    </row>
    <row r="8" spans="1:20" x14ac:dyDescent="0.25">
      <c r="A8">
        <v>6</v>
      </c>
      <c r="B8" t="s">
        <v>25</v>
      </c>
      <c r="C8" s="91"/>
      <c r="D8" s="91"/>
      <c r="E8" s="91"/>
      <c r="F8" s="91"/>
      <c r="G8" s="91"/>
      <c r="Q8" s="7"/>
      <c r="R8" s="7"/>
      <c r="S8" s="7"/>
      <c r="T8" s="7"/>
    </row>
    <row r="9" spans="1:20" x14ac:dyDescent="0.25">
      <c r="A9">
        <v>7</v>
      </c>
      <c r="B9" t="s">
        <v>25</v>
      </c>
      <c r="C9" s="91"/>
      <c r="D9" s="91"/>
      <c r="E9" s="91"/>
      <c r="F9" s="91"/>
      <c r="G9" s="91"/>
      <c r="Q9" s="7"/>
      <c r="R9" s="7"/>
      <c r="S9" s="7"/>
      <c r="T9" s="7"/>
    </row>
    <row r="10" spans="1:20" x14ac:dyDescent="0.25">
      <c r="A10">
        <v>8</v>
      </c>
      <c r="B10" t="s">
        <v>25</v>
      </c>
      <c r="C10" s="91"/>
      <c r="D10" s="91"/>
      <c r="E10" s="91"/>
      <c r="F10" s="91"/>
      <c r="G10" s="91"/>
      <c r="Q10" s="7"/>
      <c r="R10" s="7"/>
      <c r="S10" s="7"/>
      <c r="T10" s="7"/>
    </row>
    <row r="11" spans="1:20" ht="15.75" thickBot="1" x14ac:dyDescent="0.3">
      <c r="A11">
        <v>9</v>
      </c>
      <c r="B11" t="s">
        <v>25</v>
      </c>
      <c r="C11" s="91"/>
      <c r="D11" s="91"/>
      <c r="E11" s="91"/>
      <c r="F11" s="91"/>
      <c r="G11" s="91"/>
      <c r="N11" t="s">
        <v>129</v>
      </c>
      <c r="O11">
        <v>1136</v>
      </c>
      <c r="Q11" s="7"/>
      <c r="R11" s="7"/>
      <c r="S11" s="7"/>
      <c r="T11" s="7"/>
    </row>
    <row r="12" spans="1:20" x14ac:dyDescent="0.25">
      <c r="A12">
        <v>10</v>
      </c>
      <c r="B12" t="s">
        <v>25</v>
      </c>
      <c r="C12" s="91"/>
      <c r="D12" s="91"/>
      <c r="E12" s="91"/>
      <c r="F12" s="91"/>
      <c r="G12" s="91"/>
      <c r="J12" s="33"/>
      <c r="K12" s="18">
        <v>2011</v>
      </c>
      <c r="L12" s="34">
        <v>2012</v>
      </c>
      <c r="Q12" s="7"/>
      <c r="R12" s="7"/>
      <c r="S12" s="7"/>
      <c r="T12" s="7"/>
    </row>
    <row r="13" spans="1:20" x14ac:dyDescent="0.25">
      <c r="A13">
        <v>11</v>
      </c>
      <c r="B13" t="s">
        <v>25</v>
      </c>
      <c r="C13" s="91"/>
      <c r="D13" s="91"/>
      <c r="E13" s="91"/>
      <c r="F13" s="91"/>
      <c r="G13" s="91"/>
      <c r="J13" s="23" t="s">
        <v>113</v>
      </c>
      <c r="K13" s="39">
        <v>28805.759999999998</v>
      </c>
      <c r="L13" s="41">
        <v>31019.56</v>
      </c>
      <c r="Q13" s="7"/>
      <c r="R13" s="7"/>
      <c r="S13" s="7"/>
      <c r="T13" s="7"/>
    </row>
    <row r="14" spans="1:20" ht="15.75" thickBot="1" x14ac:dyDescent="0.3">
      <c r="A14">
        <v>12</v>
      </c>
      <c r="B14" t="s">
        <v>25</v>
      </c>
      <c r="C14" s="146"/>
      <c r="D14" s="146"/>
      <c r="F14" s="91" t="s">
        <v>44</v>
      </c>
      <c r="G14" s="91" t="s">
        <v>44</v>
      </c>
      <c r="J14" s="26" t="s">
        <v>114</v>
      </c>
      <c r="K14" s="42">
        <v>21741</v>
      </c>
      <c r="L14" s="28">
        <v>22529</v>
      </c>
      <c r="Q14" s="7"/>
      <c r="R14" s="7"/>
      <c r="S14" s="7"/>
      <c r="T14" s="7"/>
    </row>
    <row r="15" spans="1:20" x14ac:dyDescent="0.25">
      <c r="A15">
        <v>13</v>
      </c>
      <c r="B15" t="s">
        <v>25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N15" t="s">
        <v>44</v>
      </c>
      <c r="O15" t="s">
        <v>44</v>
      </c>
      <c r="Q15" s="6"/>
      <c r="R15" s="6"/>
      <c r="S15" s="6"/>
      <c r="T15" s="6"/>
    </row>
    <row r="16" spans="1:20" x14ac:dyDescent="0.25">
      <c r="A16">
        <v>14</v>
      </c>
      <c r="B16" t="s">
        <v>24</v>
      </c>
    </row>
    <row r="17" spans="1:21" x14ac:dyDescent="0.25">
      <c r="A17">
        <v>15</v>
      </c>
      <c r="B17" t="s">
        <v>25</v>
      </c>
      <c r="C17" s="72">
        <v>2013</v>
      </c>
      <c r="D17" s="61">
        <v>2012</v>
      </c>
      <c r="E17" s="61">
        <v>2011</v>
      </c>
      <c r="F17" s="61">
        <v>2010</v>
      </c>
      <c r="G17" s="61">
        <v>2009</v>
      </c>
      <c r="H17" s="61">
        <v>2008</v>
      </c>
    </row>
    <row r="18" spans="1:21" ht="15.75" thickBot="1" x14ac:dyDescent="0.3">
      <c r="A18">
        <v>16</v>
      </c>
      <c r="B18" t="s">
        <v>25</v>
      </c>
      <c r="C18" s="75"/>
      <c r="D18" t="s">
        <v>146</v>
      </c>
      <c r="E18" t="s">
        <v>44</v>
      </c>
      <c r="F18" t="s">
        <v>44</v>
      </c>
      <c r="G18" t="s">
        <v>44</v>
      </c>
      <c r="H18" t="s">
        <v>44</v>
      </c>
    </row>
    <row r="19" spans="1:21" ht="15.75" thickBot="1" x14ac:dyDescent="0.3">
      <c r="A19">
        <v>17</v>
      </c>
      <c r="B19" t="s">
        <v>74</v>
      </c>
      <c r="C19" s="98">
        <v>87187</v>
      </c>
      <c r="D19">
        <v>82622</v>
      </c>
      <c r="E19" s="145">
        <v>83789</v>
      </c>
      <c r="F19">
        <v>85037</v>
      </c>
      <c r="G19">
        <v>73154</v>
      </c>
      <c r="H19">
        <v>66043</v>
      </c>
      <c r="J19" s="156"/>
      <c r="K19" s="156"/>
      <c r="L19" s="156"/>
      <c r="M19" s="156"/>
      <c r="N19" s="156"/>
      <c r="O19" s="80"/>
      <c r="Q19" s="118" t="s">
        <v>112</v>
      </c>
      <c r="R19" s="119"/>
      <c r="S19" s="5"/>
      <c r="T19" s="31"/>
      <c r="U19" s="32"/>
    </row>
    <row r="20" spans="1:21" ht="15.75" thickBot="1" x14ac:dyDescent="0.3">
      <c r="A20">
        <v>18</v>
      </c>
      <c r="B20" t="s">
        <v>56</v>
      </c>
      <c r="C20" s="98"/>
      <c r="D20">
        <v>52210</v>
      </c>
      <c r="E20">
        <v>54420</v>
      </c>
      <c r="F20">
        <v>51468</v>
      </c>
      <c r="G20">
        <v>42047</v>
      </c>
      <c r="H20">
        <v>35823</v>
      </c>
      <c r="J20" s="157"/>
      <c r="K20" s="157"/>
      <c r="L20" s="157"/>
      <c r="M20" s="157"/>
      <c r="N20" s="157"/>
      <c r="O20" s="81"/>
      <c r="Q20" s="120">
        <v>2011</v>
      </c>
      <c r="R20" s="121">
        <v>2012</v>
      </c>
      <c r="S20" s="5">
        <v>2013</v>
      </c>
      <c r="T20" s="33"/>
      <c r="U20" s="34"/>
    </row>
    <row r="21" spans="1:21" x14ac:dyDescent="0.25">
      <c r="B21" t="s">
        <v>54</v>
      </c>
      <c r="C21" s="73">
        <v>50340</v>
      </c>
      <c r="D21">
        <v>50350</v>
      </c>
      <c r="E21">
        <v>52805</v>
      </c>
      <c r="F21">
        <v>50088</v>
      </c>
      <c r="G21">
        <v>40728</v>
      </c>
      <c r="H21">
        <v>34968</v>
      </c>
      <c r="I21">
        <v>1</v>
      </c>
      <c r="J21" s="157"/>
      <c r="K21" s="157"/>
      <c r="L21" s="157"/>
      <c r="M21" s="157"/>
      <c r="N21" s="157"/>
      <c r="O21" s="81"/>
      <c r="P21" s="36" t="s">
        <v>106</v>
      </c>
      <c r="Q21" s="122">
        <f>E19/1000</f>
        <v>83.789000000000001</v>
      </c>
      <c r="R21" s="123">
        <f>D19/1000</f>
        <v>82.622</v>
      </c>
      <c r="S21" s="9">
        <f>SUM(S22:S26)</f>
        <v>87.18180000000001</v>
      </c>
      <c r="T21" s="35"/>
      <c r="U21" s="22"/>
    </row>
    <row r="22" spans="1:21" x14ac:dyDescent="0.25">
      <c r="B22" t="s">
        <v>62</v>
      </c>
      <c r="C22" s="98"/>
      <c r="D22">
        <v>22529</v>
      </c>
      <c r="E22">
        <v>21741</v>
      </c>
      <c r="F22">
        <v>26065</v>
      </c>
      <c r="G22">
        <v>24435</v>
      </c>
      <c r="H22">
        <v>24575</v>
      </c>
      <c r="J22" s="157"/>
      <c r="K22" s="157"/>
      <c r="L22" s="157"/>
      <c r="M22" s="157"/>
      <c r="N22" s="157"/>
      <c r="O22" s="81"/>
      <c r="P22" s="37" t="s">
        <v>107</v>
      </c>
      <c r="Q22" s="122">
        <f>4.44+0.12</f>
        <v>4.5600000000000005</v>
      </c>
      <c r="R22" s="123">
        <f>4.38+0.12</f>
        <v>4.5</v>
      </c>
      <c r="S22" s="9">
        <f>C25/1000</f>
        <v>4.5339999999999998</v>
      </c>
      <c r="T22" s="35"/>
      <c r="U22" s="22"/>
    </row>
    <row r="23" spans="1:21" x14ac:dyDescent="0.25">
      <c r="B23" t="s">
        <v>58</v>
      </c>
      <c r="C23" s="73">
        <v>25530.2</v>
      </c>
      <c r="D23">
        <v>21622</v>
      </c>
      <c r="E23">
        <v>21020</v>
      </c>
      <c r="F23">
        <v>25530</v>
      </c>
      <c r="G23">
        <v>23920</v>
      </c>
      <c r="H23">
        <v>24200</v>
      </c>
      <c r="I23">
        <v>2</v>
      </c>
      <c r="J23" s="157"/>
      <c r="K23" s="157"/>
      <c r="L23" s="157"/>
      <c r="M23" s="157"/>
      <c r="N23" s="157"/>
      <c r="O23" s="81"/>
      <c r="P23" s="37" t="s">
        <v>108</v>
      </c>
      <c r="Q23" s="122">
        <f>(+E21+E22+E45+E54)/1000</f>
        <v>74.725999999999999</v>
      </c>
      <c r="R23" s="123">
        <f>(+D21+D22+D45+D54)/1000</f>
        <v>73.099000000000004</v>
      </c>
      <c r="S23" s="9">
        <f>(C21+C23+C28+C35+C40+C49+C68+C69)/1000</f>
        <v>78.887799999999999</v>
      </c>
      <c r="T23" s="35"/>
      <c r="U23" s="22"/>
    </row>
    <row r="24" spans="1:21" x14ac:dyDescent="0.25">
      <c r="B24" t="s">
        <v>47</v>
      </c>
      <c r="C24" s="98"/>
      <c r="D24">
        <v>4384</v>
      </c>
      <c r="E24">
        <v>4436</v>
      </c>
      <c r="F24">
        <v>4249</v>
      </c>
      <c r="G24">
        <v>3645</v>
      </c>
      <c r="H24">
        <v>2814</v>
      </c>
      <c r="J24" s="157"/>
      <c r="K24" s="157"/>
      <c r="L24" s="157"/>
      <c r="M24" s="157"/>
      <c r="N24" s="157"/>
      <c r="O24" s="81"/>
      <c r="P24" s="37" t="s">
        <v>109</v>
      </c>
      <c r="Q24" s="122">
        <f>3.2+0.15</f>
        <v>3.35</v>
      </c>
      <c r="R24" s="123">
        <f>3.55+0.19</f>
        <v>3.7399999999999998</v>
      </c>
      <c r="S24" s="9">
        <f>(C27+C31+C32+C57+C66+C70+C71)/1000</f>
        <v>3.48</v>
      </c>
      <c r="T24" s="35"/>
      <c r="U24" s="22"/>
    </row>
    <row r="25" spans="1:21" ht="15.75" thickBot="1" x14ac:dyDescent="0.3">
      <c r="B25" t="s">
        <v>45</v>
      </c>
      <c r="C25" s="73">
        <v>4534</v>
      </c>
      <c r="D25">
        <v>4478</v>
      </c>
      <c r="E25">
        <v>4316</v>
      </c>
      <c r="F25">
        <v>4149</v>
      </c>
      <c r="G25">
        <v>3545</v>
      </c>
      <c r="H25">
        <v>2728</v>
      </c>
      <c r="J25" s="157"/>
      <c r="K25" s="157"/>
      <c r="L25" s="157"/>
      <c r="M25" s="157"/>
      <c r="N25" s="157"/>
      <c r="O25" s="81"/>
      <c r="P25" s="38" t="s">
        <v>110</v>
      </c>
      <c r="Q25" s="124">
        <v>0.28999999999999998</v>
      </c>
      <c r="R25" s="125">
        <v>0.27</v>
      </c>
      <c r="S25" s="9">
        <f>275/1000</f>
        <v>0.27500000000000002</v>
      </c>
      <c r="T25" s="47"/>
      <c r="U25" s="46"/>
    </row>
    <row r="26" spans="1:21" ht="15.75" thickBot="1" x14ac:dyDescent="0.3">
      <c r="B26" t="s">
        <v>71</v>
      </c>
      <c r="C26" s="98"/>
      <c r="D26">
        <v>3522</v>
      </c>
      <c r="E26">
        <v>3173</v>
      </c>
      <c r="F26">
        <v>2835</v>
      </c>
      <c r="G26">
        <v>2727</v>
      </c>
      <c r="H26">
        <v>2620</v>
      </c>
      <c r="J26" s="157"/>
      <c r="K26" s="157"/>
      <c r="L26" s="157"/>
      <c r="M26" s="157"/>
      <c r="N26" s="157"/>
      <c r="O26" s="81"/>
      <c r="P26" s="45" t="s">
        <v>123</v>
      </c>
      <c r="Q26" s="111">
        <f>0.145+0.125</f>
        <v>0.27</v>
      </c>
      <c r="R26" s="126">
        <f>0.16+0.14</f>
        <v>0.30000000000000004</v>
      </c>
      <c r="S26" s="9">
        <f>5/1000</f>
        <v>5.0000000000000001E-3</v>
      </c>
      <c r="T26" s="48"/>
      <c r="U26" s="49"/>
    </row>
    <row r="27" spans="1:21" x14ac:dyDescent="0.25">
      <c r="B27" t="s">
        <v>63</v>
      </c>
      <c r="C27" s="73">
        <v>2000</v>
      </c>
      <c r="D27">
        <v>2100</v>
      </c>
      <c r="E27">
        <v>2100</v>
      </c>
      <c r="F27">
        <v>2050</v>
      </c>
      <c r="G27">
        <v>2050</v>
      </c>
      <c r="H27">
        <v>2000</v>
      </c>
      <c r="I27">
        <v>3</v>
      </c>
      <c r="J27" s="157" t="s">
        <v>150</v>
      </c>
      <c r="K27" s="157"/>
      <c r="L27" s="157"/>
      <c r="M27" s="157"/>
      <c r="N27" s="157"/>
      <c r="O27" s="81"/>
      <c r="Q27" s="5"/>
      <c r="R27" s="5"/>
      <c r="S27" s="5"/>
    </row>
    <row r="28" spans="1:21" x14ac:dyDescent="0.25">
      <c r="B28" t="s">
        <v>52</v>
      </c>
      <c r="C28" s="73">
        <v>1800</v>
      </c>
      <c r="D28">
        <v>1725</v>
      </c>
      <c r="E28">
        <v>1550</v>
      </c>
      <c r="F28">
        <v>1310</v>
      </c>
      <c r="G28">
        <v>1250</v>
      </c>
      <c r="H28">
        <v>820</v>
      </c>
      <c r="I28">
        <v>4</v>
      </c>
      <c r="J28" s="157"/>
      <c r="K28" s="157"/>
      <c r="L28" s="157"/>
      <c r="M28" s="157"/>
      <c r="N28" s="157"/>
      <c r="O28" s="81"/>
    </row>
    <row r="29" spans="1:21" x14ac:dyDescent="0.25">
      <c r="B29" t="s">
        <v>30</v>
      </c>
      <c r="C29" s="98">
        <v>960</v>
      </c>
      <c r="D29">
        <v>1000</v>
      </c>
      <c r="E29">
        <v>1138</v>
      </c>
      <c r="F29">
        <v>1015</v>
      </c>
      <c r="G29">
        <v>1035</v>
      </c>
      <c r="H29">
        <v>945</v>
      </c>
      <c r="I29">
        <v>5</v>
      </c>
      <c r="J29" s="157"/>
      <c r="K29" s="157"/>
      <c r="L29" s="157"/>
      <c r="M29" s="157"/>
      <c r="N29" s="157"/>
      <c r="O29" s="81"/>
    </row>
    <row r="30" spans="1:21" x14ac:dyDescent="0.25">
      <c r="B30" t="s">
        <v>31</v>
      </c>
      <c r="C30" s="98">
        <v>847</v>
      </c>
      <c r="D30">
        <v>773</v>
      </c>
      <c r="E30">
        <v>743</v>
      </c>
      <c r="F30">
        <v>761</v>
      </c>
      <c r="G30">
        <v>749</v>
      </c>
      <c r="H30">
        <v>587</v>
      </c>
      <c r="I30">
        <v>6</v>
      </c>
      <c r="J30" s="157"/>
      <c r="K30" s="157"/>
      <c r="L30" s="157"/>
      <c r="M30" s="157"/>
      <c r="N30" s="157"/>
      <c r="O30" s="81"/>
    </row>
    <row r="31" spans="1:21" x14ac:dyDescent="0.25">
      <c r="B31" t="s">
        <v>69</v>
      </c>
      <c r="C31" s="73">
        <v>955</v>
      </c>
      <c r="D31">
        <v>657</v>
      </c>
      <c r="E31">
        <v>510</v>
      </c>
      <c r="F31">
        <v>426</v>
      </c>
      <c r="G31">
        <v>401</v>
      </c>
      <c r="H31">
        <v>336</v>
      </c>
      <c r="I31">
        <v>7</v>
      </c>
      <c r="J31" s="157"/>
      <c r="K31" s="157"/>
      <c r="L31" s="157"/>
      <c r="M31" s="157"/>
      <c r="N31" s="157"/>
      <c r="O31" s="144"/>
      <c r="P31" s="6"/>
    </row>
    <row r="32" spans="1:21" x14ac:dyDescent="0.25">
      <c r="B32" t="s">
        <v>64</v>
      </c>
      <c r="C32" s="73">
        <v>425</v>
      </c>
      <c r="D32">
        <v>418</v>
      </c>
      <c r="E32">
        <v>384</v>
      </c>
      <c r="F32">
        <v>204</v>
      </c>
      <c r="G32">
        <v>135</v>
      </c>
      <c r="H32">
        <v>273</v>
      </c>
      <c r="I32">
        <v>8</v>
      </c>
      <c r="J32" s="157"/>
      <c r="K32" s="157"/>
      <c r="L32" s="157"/>
      <c r="M32" s="157"/>
      <c r="N32" s="157"/>
      <c r="O32" s="144"/>
    </row>
    <row r="33" spans="2:15" x14ac:dyDescent="0.25">
      <c r="B33" t="s">
        <v>27</v>
      </c>
      <c r="C33" s="98">
        <v>435</v>
      </c>
      <c r="D33">
        <v>410</v>
      </c>
      <c r="E33">
        <v>355</v>
      </c>
      <c r="F33">
        <v>315</v>
      </c>
      <c r="G33">
        <v>220</v>
      </c>
      <c r="H33">
        <v>70</v>
      </c>
      <c r="I33">
        <v>9</v>
      </c>
      <c r="J33" s="158"/>
      <c r="K33" s="158"/>
      <c r="L33" s="158"/>
      <c r="M33" s="158"/>
      <c r="N33" s="158"/>
      <c r="O33" s="81"/>
    </row>
    <row r="34" spans="2:15" x14ac:dyDescent="0.25">
      <c r="B34" t="s">
        <v>41</v>
      </c>
      <c r="C34" s="98">
        <v>415</v>
      </c>
      <c r="D34">
        <v>381</v>
      </c>
      <c r="E34">
        <v>463</v>
      </c>
      <c r="F34">
        <v>472</v>
      </c>
      <c r="G34">
        <v>465</v>
      </c>
      <c r="H34">
        <v>346</v>
      </c>
      <c r="I34">
        <v>10</v>
      </c>
      <c r="J34" s="158"/>
      <c r="K34" s="158"/>
      <c r="L34" s="158"/>
      <c r="M34" s="158"/>
      <c r="N34" s="158"/>
      <c r="O34" s="81"/>
    </row>
    <row r="35" spans="2:15" x14ac:dyDescent="0.25">
      <c r="B35" t="s">
        <v>59</v>
      </c>
      <c r="C35" s="73">
        <v>389</v>
      </c>
      <c r="D35">
        <v>370</v>
      </c>
      <c r="E35">
        <v>341</v>
      </c>
      <c r="F35">
        <v>291</v>
      </c>
      <c r="G35">
        <v>325</v>
      </c>
      <c r="H35">
        <v>256</v>
      </c>
      <c r="I35">
        <v>11</v>
      </c>
      <c r="J35" s="92"/>
      <c r="K35" s="93"/>
      <c r="L35" s="93"/>
      <c r="M35" s="93"/>
      <c r="N35" s="93"/>
      <c r="O35" s="159"/>
    </row>
    <row r="36" spans="2:15" x14ac:dyDescent="0.25">
      <c r="B36" t="s">
        <v>72</v>
      </c>
      <c r="C36" s="73">
        <v>275</v>
      </c>
      <c r="D36">
        <v>280</v>
      </c>
      <c r="E36">
        <v>290</v>
      </c>
      <c r="F36">
        <v>280</v>
      </c>
      <c r="G36">
        <v>200</v>
      </c>
      <c r="H36">
        <v>131</v>
      </c>
      <c r="I36">
        <v>12</v>
      </c>
      <c r="J36" s="92"/>
      <c r="K36" s="93"/>
      <c r="L36" s="93"/>
      <c r="M36" s="93"/>
      <c r="N36" s="93"/>
      <c r="O36" s="159"/>
    </row>
    <row r="37" spans="2:15" ht="15.75" x14ac:dyDescent="0.25">
      <c r="B37" t="s">
        <v>73</v>
      </c>
      <c r="C37" s="98"/>
      <c r="D37">
        <v>270</v>
      </c>
      <c r="E37">
        <v>290</v>
      </c>
      <c r="F37">
        <v>280</v>
      </c>
      <c r="G37">
        <v>200</v>
      </c>
      <c r="H37">
        <v>131</v>
      </c>
      <c r="I37">
        <v>13</v>
      </c>
      <c r="J37" s="160"/>
      <c r="K37" s="160"/>
      <c r="L37" s="160"/>
      <c r="M37" s="160"/>
      <c r="N37" s="160"/>
      <c r="O37" s="159"/>
    </row>
    <row r="38" spans="2:15" ht="15" customHeight="1" x14ac:dyDescent="0.25">
      <c r="B38" s="91" t="s">
        <v>38</v>
      </c>
      <c r="C38" s="98">
        <v>230</v>
      </c>
      <c r="D38" s="91">
        <v>212</v>
      </c>
      <c r="E38" s="91">
        <v>170</v>
      </c>
      <c r="F38" s="91">
        <v>204</v>
      </c>
      <c r="G38" s="91">
        <v>166</v>
      </c>
      <c r="H38" s="91">
        <v>110</v>
      </c>
      <c r="I38">
        <v>14</v>
      </c>
      <c r="J38" s="160"/>
      <c r="K38" s="160"/>
      <c r="L38" s="160"/>
      <c r="M38" s="160"/>
      <c r="N38" s="160"/>
      <c r="O38" s="159"/>
    </row>
    <row r="39" spans="2:15" ht="15" customHeight="1" x14ac:dyDescent="0.25">
      <c r="B39" s="91" t="s">
        <v>42</v>
      </c>
      <c r="C39" s="98">
        <v>219</v>
      </c>
      <c r="D39" s="91">
        <v>224</v>
      </c>
      <c r="E39" s="91">
        <v>200</v>
      </c>
      <c r="F39" s="91">
        <v>205</v>
      </c>
      <c r="G39" s="91">
        <v>164</v>
      </c>
      <c r="H39" s="91">
        <v>75</v>
      </c>
      <c r="I39">
        <v>15</v>
      </c>
      <c r="J39" s="161"/>
      <c r="K39" s="161"/>
      <c r="L39" s="161"/>
      <c r="M39" s="161"/>
      <c r="N39" s="161"/>
      <c r="O39" s="159"/>
    </row>
    <row r="40" spans="2:15" x14ac:dyDescent="0.25">
      <c r="B40" s="91" t="s">
        <v>57</v>
      </c>
      <c r="C40" s="73">
        <v>473.6</v>
      </c>
      <c r="D40" s="91">
        <v>253</v>
      </c>
      <c r="E40" s="91">
        <v>170</v>
      </c>
      <c r="F40" s="91">
        <v>122</v>
      </c>
      <c r="G40" s="91">
        <v>30</v>
      </c>
      <c r="H40" s="91">
        <v>0</v>
      </c>
      <c r="I40">
        <v>16</v>
      </c>
      <c r="J40" s="157"/>
      <c r="K40" s="157"/>
      <c r="L40" s="157"/>
      <c r="M40" s="157"/>
      <c r="N40" s="157"/>
      <c r="O40" s="159"/>
    </row>
    <row r="41" spans="2:15" x14ac:dyDescent="0.25">
      <c r="B41" s="91" t="s">
        <v>32</v>
      </c>
      <c r="C41" s="98">
        <v>330</v>
      </c>
      <c r="D41" s="91">
        <v>270</v>
      </c>
      <c r="E41" s="91">
        <v>173</v>
      </c>
      <c r="F41" s="91">
        <v>186</v>
      </c>
      <c r="G41" s="91">
        <v>150</v>
      </c>
      <c r="H41" s="91">
        <v>140</v>
      </c>
      <c r="I41">
        <v>17</v>
      </c>
    </row>
    <row r="42" spans="2:15" x14ac:dyDescent="0.25">
      <c r="B42" s="91" t="s">
        <v>37</v>
      </c>
      <c r="C42" s="98">
        <v>300</v>
      </c>
      <c r="D42">
        <v>450</v>
      </c>
      <c r="E42">
        <v>400</v>
      </c>
      <c r="F42">
        <v>100</v>
      </c>
      <c r="G42">
        <v>0</v>
      </c>
      <c r="H42">
        <v>9</v>
      </c>
      <c r="I42">
        <v>18</v>
      </c>
    </row>
    <row r="43" spans="2:15" x14ac:dyDescent="0.25">
      <c r="B43" t="s">
        <v>26</v>
      </c>
      <c r="C43" s="98">
        <v>200</v>
      </c>
      <c r="D43">
        <v>216</v>
      </c>
      <c r="E43">
        <v>217</v>
      </c>
      <c r="F43">
        <v>199</v>
      </c>
      <c r="G43">
        <v>175</v>
      </c>
      <c r="H43">
        <v>89</v>
      </c>
      <c r="I43">
        <v>19</v>
      </c>
      <c r="J43" s="82"/>
    </row>
    <row r="44" spans="2:15" x14ac:dyDescent="0.25">
      <c r="B44" t="s">
        <v>70</v>
      </c>
      <c r="C44" s="98"/>
      <c r="D44">
        <v>190</v>
      </c>
      <c r="E44">
        <v>150</v>
      </c>
      <c r="F44">
        <v>100</v>
      </c>
      <c r="G44">
        <v>68</v>
      </c>
      <c r="H44">
        <v>10</v>
      </c>
    </row>
    <row r="45" spans="2:15" x14ac:dyDescent="0.25">
      <c r="B45" t="s">
        <v>61</v>
      </c>
      <c r="C45" s="98"/>
      <c r="D45">
        <v>180</v>
      </c>
      <c r="E45">
        <v>130</v>
      </c>
      <c r="F45">
        <v>100</v>
      </c>
      <c r="G45">
        <v>130</v>
      </c>
      <c r="H45">
        <v>119</v>
      </c>
      <c r="J45" s="89"/>
      <c r="K45" s="88"/>
      <c r="L45" s="88"/>
      <c r="M45" s="88"/>
    </row>
    <row r="46" spans="2:15" x14ac:dyDescent="0.25">
      <c r="B46" t="s">
        <v>43</v>
      </c>
      <c r="C46" s="98">
        <v>225</v>
      </c>
      <c r="D46">
        <v>170</v>
      </c>
      <c r="E46">
        <v>200</v>
      </c>
      <c r="F46">
        <v>285</v>
      </c>
      <c r="G46">
        <v>75</v>
      </c>
      <c r="H46">
        <v>72</v>
      </c>
      <c r="J46" s="89"/>
      <c r="K46" s="88"/>
      <c r="L46" s="88"/>
      <c r="M46" s="88"/>
    </row>
    <row r="47" spans="2:15" x14ac:dyDescent="0.25">
      <c r="B47" t="s">
        <v>51</v>
      </c>
      <c r="C47" s="98"/>
      <c r="D47">
        <v>160</v>
      </c>
      <c r="E47">
        <v>145</v>
      </c>
      <c r="F47">
        <v>140</v>
      </c>
      <c r="G47">
        <v>100</v>
      </c>
      <c r="H47">
        <v>80</v>
      </c>
      <c r="J47" s="89"/>
      <c r="K47" s="88"/>
      <c r="L47" s="88"/>
      <c r="M47" s="88"/>
    </row>
    <row r="48" spans="2:15" x14ac:dyDescent="0.25">
      <c r="B48" t="s">
        <v>46</v>
      </c>
      <c r="C48" s="98"/>
      <c r="D48">
        <v>150</v>
      </c>
      <c r="E48">
        <v>120</v>
      </c>
      <c r="F48">
        <v>100</v>
      </c>
      <c r="G48">
        <v>100</v>
      </c>
      <c r="H48">
        <v>86</v>
      </c>
      <c r="J48" s="89"/>
      <c r="K48" s="88"/>
      <c r="L48" s="88"/>
      <c r="M48" s="88"/>
    </row>
    <row r="49" spans="2:13" x14ac:dyDescent="0.25">
      <c r="B49" t="s">
        <v>60</v>
      </c>
      <c r="C49" s="73">
        <v>140</v>
      </c>
      <c r="D49">
        <v>110</v>
      </c>
      <c r="E49">
        <v>80</v>
      </c>
      <c r="F49">
        <v>22</v>
      </c>
      <c r="G49">
        <v>30</v>
      </c>
      <c r="H49">
        <v>0</v>
      </c>
      <c r="J49" s="89"/>
      <c r="K49" s="88"/>
      <c r="L49" s="88"/>
      <c r="M49" s="88"/>
    </row>
    <row r="50" spans="2:13" x14ac:dyDescent="0.25">
      <c r="B50" t="s">
        <v>50</v>
      </c>
      <c r="C50" s="98"/>
      <c r="D50">
        <v>140</v>
      </c>
      <c r="E50">
        <v>125</v>
      </c>
      <c r="F50">
        <v>120</v>
      </c>
      <c r="G50">
        <v>80</v>
      </c>
      <c r="H50">
        <v>60</v>
      </c>
      <c r="J50" s="89"/>
      <c r="K50" s="88"/>
      <c r="L50" s="88"/>
      <c r="M50" s="88"/>
    </row>
    <row r="51" spans="2:13" x14ac:dyDescent="0.25">
      <c r="B51" t="s">
        <v>40</v>
      </c>
      <c r="C51" s="98">
        <v>135</v>
      </c>
      <c r="D51">
        <v>130</v>
      </c>
      <c r="E51">
        <v>130</v>
      </c>
      <c r="F51">
        <v>127</v>
      </c>
      <c r="G51">
        <v>118</v>
      </c>
      <c r="H51">
        <v>95</v>
      </c>
      <c r="J51" s="89"/>
      <c r="K51" s="88"/>
      <c r="L51" s="88"/>
      <c r="M51" s="88"/>
    </row>
    <row r="52" spans="2:13" x14ac:dyDescent="0.25">
      <c r="B52" t="s">
        <v>28</v>
      </c>
      <c r="C52" s="98">
        <v>130</v>
      </c>
      <c r="D52">
        <v>120</v>
      </c>
      <c r="E52">
        <v>69</v>
      </c>
      <c r="F52">
        <v>120</v>
      </c>
      <c r="G52">
        <v>113</v>
      </c>
      <c r="H52">
        <v>76</v>
      </c>
      <c r="J52" s="89"/>
      <c r="K52" s="88"/>
      <c r="L52" s="88"/>
      <c r="M52" s="88"/>
    </row>
    <row r="53" spans="2:13" x14ac:dyDescent="0.25">
      <c r="B53" t="s">
        <v>65</v>
      </c>
      <c r="C53" s="98">
        <v>47</v>
      </c>
      <c r="D53">
        <v>50</v>
      </c>
      <c r="E53">
        <v>10</v>
      </c>
      <c r="F53">
        <v>30</v>
      </c>
      <c r="G53">
        <v>50</v>
      </c>
      <c r="H53">
        <v>0</v>
      </c>
      <c r="J53" s="89"/>
      <c r="K53" s="88"/>
      <c r="L53" s="88"/>
      <c r="M53" s="88"/>
    </row>
    <row r="54" spans="2:13" x14ac:dyDescent="0.25">
      <c r="B54" t="s">
        <v>55</v>
      </c>
      <c r="C54" s="98"/>
      <c r="D54">
        <v>40</v>
      </c>
      <c r="E54">
        <v>50</v>
      </c>
      <c r="F54">
        <v>60</v>
      </c>
      <c r="G54">
        <v>69</v>
      </c>
      <c r="H54">
        <v>35</v>
      </c>
      <c r="J54" s="89"/>
      <c r="K54" s="88"/>
      <c r="L54" s="88"/>
      <c r="M54" s="88"/>
    </row>
    <row r="55" spans="2:13" x14ac:dyDescent="0.25">
      <c r="B55" t="s">
        <v>36</v>
      </c>
      <c r="C55" s="98">
        <v>25</v>
      </c>
      <c r="D55">
        <v>27</v>
      </c>
      <c r="E55">
        <v>32</v>
      </c>
      <c r="F55">
        <v>40</v>
      </c>
      <c r="G55">
        <v>25</v>
      </c>
      <c r="H55">
        <v>21</v>
      </c>
      <c r="J55" s="89"/>
      <c r="K55" s="88"/>
      <c r="L55" s="88"/>
      <c r="M55" s="88"/>
    </row>
    <row r="56" spans="2:13" x14ac:dyDescent="0.25">
      <c r="B56" t="s">
        <v>34</v>
      </c>
      <c r="C56" s="98">
        <v>15</v>
      </c>
      <c r="D56">
        <v>32</v>
      </c>
      <c r="E56">
        <v>35</v>
      </c>
      <c r="F56">
        <v>60</v>
      </c>
      <c r="G56">
        <v>50</v>
      </c>
      <c r="H56">
        <v>60</v>
      </c>
      <c r="J56" s="89"/>
      <c r="K56" s="88"/>
      <c r="L56" s="88"/>
      <c r="M56" s="88"/>
    </row>
    <row r="57" spans="2:13" x14ac:dyDescent="0.25">
      <c r="B57" t="s">
        <v>68</v>
      </c>
      <c r="C57" s="73">
        <v>85</v>
      </c>
      <c r="D57">
        <v>39</v>
      </c>
      <c r="E57">
        <v>4</v>
      </c>
      <c r="F57">
        <v>10</v>
      </c>
      <c r="G57">
        <v>23</v>
      </c>
      <c r="H57">
        <v>1</v>
      </c>
      <c r="J57" s="89"/>
      <c r="K57" s="88"/>
      <c r="L57" s="88"/>
      <c r="M57" s="88"/>
    </row>
    <row r="58" spans="2:13" x14ac:dyDescent="0.25">
      <c r="B58" t="s">
        <v>39</v>
      </c>
      <c r="C58" s="98">
        <v>20</v>
      </c>
      <c r="D58">
        <v>20</v>
      </c>
      <c r="E58">
        <v>20</v>
      </c>
      <c r="F58">
        <v>20</v>
      </c>
      <c r="G58">
        <v>0</v>
      </c>
      <c r="H58">
        <v>0</v>
      </c>
      <c r="J58" s="89"/>
      <c r="K58" s="88"/>
      <c r="L58" s="88"/>
      <c r="M58" s="88"/>
    </row>
    <row r="59" spans="2:13" x14ac:dyDescent="0.25">
      <c r="B59" t="s">
        <v>53</v>
      </c>
      <c r="C59" s="98"/>
      <c r="D59">
        <v>20</v>
      </c>
      <c r="E59">
        <v>15</v>
      </c>
      <c r="F59">
        <v>10</v>
      </c>
      <c r="G59">
        <v>0</v>
      </c>
      <c r="H59">
        <v>0</v>
      </c>
      <c r="J59" s="89"/>
      <c r="K59" s="88"/>
      <c r="L59" s="88"/>
      <c r="M59" s="88"/>
    </row>
    <row r="60" spans="2:13" x14ac:dyDescent="0.25">
      <c r="B60" t="s">
        <v>35</v>
      </c>
      <c r="C60" s="98">
        <v>20</v>
      </c>
      <c r="D60">
        <v>15</v>
      </c>
      <c r="E60">
        <v>5</v>
      </c>
      <c r="F60">
        <v>20</v>
      </c>
      <c r="G60">
        <v>20</v>
      </c>
      <c r="H60">
        <v>15</v>
      </c>
      <c r="J60" s="89"/>
      <c r="K60" s="88"/>
      <c r="L60" s="88"/>
      <c r="M60" s="88"/>
    </row>
    <row r="61" spans="2:13" x14ac:dyDescent="0.25">
      <c r="B61" t="s">
        <v>29</v>
      </c>
      <c r="C61" s="98">
        <v>10</v>
      </c>
      <c r="D61">
        <v>10</v>
      </c>
      <c r="E61">
        <v>10</v>
      </c>
      <c r="F61">
        <v>10</v>
      </c>
      <c r="G61">
        <v>10</v>
      </c>
      <c r="H61">
        <v>8</v>
      </c>
      <c r="J61" s="89"/>
      <c r="K61" s="88"/>
      <c r="L61" s="88"/>
      <c r="M61" s="88"/>
    </row>
    <row r="62" spans="2:13" x14ac:dyDescent="0.25">
      <c r="B62" t="s">
        <v>33</v>
      </c>
      <c r="C62" s="98">
        <v>10</v>
      </c>
      <c r="D62">
        <v>10</v>
      </c>
      <c r="E62">
        <v>10</v>
      </c>
      <c r="F62">
        <v>10</v>
      </c>
      <c r="G62">
        <v>10</v>
      </c>
      <c r="H62">
        <v>10</v>
      </c>
      <c r="J62" s="89"/>
      <c r="K62" s="88"/>
      <c r="L62" s="88"/>
      <c r="M62" s="88"/>
    </row>
    <row r="63" spans="2:13" x14ac:dyDescent="0.25">
      <c r="B63" t="s">
        <v>48</v>
      </c>
      <c r="C63" s="98"/>
      <c r="D63">
        <v>10</v>
      </c>
      <c r="E63">
        <v>10</v>
      </c>
      <c r="F63">
        <v>10</v>
      </c>
      <c r="G63">
        <v>10</v>
      </c>
      <c r="H63">
        <v>10</v>
      </c>
      <c r="J63" s="89"/>
      <c r="K63" s="88"/>
      <c r="L63" s="88"/>
      <c r="M63" s="88"/>
    </row>
    <row r="64" spans="2:13" x14ac:dyDescent="0.25">
      <c r="B64" t="s">
        <v>49</v>
      </c>
      <c r="C64" s="98"/>
      <c r="D64">
        <v>10</v>
      </c>
      <c r="E64">
        <v>10</v>
      </c>
      <c r="F64">
        <v>10</v>
      </c>
      <c r="G64">
        <v>10</v>
      </c>
      <c r="H64">
        <v>10</v>
      </c>
      <c r="J64" s="90"/>
      <c r="K64" s="88"/>
      <c r="L64" s="88"/>
      <c r="M64" s="88"/>
    </row>
    <row r="65" spans="2:8" x14ac:dyDescent="0.25">
      <c r="B65" t="s">
        <v>67</v>
      </c>
      <c r="C65" s="98">
        <v>10</v>
      </c>
      <c r="D65">
        <v>10</v>
      </c>
      <c r="E65">
        <v>10</v>
      </c>
      <c r="F65">
        <v>10</v>
      </c>
      <c r="G65">
        <v>0</v>
      </c>
      <c r="H65">
        <v>0</v>
      </c>
    </row>
    <row r="66" spans="2:8" x14ac:dyDescent="0.25">
      <c r="B66" t="s">
        <v>66</v>
      </c>
      <c r="C66" s="73">
        <v>10</v>
      </c>
      <c r="D66">
        <v>8</v>
      </c>
      <c r="E66">
        <v>5</v>
      </c>
      <c r="F66">
        <v>5</v>
      </c>
      <c r="G66">
        <v>0</v>
      </c>
      <c r="H66">
        <v>0</v>
      </c>
    </row>
    <row r="67" spans="2:8" x14ac:dyDescent="0.25">
      <c r="B67" t="s">
        <v>135</v>
      </c>
      <c r="C67" s="73">
        <v>5</v>
      </c>
      <c r="D67">
        <v>5</v>
      </c>
    </row>
    <row r="68" spans="2:8" x14ac:dyDescent="0.25">
      <c r="B68" t="s">
        <v>136</v>
      </c>
      <c r="C68" s="73">
        <v>10</v>
      </c>
      <c r="D68">
        <v>10</v>
      </c>
    </row>
    <row r="69" spans="2:8" x14ac:dyDescent="0.25">
      <c r="B69" t="s">
        <v>137</v>
      </c>
      <c r="C69" s="73">
        <v>205</v>
      </c>
      <c r="D69">
        <v>186</v>
      </c>
    </row>
    <row r="70" spans="2:8" x14ac:dyDescent="0.25">
      <c r="C70" s="73"/>
    </row>
    <row r="71" spans="2:8" x14ac:dyDescent="0.25">
      <c r="B71" t="s">
        <v>138</v>
      </c>
      <c r="C71" s="73">
        <v>5</v>
      </c>
      <c r="D71">
        <v>5</v>
      </c>
    </row>
    <row r="72" spans="2:8" x14ac:dyDescent="0.25">
      <c r="C72" s="94"/>
    </row>
  </sheetData>
  <sortState ref="B3:G66">
    <sortCondition descending="1" ref="C3:C66"/>
  </sortState>
  <mergeCells count="21">
    <mergeCell ref="O35:O40"/>
    <mergeCell ref="J34:N34"/>
    <mergeCell ref="J37:N37"/>
    <mergeCell ref="J38:N38"/>
    <mergeCell ref="J39:N39"/>
    <mergeCell ref="J40:N40"/>
    <mergeCell ref="J29:N29"/>
    <mergeCell ref="J30:N30"/>
    <mergeCell ref="J31:N31"/>
    <mergeCell ref="J32:N32"/>
    <mergeCell ref="J33:N33"/>
    <mergeCell ref="J24:N24"/>
    <mergeCell ref="J25:N25"/>
    <mergeCell ref="J26:N26"/>
    <mergeCell ref="J27:N27"/>
    <mergeCell ref="J28:N28"/>
    <mergeCell ref="J19:N19"/>
    <mergeCell ref="J20:N20"/>
    <mergeCell ref="J21:N21"/>
    <mergeCell ref="J22:N22"/>
    <mergeCell ref="J23:N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"/>
  <sheetViews>
    <sheetView workbookViewId="0">
      <selection activeCell="R7" sqref="R7"/>
    </sheetView>
  </sheetViews>
  <sheetFormatPr defaultRowHeight="15" x14ac:dyDescent="0.25"/>
  <cols>
    <col min="1" max="1" width="14.140625" customWidth="1"/>
    <col min="8" max="9" width="9.140625" style="6"/>
    <col min="11" max="11" width="9.5703125" bestFit="1" customWidth="1"/>
    <col min="13" max="13" width="11.7109375" customWidth="1"/>
    <col min="14" max="14" width="11.28515625" customWidth="1"/>
    <col min="15" max="15" width="11.85546875" customWidth="1"/>
    <col min="16" max="16" width="10.42578125" customWidth="1"/>
    <col min="17" max="17" width="9.85546875" customWidth="1"/>
    <col min="20" max="20" width="9.28515625" bestFit="1" customWidth="1"/>
    <col min="21" max="22" width="10.5703125" bestFit="1" customWidth="1"/>
  </cols>
  <sheetData>
    <row r="1" spans="1:36" x14ac:dyDescent="0.25">
      <c r="A1" t="s">
        <v>75</v>
      </c>
    </row>
    <row r="2" spans="1:36" x14ac:dyDescent="0.25">
      <c r="A2" t="s">
        <v>25</v>
      </c>
      <c r="B2" s="91"/>
      <c r="C2" s="91"/>
      <c r="D2" s="91"/>
      <c r="H2" s="79"/>
      <c r="J2" s="6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</row>
    <row r="3" spans="1:36" x14ac:dyDescent="0.25">
      <c r="A3" t="s">
        <v>25</v>
      </c>
      <c r="B3" s="91"/>
      <c r="C3" s="91" t="s">
        <v>44</v>
      </c>
      <c r="D3" s="91" t="s">
        <v>44</v>
      </c>
      <c r="E3" s="79" t="s">
        <v>44</v>
      </c>
      <c r="F3" s="79" t="s">
        <v>44</v>
      </c>
      <c r="G3" s="79" t="s">
        <v>44</v>
      </c>
      <c r="H3" s="79"/>
      <c r="J3" s="6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</row>
    <row r="4" spans="1:36" ht="15.75" thickBot="1" x14ac:dyDescent="0.3">
      <c r="A4" t="s">
        <v>25</v>
      </c>
      <c r="B4" s="91"/>
      <c r="C4" s="91" t="s">
        <v>44</v>
      </c>
      <c r="D4" s="91" t="s">
        <v>44</v>
      </c>
      <c r="E4" s="79" t="s">
        <v>44</v>
      </c>
      <c r="F4" s="79" t="s">
        <v>44</v>
      </c>
      <c r="G4" s="79" t="s">
        <v>44</v>
      </c>
      <c r="H4" s="79"/>
      <c r="J4" s="6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</row>
    <row r="5" spans="1:36" ht="15.75" thickBot="1" x14ac:dyDescent="0.3">
      <c r="A5" t="s">
        <v>25</v>
      </c>
      <c r="B5" s="91"/>
      <c r="C5" s="91" t="s">
        <v>44</v>
      </c>
      <c r="D5" s="91" t="s">
        <v>44</v>
      </c>
      <c r="E5" s="79" t="s">
        <v>44</v>
      </c>
      <c r="F5" s="79" t="s">
        <v>44</v>
      </c>
      <c r="G5" s="79" t="s">
        <v>44</v>
      </c>
      <c r="H5" s="79"/>
      <c r="J5" s="6"/>
      <c r="K5" s="79"/>
      <c r="L5" s="79"/>
      <c r="M5" s="79"/>
      <c r="N5" s="79"/>
      <c r="O5" s="79"/>
      <c r="P5" s="51"/>
      <c r="Q5" s="111" t="s">
        <v>112</v>
      </c>
      <c r="R5" s="109"/>
      <c r="S5" s="5"/>
      <c r="T5" s="108" t="s">
        <v>111</v>
      </c>
      <c r="U5" s="102"/>
      <c r="V5" s="105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</row>
    <row r="6" spans="1:36" x14ac:dyDescent="0.25">
      <c r="A6" t="s">
        <v>25</v>
      </c>
      <c r="B6" s="91"/>
      <c r="C6" s="91" t="s">
        <v>44</v>
      </c>
      <c r="D6" s="91" t="s">
        <v>44</v>
      </c>
      <c r="E6" s="79" t="s">
        <v>44</v>
      </c>
      <c r="F6" s="79" t="s">
        <v>44</v>
      </c>
      <c r="G6" s="79" t="s">
        <v>44</v>
      </c>
      <c r="H6" s="79"/>
      <c r="J6" s="6"/>
      <c r="K6" s="79"/>
      <c r="L6" s="79"/>
      <c r="M6" s="79"/>
      <c r="N6" s="79"/>
      <c r="O6" s="79"/>
      <c r="P6" s="50"/>
      <c r="Q6" s="103">
        <v>2011</v>
      </c>
      <c r="R6" s="101">
        <v>2012</v>
      </c>
      <c r="S6" s="104">
        <v>2013</v>
      </c>
      <c r="T6" s="113">
        <v>2011</v>
      </c>
      <c r="U6" s="113">
        <v>2012</v>
      </c>
      <c r="V6" s="113">
        <v>2013</v>
      </c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</row>
    <row r="7" spans="1:36" x14ac:dyDescent="0.25">
      <c r="A7" t="s">
        <v>25</v>
      </c>
      <c r="B7" s="91"/>
      <c r="C7" s="91" t="s">
        <v>44</v>
      </c>
      <c r="D7" s="91" t="s">
        <v>44</v>
      </c>
      <c r="E7" s="91" t="s">
        <v>44</v>
      </c>
      <c r="F7" s="91" t="s">
        <v>44</v>
      </c>
      <c r="G7" s="91" t="s">
        <v>44</v>
      </c>
      <c r="H7" s="91"/>
      <c r="I7" s="64"/>
      <c r="J7" s="6"/>
      <c r="K7" s="79"/>
      <c r="L7" s="79"/>
      <c r="M7" s="79"/>
      <c r="N7" s="79"/>
      <c r="O7" s="79"/>
      <c r="P7" s="99" t="s">
        <v>106</v>
      </c>
      <c r="Q7" s="114">
        <f>ethanol!Q21</f>
        <v>83.789000000000001</v>
      </c>
      <c r="R7" s="114">
        <f>ethanol!R21</f>
        <v>82.622</v>
      </c>
      <c r="S7" s="114">
        <f>ethanol!S21</f>
        <v>87.18180000000001</v>
      </c>
      <c r="T7" s="112">
        <f>L17</f>
        <v>22.991503999999996</v>
      </c>
      <c r="U7" s="112">
        <f>K17</f>
        <v>23.643567999999998</v>
      </c>
      <c r="V7" s="112">
        <f>J17</f>
        <v>26.344975999999996</v>
      </c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</row>
    <row r="8" spans="1:36" x14ac:dyDescent="0.25">
      <c r="A8" t="s">
        <v>25</v>
      </c>
      <c r="B8" s="91"/>
      <c r="C8" s="91" t="s">
        <v>44</v>
      </c>
      <c r="D8" s="91" t="s">
        <v>44</v>
      </c>
      <c r="E8" s="91" t="s">
        <v>44</v>
      </c>
      <c r="F8" s="91" t="s">
        <v>44</v>
      </c>
      <c r="G8" s="91" t="s">
        <v>44</v>
      </c>
      <c r="H8" s="91"/>
      <c r="I8" s="64"/>
      <c r="J8" s="6"/>
      <c r="K8" s="79"/>
      <c r="L8" s="12" t="s">
        <v>6</v>
      </c>
      <c r="M8" s="12">
        <v>2011</v>
      </c>
      <c r="N8" s="12">
        <v>2012</v>
      </c>
      <c r="O8" s="79"/>
      <c r="P8" s="99" t="s">
        <v>107</v>
      </c>
      <c r="Q8" s="114">
        <f>ethanol!Q22</f>
        <v>4.5600000000000005</v>
      </c>
      <c r="R8" s="114">
        <f>ethanol!R22</f>
        <v>4.5</v>
      </c>
      <c r="S8" s="114">
        <f>ethanol!S22</f>
        <v>4.5339999999999998</v>
      </c>
      <c r="T8" s="110">
        <f>L19</f>
        <v>9.880927999999999</v>
      </c>
      <c r="U8" s="110">
        <f>K19</f>
        <v>9.4253919999999987</v>
      </c>
      <c r="V8" s="110">
        <f>+J19</f>
        <v>10.452335999999999</v>
      </c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</row>
    <row r="9" spans="1:36" x14ac:dyDescent="0.25">
      <c r="A9" t="s">
        <v>25</v>
      </c>
      <c r="B9" s="91"/>
      <c r="C9" s="91" t="s">
        <v>44</v>
      </c>
      <c r="D9" s="95"/>
      <c r="E9" s="95"/>
      <c r="F9" s="95"/>
      <c r="G9" s="91"/>
      <c r="H9" s="91"/>
      <c r="I9" s="64"/>
      <c r="J9" s="6"/>
      <c r="K9" s="79"/>
      <c r="L9" s="12" t="s">
        <v>113</v>
      </c>
      <c r="M9" s="39">
        <v>2469.9499999999998</v>
      </c>
      <c r="N9" s="39">
        <v>2536.64</v>
      </c>
      <c r="O9" s="79"/>
      <c r="P9" s="99" t="s">
        <v>108</v>
      </c>
      <c r="Q9" s="114">
        <f>ethanol!Q23</f>
        <v>74.725999999999999</v>
      </c>
      <c r="R9" s="114">
        <f>ethanol!R23</f>
        <v>73.099000000000004</v>
      </c>
      <c r="S9" s="114">
        <f>ethanol!S23</f>
        <v>78.887799999999999</v>
      </c>
      <c r="T9" s="110">
        <f>L22+L24+L26+L38</f>
        <v>9.5310399999999973</v>
      </c>
      <c r="U9" s="110">
        <f>K22+K26+K28+K38</f>
        <v>8.7483359999999983</v>
      </c>
      <c r="V9" s="110">
        <f>J22+J24+J26+J38</f>
        <v>10.513111999999998</v>
      </c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</row>
    <row r="10" spans="1:36" x14ac:dyDescent="0.25">
      <c r="A10" t="s">
        <v>25</v>
      </c>
      <c r="B10" s="91"/>
      <c r="C10" s="91" t="s">
        <v>44</v>
      </c>
      <c r="D10" s="91" t="s">
        <v>44</v>
      </c>
      <c r="E10" s="91" t="s">
        <v>44</v>
      </c>
      <c r="F10" s="91" t="s">
        <v>44</v>
      </c>
      <c r="G10" s="91"/>
      <c r="H10" s="91"/>
      <c r="I10" s="64"/>
      <c r="J10" s="6"/>
      <c r="K10" s="79"/>
      <c r="L10" s="12" t="s">
        <v>114</v>
      </c>
      <c r="M10" s="12">
        <v>2352</v>
      </c>
      <c r="N10" s="40">
        <v>2391</v>
      </c>
      <c r="O10" s="79"/>
      <c r="P10" s="99" t="s">
        <v>109</v>
      </c>
      <c r="Q10" s="114">
        <f>ethanol!Q24</f>
        <v>3.35</v>
      </c>
      <c r="R10" s="114">
        <f>ethanol!R24</f>
        <v>3.7399999999999998</v>
      </c>
      <c r="S10" s="114">
        <f>ethanol!S24</f>
        <v>3.48</v>
      </c>
      <c r="T10" s="110">
        <f>L28+L29+L39+L40+L42+L48+L55+L56</f>
        <v>2.7161759999999999</v>
      </c>
      <c r="U10" s="110">
        <f>K28+K29+K39+K40+K42+K48+K55+K56</f>
        <v>3.4363999999999995</v>
      </c>
      <c r="V10" s="110">
        <f>J28+J29+J39+J40+J42+J48+J55+J56</f>
        <v>4.7711999999999994</v>
      </c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</row>
    <row r="11" spans="1:36" x14ac:dyDescent="0.25">
      <c r="A11" t="s">
        <v>25</v>
      </c>
      <c r="B11" s="91"/>
      <c r="C11" s="91" t="s">
        <v>44</v>
      </c>
      <c r="D11" s="91" t="s">
        <v>44</v>
      </c>
      <c r="E11" s="91" t="s">
        <v>44</v>
      </c>
      <c r="F11" s="91" t="s">
        <v>44</v>
      </c>
      <c r="G11" s="91"/>
      <c r="H11" s="91"/>
      <c r="I11" s="64"/>
      <c r="J11" s="6"/>
      <c r="K11" s="79"/>
      <c r="L11" s="79"/>
      <c r="M11" s="79"/>
      <c r="N11" s="79"/>
      <c r="O11" s="79"/>
      <c r="P11" s="99" t="s">
        <v>110</v>
      </c>
      <c r="Q11" s="114">
        <f>ethanol!Q25</f>
        <v>0.28999999999999998</v>
      </c>
      <c r="R11" s="114">
        <f>ethanol!R25</f>
        <v>0.27</v>
      </c>
      <c r="S11" s="114">
        <f>ethanol!S25</f>
        <v>0.27500000000000002</v>
      </c>
      <c r="T11" s="110">
        <f>L43+L44</f>
        <v>0.41123199999999993</v>
      </c>
      <c r="U11" s="110">
        <f>K43+K44</f>
        <v>0.51915199999999995</v>
      </c>
      <c r="V11" s="110">
        <f>J43+J44</f>
        <v>0.36351999999999995</v>
      </c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</row>
    <row r="12" spans="1:36" ht="15.75" thickBot="1" x14ac:dyDescent="0.3">
      <c r="A12" t="s">
        <v>25</v>
      </c>
      <c r="B12" s="91"/>
      <c r="C12" s="91" t="s">
        <v>44</v>
      </c>
      <c r="D12" s="91" t="s">
        <v>44</v>
      </c>
      <c r="E12" s="95"/>
      <c r="F12" s="95"/>
      <c r="G12" s="95"/>
      <c r="H12" s="91"/>
      <c r="I12" s="64"/>
      <c r="J12" s="6"/>
      <c r="K12" s="79"/>
      <c r="L12" s="79"/>
      <c r="M12" s="79"/>
      <c r="N12" s="79"/>
      <c r="O12" s="79"/>
      <c r="P12" s="97" t="s">
        <v>123</v>
      </c>
      <c r="Q12" s="114">
        <f>ethanol!Q26</f>
        <v>0.27</v>
      </c>
      <c r="R12" s="114">
        <f>ethanol!R26</f>
        <v>0.30000000000000004</v>
      </c>
      <c r="S12" s="114">
        <f>ethanol!S26</f>
        <v>5.0000000000000001E-3</v>
      </c>
      <c r="T12" s="106">
        <v>0</v>
      </c>
      <c r="U12" s="100">
        <v>0</v>
      </c>
      <c r="V12" s="105">
        <v>0</v>
      </c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</row>
    <row r="13" spans="1:36" x14ac:dyDescent="0.25">
      <c r="A13" t="s">
        <v>25</v>
      </c>
      <c r="B13" s="91"/>
      <c r="C13" s="95"/>
      <c r="D13" s="95"/>
      <c r="E13" s="95"/>
      <c r="F13" s="95"/>
      <c r="G13" s="95"/>
      <c r="H13" s="91"/>
      <c r="I13" s="64"/>
      <c r="J13" s="6"/>
      <c r="K13" s="79" t="s">
        <v>156</v>
      </c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</row>
    <row r="14" spans="1:36" x14ac:dyDescent="0.25">
      <c r="A14" t="s">
        <v>25</v>
      </c>
      <c r="B14" s="91"/>
      <c r="C14" s="95"/>
      <c r="D14" s="95"/>
      <c r="E14" s="95"/>
      <c r="F14" s="91" t="s">
        <v>44</v>
      </c>
      <c r="G14" s="91"/>
      <c r="H14" s="91"/>
      <c r="I14" s="64"/>
      <c r="J14" t="s">
        <v>142</v>
      </c>
      <c r="K14" s="74">
        <f>1.136/1000</f>
        <v>1.1359999999999999E-3</v>
      </c>
      <c r="L14" s="6"/>
      <c r="M14" s="79" t="s">
        <v>141</v>
      </c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</row>
    <row r="15" spans="1:36" x14ac:dyDescent="0.25">
      <c r="A15" t="s">
        <v>25</v>
      </c>
      <c r="B15" s="91" t="s">
        <v>155</v>
      </c>
      <c r="C15" s="91"/>
      <c r="D15" s="91"/>
      <c r="E15" s="91" t="s">
        <v>44</v>
      </c>
      <c r="F15" s="95"/>
      <c r="G15" s="95"/>
      <c r="H15" s="95"/>
      <c r="I15" s="64"/>
      <c r="K15" s="6"/>
      <c r="L15" s="6"/>
      <c r="M15" s="86" t="s">
        <v>149</v>
      </c>
      <c r="N15" s="79"/>
      <c r="O15" s="79"/>
      <c r="P15" s="79"/>
      <c r="Q15" s="68"/>
      <c r="R15" s="68"/>
      <c r="S15" s="68"/>
      <c r="T15" s="68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</row>
    <row r="16" spans="1:36" x14ac:dyDescent="0.25">
      <c r="A16" t="s">
        <v>25</v>
      </c>
      <c r="B16" s="72">
        <v>2013</v>
      </c>
      <c r="C16" s="96">
        <v>2012</v>
      </c>
      <c r="D16" s="61">
        <v>2011</v>
      </c>
      <c r="E16" s="61">
        <v>2010</v>
      </c>
      <c r="F16" s="61">
        <v>2009</v>
      </c>
      <c r="G16" s="61">
        <v>2008</v>
      </c>
      <c r="H16" s="79"/>
      <c r="J16" s="72">
        <v>2013</v>
      </c>
      <c r="K16" s="71">
        <v>2012</v>
      </c>
      <c r="L16" s="71">
        <v>2011</v>
      </c>
      <c r="M16" s="77">
        <v>2013</v>
      </c>
      <c r="N16" s="61">
        <v>2012</v>
      </c>
      <c r="O16" s="79"/>
      <c r="P16" s="79" t="s">
        <v>132</v>
      </c>
      <c r="Q16" s="79"/>
      <c r="R16" s="79"/>
      <c r="S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x14ac:dyDescent="0.25">
      <c r="A17" t="s">
        <v>74</v>
      </c>
      <c r="B17" s="98">
        <v>23191</v>
      </c>
      <c r="C17" s="91">
        <v>20813</v>
      </c>
      <c r="D17" s="79">
        <v>20239</v>
      </c>
      <c r="E17" s="79">
        <v>16636</v>
      </c>
      <c r="F17" s="79">
        <v>15437</v>
      </c>
      <c r="G17" s="79">
        <v>13724</v>
      </c>
      <c r="H17" s="79"/>
      <c r="J17" s="70">
        <f>+B17*$K$14</f>
        <v>26.344975999999996</v>
      </c>
      <c r="K17" s="6">
        <f>+C17*$K$14</f>
        <v>23.643567999999998</v>
      </c>
      <c r="L17" s="6">
        <f>+D17*$K$14</f>
        <v>22.991503999999996</v>
      </c>
      <c r="M17" s="78">
        <f>B17*1136</f>
        <v>26344976</v>
      </c>
      <c r="N17" s="79">
        <f>C17*1136</f>
        <v>23643568</v>
      </c>
      <c r="O17" s="60">
        <f>J17/K17</f>
        <v>1.1142555133810599</v>
      </c>
      <c r="P17" s="6">
        <f>J17-K17</f>
        <v>2.7014079999999971</v>
      </c>
      <c r="Q17" s="79"/>
      <c r="R17" s="79"/>
      <c r="S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</row>
    <row r="18" spans="1:36" x14ac:dyDescent="0.25">
      <c r="A18" t="s">
        <v>47</v>
      </c>
      <c r="B18" s="98"/>
      <c r="C18" s="91">
        <v>8187</v>
      </c>
      <c r="D18" s="79">
        <v>8720</v>
      </c>
      <c r="E18" s="79">
        <v>9129</v>
      </c>
      <c r="F18" s="79">
        <v>8991</v>
      </c>
      <c r="G18" s="79">
        <v>7415</v>
      </c>
      <c r="H18" s="79"/>
      <c r="J18" s="70">
        <f t="shared" ref="J18:J59" si="0">B18*$K$14</f>
        <v>0</v>
      </c>
      <c r="K18" s="6">
        <f t="shared" ref="K18:K59" si="1">+C18*$K$14</f>
        <v>9.3004319999999989</v>
      </c>
      <c r="L18" s="6">
        <f t="shared" ref="L18:L59" si="2">+D18*$K$14</f>
        <v>9.9059199999999983</v>
      </c>
      <c r="M18" s="78">
        <f t="shared" ref="M18:M59" si="3">B18*1136</f>
        <v>0</v>
      </c>
      <c r="N18" s="79">
        <f t="shared" ref="N18:N58" si="4">C18*1136</f>
        <v>9300432</v>
      </c>
      <c r="O18" s="60">
        <f t="shared" ref="O18:O59" si="5">J18/K18</f>
        <v>0</v>
      </c>
      <c r="P18" s="6">
        <f t="shared" ref="P18:P59" si="6">J18-K18</f>
        <v>-9.3004319999999989</v>
      </c>
      <c r="Q18" s="79"/>
      <c r="R18" s="79"/>
      <c r="S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</row>
    <row r="19" spans="1:36" x14ac:dyDescent="0.25">
      <c r="A19" t="s">
        <v>45</v>
      </c>
      <c r="B19" s="73">
        <v>9201</v>
      </c>
      <c r="C19" s="91">
        <v>8297</v>
      </c>
      <c r="D19" s="79">
        <v>8698</v>
      </c>
      <c r="E19" s="79">
        <v>8991</v>
      </c>
      <c r="F19" s="79">
        <v>8893</v>
      </c>
      <c r="G19" s="79">
        <v>7325</v>
      </c>
      <c r="H19" s="79"/>
      <c r="J19" s="70">
        <f t="shared" si="0"/>
        <v>10.452335999999999</v>
      </c>
      <c r="K19" s="6">
        <f t="shared" si="1"/>
        <v>9.4253919999999987</v>
      </c>
      <c r="L19" s="6">
        <f t="shared" si="2"/>
        <v>9.880927999999999</v>
      </c>
      <c r="M19" s="78">
        <f t="shared" si="3"/>
        <v>10452336</v>
      </c>
      <c r="N19" s="79">
        <f t="shared" si="4"/>
        <v>9425392</v>
      </c>
      <c r="O19" s="60">
        <f t="shared" si="5"/>
        <v>1.1089550439918043</v>
      </c>
      <c r="P19" s="6">
        <f t="shared" si="6"/>
        <v>1.0269440000000003</v>
      </c>
      <c r="Q19" s="79">
        <f>M17/N17</f>
        <v>1.1142555133810599</v>
      </c>
      <c r="R19" s="79"/>
      <c r="S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</row>
    <row r="20" spans="1:36" x14ac:dyDescent="0.25">
      <c r="A20" t="s">
        <v>85</v>
      </c>
      <c r="B20" s="98"/>
      <c r="C20" s="91">
        <v>5233</v>
      </c>
      <c r="D20" s="79">
        <v>5105</v>
      </c>
      <c r="E20" s="79">
        <v>4151</v>
      </c>
      <c r="F20" s="79">
        <v>2815</v>
      </c>
      <c r="G20" s="79">
        <v>1882</v>
      </c>
      <c r="H20" s="79"/>
      <c r="J20" s="70">
        <f t="shared" si="0"/>
        <v>0</v>
      </c>
      <c r="K20" s="6">
        <f t="shared" si="1"/>
        <v>5.9446879999999993</v>
      </c>
      <c r="L20" s="6">
        <f t="shared" si="2"/>
        <v>5.7992799999999995</v>
      </c>
      <c r="M20" s="78">
        <f t="shared" si="3"/>
        <v>0</v>
      </c>
      <c r="N20" s="79">
        <f t="shared" si="4"/>
        <v>5944688</v>
      </c>
      <c r="O20" s="60">
        <f t="shared" si="5"/>
        <v>0</v>
      </c>
      <c r="P20" s="6">
        <f t="shared" si="6"/>
        <v>-5.9446879999999993</v>
      </c>
      <c r="Q20" s="79"/>
      <c r="R20" s="79"/>
      <c r="S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</row>
    <row r="21" spans="1:36" x14ac:dyDescent="0.25">
      <c r="A21" t="s">
        <v>83</v>
      </c>
      <c r="B21" s="98"/>
      <c r="C21" s="91">
        <v>3299</v>
      </c>
      <c r="D21" s="79">
        <v>3303</v>
      </c>
      <c r="E21" s="79">
        <v>1238</v>
      </c>
      <c r="F21" s="79">
        <v>1804</v>
      </c>
      <c r="G21" s="79">
        <v>2784</v>
      </c>
      <c r="H21" s="79"/>
      <c r="J21" s="70">
        <f t="shared" si="0"/>
        <v>0</v>
      </c>
      <c r="K21" s="6">
        <f t="shared" si="1"/>
        <v>3.7476639999999994</v>
      </c>
      <c r="L21" s="6">
        <f t="shared" si="2"/>
        <v>3.7522079999999995</v>
      </c>
      <c r="M21" s="78">
        <f t="shared" si="3"/>
        <v>0</v>
      </c>
      <c r="N21" s="79">
        <f t="shared" si="4"/>
        <v>3747664</v>
      </c>
      <c r="O21" s="60">
        <f t="shared" si="5"/>
        <v>0</v>
      </c>
      <c r="P21" s="6">
        <f t="shared" si="6"/>
        <v>-3.7476639999999994</v>
      </c>
      <c r="Q21" s="79"/>
      <c r="R21" s="79"/>
      <c r="S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</row>
    <row r="22" spans="1:36" x14ac:dyDescent="0.25">
      <c r="A22" t="s">
        <v>54</v>
      </c>
      <c r="B22" s="73">
        <v>4200</v>
      </c>
      <c r="C22" s="91">
        <v>3270</v>
      </c>
      <c r="D22" s="79">
        <v>3191</v>
      </c>
      <c r="E22" s="79">
        <v>1132</v>
      </c>
      <c r="F22" s="79">
        <v>1703</v>
      </c>
      <c r="G22" s="79">
        <v>2694</v>
      </c>
      <c r="H22" s="79">
        <v>1</v>
      </c>
      <c r="J22" s="70">
        <f t="shared" si="0"/>
        <v>4.7711999999999994</v>
      </c>
      <c r="K22" s="6">
        <f t="shared" si="1"/>
        <v>3.7147199999999994</v>
      </c>
      <c r="L22" s="6">
        <f t="shared" si="2"/>
        <v>3.6249759999999998</v>
      </c>
      <c r="M22" s="78">
        <f t="shared" si="3"/>
        <v>4771200</v>
      </c>
      <c r="N22" s="79">
        <f t="shared" si="4"/>
        <v>3714720</v>
      </c>
      <c r="O22" s="60">
        <f t="shared" si="5"/>
        <v>1.2844036697247707</v>
      </c>
      <c r="P22" s="6">
        <f t="shared" si="6"/>
        <v>1.0564800000000001</v>
      </c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</row>
    <row r="23" spans="1:36" x14ac:dyDescent="0.25">
      <c r="A23" t="s">
        <v>71</v>
      </c>
      <c r="B23" s="98"/>
      <c r="C23" s="91">
        <v>2973</v>
      </c>
      <c r="D23" s="79">
        <v>2428</v>
      </c>
      <c r="E23" s="79">
        <v>1986</v>
      </c>
      <c r="F23" s="79">
        <v>1725</v>
      </c>
      <c r="G23" s="79">
        <v>1591</v>
      </c>
      <c r="H23" s="79"/>
      <c r="J23" s="70">
        <f t="shared" si="0"/>
        <v>0</v>
      </c>
      <c r="K23" s="6">
        <f t="shared" si="1"/>
        <v>3.3773279999999994</v>
      </c>
      <c r="L23" s="6">
        <f t="shared" si="2"/>
        <v>2.7582079999999998</v>
      </c>
      <c r="M23" s="78">
        <f t="shared" si="3"/>
        <v>0</v>
      </c>
      <c r="N23" s="79">
        <f t="shared" si="4"/>
        <v>3377328</v>
      </c>
      <c r="O23" s="60">
        <f t="shared" si="5"/>
        <v>0</v>
      </c>
      <c r="P23" s="6">
        <f t="shared" si="6"/>
        <v>-3.3773279999999994</v>
      </c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</row>
    <row r="24" spans="1:36" x14ac:dyDescent="0.25">
      <c r="A24" t="s">
        <v>57</v>
      </c>
      <c r="B24" s="73">
        <v>1997.1</v>
      </c>
      <c r="C24" s="91">
        <v>2455</v>
      </c>
      <c r="D24" s="79">
        <v>2427</v>
      </c>
      <c r="E24" s="79">
        <v>1815</v>
      </c>
      <c r="F24" s="79">
        <v>1179</v>
      </c>
      <c r="G24" s="79">
        <v>712</v>
      </c>
      <c r="H24" s="79">
        <v>2</v>
      </c>
      <c r="J24" s="70">
        <f t="shared" si="0"/>
        <v>2.2687055999999997</v>
      </c>
      <c r="K24" s="6">
        <f t="shared" si="1"/>
        <v>2.7888799999999998</v>
      </c>
      <c r="L24" s="6">
        <f t="shared" si="2"/>
        <v>2.7570719999999995</v>
      </c>
      <c r="M24" s="78">
        <f t="shared" si="3"/>
        <v>2268705.6</v>
      </c>
      <c r="N24" s="79">
        <f t="shared" si="4"/>
        <v>2788880</v>
      </c>
      <c r="O24" s="60">
        <f t="shared" si="5"/>
        <v>0.81348268839103866</v>
      </c>
      <c r="P24" s="6">
        <f t="shared" si="6"/>
        <v>-0.52017440000000015</v>
      </c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</row>
    <row r="25" spans="1:36" x14ac:dyDescent="0.25">
      <c r="A25" t="s">
        <v>31</v>
      </c>
      <c r="B25" s="98">
        <v>2700</v>
      </c>
      <c r="C25" s="91">
        <v>2600</v>
      </c>
      <c r="D25" s="79">
        <v>2780</v>
      </c>
      <c r="E25" s="79">
        <v>2350</v>
      </c>
      <c r="F25" s="79">
        <v>2500</v>
      </c>
      <c r="G25" s="79">
        <v>2600</v>
      </c>
      <c r="H25" s="79">
        <v>3</v>
      </c>
      <c r="J25" s="70">
        <f t="shared" si="0"/>
        <v>3.0671999999999997</v>
      </c>
      <c r="K25" s="6">
        <f t="shared" si="1"/>
        <v>2.9535999999999998</v>
      </c>
      <c r="L25" s="6">
        <f t="shared" si="2"/>
        <v>3.1580799999999996</v>
      </c>
      <c r="M25" s="78">
        <f t="shared" si="3"/>
        <v>3067200</v>
      </c>
      <c r="N25" s="79">
        <f t="shared" si="4"/>
        <v>2953600</v>
      </c>
      <c r="O25" s="60">
        <f t="shared" si="5"/>
        <v>1.0384615384615385</v>
      </c>
      <c r="P25" s="6">
        <f t="shared" si="6"/>
        <v>0.11359999999999992</v>
      </c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</row>
    <row r="26" spans="1:36" x14ac:dyDescent="0.25">
      <c r="A26" t="s">
        <v>58</v>
      </c>
      <c r="B26" s="73">
        <v>2567.4</v>
      </c>
      <c r="C26" s="91">
        <v>2391</v>
      </c>
      <c r="D26" s="79">
        <v>2352</v>
      </c>
      <c r="E26" s="79">
        <v>2100</v>
      </c>
      <c r="F26" s="79">
        <v>1415</v>
      </c>
      <c r="G26" s="79">
        <v>1027</v>
      </c>
      <c r="H26" s="79">
        <v>4</v>
      </c>
      <c r="J26" s="70">
        <f t="shared" si="0"/>
        <v>2.9165663999999998</v>
      </c>
      <c r="K26" s="6">
        <f t="shared" si="1"/>
        <v>2.7161759999999995</v>
      </c>
      <c r="L26" s="6">
        <f t="shared" si="2"/>
        <v>2.6718719999999996</v>
      </c>
      <c r="M26" s="78">
        <f t="shared" si="3"/>
        <v>2916566.4</v>
      </c>
      <c r="N26" s="79">
        <f t="shared" si="4"/>
        <v>2716176</v>
      </c>
      <c r="O26" s="60">
        <f t="shared" si="5"/>
        <v>1.0737766624843164</v>
      </c>
      <c r="P26" s="6">
        <f t="shared" si="6"/>
        <v>0.2003904000000003</v>
      </c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</row>
    <row r="27" spans="1:36" x14ac:dyDescent="0.25">
      <c r="A27" t="s">
        <v>30</v>
      </c>
      <c r="B27" s="98">
        <v>1800</v>
      </c>
      <c r="C27" s="91">
        <v>1650</v>
      </c>
      <c r="D27" s="79">
        <v>1400</v>
      </c>
      <c r="E27" s="79">
        <v>1996</v>
      </c>
      <c r="F27" s="79">
        <v>2089</v>
      </c>
      <c r="G27" s="79">
        <v>1763</v>
      </c>
      <c r="H27" s="79">
        <v>5</v>
      </c>
      <c r="J27" s="70">
        <f t="shared" si="0"/>
        <v>2.0448</v>
      </c>
      <c r="K27" s="6">
        <f t="shared" si="1"/>
        <v>1.8743999999999998</v>
      </c>
      <c r="L27" s="6">
        <f t="shared" si="2"/>
        <v>1.5903999999999998</v>
      </c>
      <c r="M27" s="78">
        <f t="shared" si="3"/>
        <v>2044800</v>
      </c>
      <c r="N27" s="79">
        <f t="shared" si="4"/>
        <v>1874400</v>
      </c>
      <c r="O27" s="60">
        <f t="shared" si="5"/>
        <v>1.0909090909090911</v>
      </c>
      <c r="P27" s="6">
        <f t="shared" si="6"/>
        <v>0.17040000000000011</v>
      </c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</row>
    <row r="28" spans="1:36" x14ac:dyDescent="0.25">
      <c r="A28" t="s">
        <v>65</v>
      </c>
      <c r="B28" s="73">
        <v>1750</v>
      </c>
      <c r="C28" s="91">
        <v>1550</v>
      </c>
      <c r="D28" s="79">
        <v>1250</v>
      </c>
      <c r="E28" s="79">
        <v>800</v>
      </c>
      <c r="F28" s="79">
        <v>500</v>
      </c>
      <c r="G28" s="79">
        <v>600</v>
      </c>
      <c r="H28" s="79">
        <v>6</v>
      </c>
      <c r="J28" s="70">
        <f t="shared" si="0"/>
        <v>1.9879999999999998</v>
      </c>
      <c r="K28" s="6">
        <f t="shared" si="1"/>
        <v>1.7607999999999997</v>
      </c>
      <c r="L28" s="6">
        <f t="shared" si="2"/>
        <v>1.42</v>
      </c>
      <c r="M28" s="78">
        <f t="shared" si="3"/>
        <v>1988000</v>
      </c>
      <c r="N28" s="79">
        <f t="shared" si="4"/>
        <v>1760800</v>
      </c>
      <c r="O28" s="60">
        <f t="shared" si="5"/>
        <v>1.1290322580645162</v>
      </c>
      <c r="P28" s="6">
        <f t="shared" si="6"/>
        <v>0.22720000000000007</v>
      </c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</row>
    <row r="29" spans="1:36" x14ac:dyDescent="0.25">
      <c r="A29" t="s">
        <v>69</v>
      </c>
      <c r="B29" s="73">
        <v>930</v>
      </c>
      <c r="C29" s="91">
        <v>789</v>
      </c>
      <c r="D29" s="79">
        <v>556</v>
      </c>
      <c r="E29" s="79">
        <v>524</v>
      </c>
      <c r="F29" s="79">
        <v>493</v>
      </c>
      <c r="G29" s="79">
        <v>394</v>
      </c>
      <c r="H29" s="79">
        <v>7</v>
      </c>
      <c r="J29" s="70">
        <f t="shared" si="0"/>
        <v>1.0564799999999999</v>
      </c>
      <c r="K29" s="6">
        <f t="shared" si="1"/>
        <v>0.89630399999999988</v>
      </c>
      <c r="L29" s="6">
        <f t="shared" si="2"/>
        <v>0.63161599999999996</v>
      </c>
      <c r="M29" s="78">
        <f t="shared" si="3"/>
        <v>1056480</v>
      </c>
      <c r="N29" s="79">
        <f t="shared" si="4"/>
        <v>896304</v>
      </c>
      <c r="O29" s="60">
        <f t="shared" si="5"/>
        <v>1.1787072243346008</v>
      </c>
      <c r="P29" s="6">
        <f t="shared" si="6"/>
        <v>0.16017599999999999</v>
      </c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</row>
    <row r="30" spans="1:36" x14ac:dyDescent="0.25">
      <c r="A30" t="s">
        <v>38</v>
      </c>
      <c r="B30" s="98">
        <v>830</v>
      </c>
      <c r="C30" s="91">
        <v>592</v>
      </c>
      <c r="D30" s="79">
        <v>364</v>
      </c>
      <c r="E30" s="79">
        <v>371</v>
      </c>
      <c r="F30" s="79">
        <v>396</v>
      </c>
      <c r="G30" s="79">
        <v>170</v>
      </c>
      <c r="H30" s="79">
        <v>8</v>
      </c>
      <c r="J30" s="70">
        <f t="shared" si="0"/>
        <v>0.94287999999999983</v>
      </c>
      <c r="K30" s="6">
        <f t="shared" si="1"/>
        <v>0.67251199999999989</v>
      </c>
      <c r="L30" s="6">
        <f t="shared" si="2"/>
        <v>0.41350399999999993</v>
      </c>
      <c r="M30" s="78">
        <f t="shared" si="3"/>
        <v>942880</v>
      </c>
      <c r="N30" s="79">
        <f t="shared" si="4"/>
        <v>672512</v>
      </c>
      <c r="O30" s="60">
        <f t="shared" si="5"/>
        <v>1.402027027027027</v>
      </c>
      <c r="P30" s="6">
        <f t="shared" si="6"/>
        <v>0.27036799999999994</v>
      </c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</row>
    <row r="31" spans="1:36" x14ac:dyDescent="0.25">
      <c r="A31" t="s">
        <v>41</v>
      </c>
      <c r="B31" s="98">
        <v>250</v>
      </c>
      <c r="C31" s="91">
        <v>440</v>
      </c>
      <c r="D31" s="79">
        <v>649</v>
      </c>
      <c r="E31" s="79">
        <v>841</v>
      </c>
      <c r="F31" s="79">
        <v>727</v>
      </c>
      <c r="G31" s="79">
        <v>221</v>
      </c>
      <c r="H31" s="79">
        <v>9</v>
      </c>
      <c r="J31" s="70">
        <f t="shared" si="0"/>
        <v>0.28399999999999997</v>
      </c>
      <c r="K31" s="6">
        <f t="shared" si="1"/>
        <v>0.49983999999999995</v>
      </c>
      <c r="L31" s="6">
        <f t="shared" si="2"/>
        <v>0.73726399999999992</v>
      </c>
      <c r="M31" s="78">
        <f t="shared" si="3"/>
        <v>284000</v>
      </c>
      <c r="N31" s="79">
        <f t="shared" si="4"/>
        <v>499840</v>
      </c>
      <c r="O31" s="60">
        <f t="shared" si="5"/>
        <v>0.56818181818181823</v>
      </c>
      <c r="P31" s="6">
        <f t="shared" si="6"/>
        <v>-0.21583999999999998</v>
      </c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</row>
    <row r="32" spans="1:36" x14ac:dyDescent="0.25">
      <c r="A32" t="s">
        <v>37</v>
      </c>
      <c r="B32" s="98">
        <v>380</v>
      </c>
      <c r="C32" s="91">
        <v>377</v>
      </c>
      <c r="D32" s="79">
        <v>491</v>
      </c>
      <c r="E32" s="79">
        <v>382</v>
      </c>
      <c r="F32" s="79">
        <v>274</v>
      </c>
      <c r="G32" s="79">
        <v>83</v>
      </c>
      <c r="H32" s="79">
        <v>10</v>
      </c>
      <c r="J32" s="70">
        <f t="shared" si="0"/>
        <v>0.43167999999999995</v>
      </c>
      <c r="K32" s="6">
        <f t="shared" si="1"/>
        <v>0.42827199999999993</v>
      </c>
      <c r="L32" s="6">
        <f t="shared" si="2"/>
        <v>0.55777599999999994</v>
      </c>
      <c r="M32" s="78">
        <f t="shared" si="3"/>
        <v>431680</v>
      </c>
      <c r="N32" s="79">
        <f t="shared" si="4"/>
        <v>428272</v>
      </c>
      <c r="O32" s="60">
        <f t="shared" si="5"/>
        <v>1.0079575596816976</v>
      </c>
      <c r="P32" s="6">
        <f t="shared" si="6"/>
        <v>3.4080000000000221E-3</v>
      </c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</row>
    <row r="33" spans="1:36" x14ac:dyDescent="0.25">
      <c r="A33" t="s">
        <v>34</v>
      </c>
      <c r="B33" s="98">
        <v>400</v>
      </c>
      <c r="C33" s="91">
        <v>350</v>
      </c>
      <c r="D33" s="79">
        <v>620</v>
      </c>
      <c r="E33" s="79">
        <v>799</v>
      </c>
      <c r="F33" s="79">
        <v>798</v>
      </c>
      <c r="G33" s="79">
        <v>668</v>
      </c>
      <c r="H33" s="79">
        <v>11</v>
      </c>
      <c r="J33" s="70">
        <f t="shared" si="0"/>
        <v>0.45439999999999992</v>
      </c>
      <c r="K33" s="6">
        <f t="shared" si="1"/>
        <v>0.39759999999999995</v>
      </c>
      <c r="L33" s="6">
        <f t="shared" si="2"/>
        <v>0.70431999999999995</v>
      </c>
      <c r="M33" s="78">
        <f t="shared" si="3"/>
        <v>454400</v>
      </c>
      <c r="N33" s="79">
        <f t="shared" si="4"/>
        <v>397600</v>
      </c>
      <c r="O33" s="60">
        <f t="shared" si="5"/>
        <v>1.1428571428571428</v>
      </c>
      <c r="P33" s="6">
        <f t="shared" si="6"/>
        <v>5.6799999999999962E-2</v>
      </c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</row>
    <row r="34" spans="1:36" x14ac:dyDescent="0.25">
      <c r="A34" t="s">
        <v>27</v>
      </c>
      <c r="B34" s="98">
        <v>330</v>
      </c>
      <c r="C34" s="91">
        <v>330</v>
      </c>
      <c r="D34" s="79">
        <v>350</v>
      </c>
      <c r="E34" s="79">
        <v>350</v>
      </c>
      <c r="F34" s="79">
        <v>416</v>
      </c>
      <c r="G34" s="79">
        <v>277</v>
      </c>
      <c r="H34" s="79">
        <v>12</v>
      </c>
      <c r="J34" s="70">
        <f t="shared" si="0"/>
        <v>0.37487999999999994</v>
      </c>
      <c r="K34" s="6">
        <f t="shared" si="1"/>
        <v>0.37487999999999994</v>
      </c>
      <c r="L34" s="6">
        <f t="shared" si="2"/>
        <v>0.39759999999999995</v>
      </c>
      <c r="M34" s="78">
        <f t="shared" si="3"/>
        <v>374880</v>
      </c>
      <c r="N34" s="79">
        <f t="shared" si="4"/>
        <v>374880</v>
      </c>
      <c r="O34" s="60">
        <f t="shared" si="5"/>
        <v>1</v>
      </c>
      <c r="P34" s="6">
        <f t="shared" si="6"/>
        <v>0</v>
      </c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</row>
    <row r="35" spans="1:36" x14ac:dyDescent="0.25">
      <c r="A35" t="s">
        <v>77</v>
      </c>
      <c r="B35" s="98">
        <v>290</v>
      </c>
      <c r="C35" s="91">
        <v>313</v>
      </c>
      <c r="D35" s="79">
        <v>366</v>
      </c>
      <c r="E35" s="79">
        <v>318</v>
      </c>
      <c r="F35" s="79">
        <v>255</v>
      </c>
      <c r="G35" s="79">
        <v>169</v>
      </c>
      <c r="H35" s="79">
        <v>13</v>
      </c>
      <c r="J35" s="70">
        <f t="shared" si="0"/>
        <v>0.32943999999999996</v>
      </c>
      <c r="K35" s="6">
        <f t="shared" si="1"/>
        <v>0.35556799999999994</v>
      </c>
      <c r="L35" s="6">
        <f t="shared" si="2"/>
        <v>0.41577599999999992</v>
      </c>
      <c r="M35" s="78">
        <f t="shared" si="3"/>
        <v>329440</v>
      </c>
      <c r="N35" s="79">
        <f t="shared" si="4"/>
        <v>355568</v>
      </c>
      <c r="O35" s="60">
        <f t="shared" si="5"/>
        <v>0.92651757188498407</v>
      </c>
      <c r="P35" s="6">
        <f t="shared" si="6"/>
        <v>-2.6127999999999985E-2</v>
      </c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</row>
    <row r="36" spans="1:36" x14ac:dyDescent="0.25">
      <c r="A36" t="s">
        <v>26</v>
      </c>
      <c r="B36" s="98">
        <v>260</v>
      </c>
      <c r="C36" s="91">
        <v>264</v>
      </c>
      <c r="D36" s="79">
        <v>310</v>
      </c>
      <c r="E36" s="79">
        <v>337</v>
      </c>
      <c r="F36" s="79">
        <v>323</v>
      </c>
      <c r="G36" s="79">
        <v>250</v>
      </c>
      <c r="H36" s="79">
        <v>14</v>
      </c>
      <c r="J36" s="70">
        <f t="shared" si="0"/>
        <v>0.29535999999999996</v>
      </c>
      <c r="K36" s="6">
        <f t="shared" si="1"/>
        <v>0.29990399999999995</v>
      </c>
      <c r="L36" s="6">
        <f t="shared" si="2"/>
        <v>0.35215999999999997</v>
      </c>
      <c r="M36" s="78">
        <f t="shared" si="3"/>
        <v>295360</v>
      </c>
      <c r="N36" s="79">
        <f t="shared" si="4"/>
        <v>299904</v>
      </c>
      <c r="O36" s="60">
        <f t="shared" si="5"/>
        <v>0.98484848484848486</v>
      </c>
      <c r="P36" s="6">
        <f t="shared" si="6"/>
        <v>-4.5439999999999925E-3</v>
      </c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</row>
    <row r="37" spans="1:36" x14ac:dyDescent="0.25">
      <c r="A37" t="s">
        <v>43</v>
      </c>
      <c r="B37" s="98">
        <v>220</v>
      </c>
      <c r="C37" s="91">
        <v>270</v>
      </c>
      <c r="D37" s="79">
        <v>177</v>
      </c>
      <c r="E37" s="79">
        <v>154</v>
      </c>
      <c r="F37" s="79">
        <v>196</v>
      </c>
      <c r="G37" s="79">
        <v>282</v>
      </c>
      <c r="H37" s="79">
        <v>15</v>
      </c>
      <c r="J37" s="70">
        <f t="shared" si="0"/>
        <v>0.24991999999999998</v>
      </c>
      <c r="K37" s="6">
        <f t="shared" si="1"/>
        <v>0.30671999999999994</v>
      </c>
      <c r="L37" s="6">
        <f t="shared" si="2"/>
        <v>0.20107199999999997</v>
      </c>
      <c r="M37" s="78">
        <f t="shared" si="3"/>
        <v>249920</v>
      </c>
      <c r="N37" s="79">
        <f t="shared" si="4"/>
        <v>306720</v>
      </c>
      <c r="O37" s="60">
        <f t="shared" si="5"/>
        <v>0.81481481481481488</v>
      </c>
      <c r="P37" s="6">
        <f t="shared" si="6"/>
        <v>-5.6799999999999962E-2</v>
      </c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</row>
    <row r="38" spans="1:36" x14ac:dyDescent="0.25">
      <c r="A38" t="s">
        <v>59</v>
      </c>
      <c r="B38" s="73">
        <v>490</v>
      </c>
      <c r="C38" s="91">
        <v>490</v>
      </c>
      <c r="D38" s="79">
        <v>420</v>
      </c>
      <c r="E38" s="79">
        <v>200</v>
      </c>
      <c r="F38" s="79">
        <v>190</v>
      </c>
      <c r="G38" s="79">
        <v>130</v>
      </c>
      <c r="H38" s="79">
        <v>16</v>
      </c>
      <c r="J38" s="70">
        <f t="shared" si="0"/>
        <v>0.55663999999999991</v>
      </c>
      <c r="K38" s="6">
        <f t="shared" si="1"/>
        <v>0.55663999999999991</v>
      </c>
      <c r="L38" s="6">
        <f t="shared" si="2"/>
        <v>0.47711999999999993</v>
      </c>
      <c r="M38" s="78">
        <f t="shared" si="3"/>
        <v>556640</v>
      </c>
      <c r="N38" s="79">
        <f t="shared" si="4"/>
        <v>556640</v>
      </c>
      <c r="O38" s="60">
        <f t="shared" si="5"/>
        <v>1</v>
      </c>
      <c r="P38" s="6">
        <f t="shared" si="6"/>
        <v>0</v>
      </c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</row>
    <row r="39" spans="1:36" x14ac:dyDescent="0.25">
      <c r="A39" t="s">
        <v>86</v>
      </c>
      <c r="B39" s="98"/>
      <c r="C39" s="91">
        <v>240</v>
      </c>
      <c r="D39" s="79">
        <v>240</v>
      </c>
      <c r="E39" s="79">
        <v>240</v>
      </c>
      <c r="F39" s="79">
        <v>170</v>
      </c>
      <c r="G39" s="79">
        <v>80</v>
      </c>
      <c r="H39" s="79">
        <v>17</v>
      </c>
      <c r="J39" s="70">
        <f t="shared" si="0"/>
        <v>0</v>
      </c>
      <c r="K39" s="6">
        <f t="shared" si="1"/>
        <v>0.27263999999999999</v>
      </c>
      <c r="L39" s="6">
        <f t="shared" si="2"/>
        <v>0.27263999999999999</v>
      </c>
      <c r="M39" s="78">
        <f t="shared" si="3"/>
        <v>0</v>
      </c>
      <c r="N39" s="79">
        <f t="shared" si="4"/>
        <v>272640</v>
      </c>
      <c r="O39" s="60">
        <f t="shared" si="5"/>
        <v>0</v>
      </c>
      <c r="P39" s="6">
        <f t="shared" si="6"/>
        <v>-0.27263999999999999</v>
      </c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</row>
    <row r="40" spans="1:36" x14ac:dyDescent="0.25">
      <c r="A40" t="s">
        <v>87</v>
      </c>
      <c r="B40" s="73">
        <v>330</v>
      </c>
      <c r="C40" s="91">
        <v>141</v>
      </c>
      <c r="D40" s="79">
        <v>50</v>
      </c>
      <c r="E40" s="79">
        <v>117</v>
      </c>
      <c r="F40" s="79">
        <v>240</v>
      </c>
      <c r="G40" s="79">
        <v>190</v>
      </c>
      <c r="H40" s="79">
        <v>18</v>
      </c>
      <c r="J40" s="70">
        <f t="shared" si="0"/>
        <v>0.37487999999999994</v>
      </c>
      <c r="K40" s="6">
        <f t="shared" si="1"/>
        <v>0.16017599999999999</v>
      </c>
      <c r="L40" s="6">
        <f t="shared" si="2"/>
        <v>5.6799999999999989E-2</v>
      </c>
      <c r="M40" s="78">
        <f t="shared" si="3"/>
        <v>374880</v>
      </c>
      <c r="N40" s="79">
        <f t="shared" si="4"/>
        <v>160176</v>
      </c>
      <c r="O40" s="60">
        <f t="shared" si="5"/>
        <v>2.3404255319148932</v>
      </c>
      <c r="P40" s="6">
        <f t="shared" si="6"/>
        <v>0.21470399999999995</v>
      </c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</row>
    <row r="41" spans="1:36" x14ac:dyDescent="0.25">
      <c r="A41" t="s">
        <v>28</v>
      </c>
      <c r="B41" s="98">
        <v>150</v>
      </c>
      <c r="C41" s="91">
        <v>173</v>
      </c>
      <c r="D41" s="79">
        <v>210</v>
      </c>
      <c r="E41" s="79">
        <v>198</v>
      </c>
      <c r="F41" s="79">
        <v>155</v>
      </c>
      <c r="G41" s="79">
        <v>75</v>
      </c>
      <c r="H41" s="79">
        <v>19</v>
      </c>
      <c r="J41" s="70">
        <f t="shared" si="0"/>
        <v>0.17039999999999997</v>
      </c>
      <c r="K41" s="6">
        <f t="shared" si="1"/>
        <v>0.19652799999999998</v>
      </c>
      <c r="L41" s="6">
        <f t="shared" si="2"/>
        <v>0.23855999999999997</v>
      </c>
      <c r="M41" s="78">
        <f t="shared" si="3"/>
        <v>170400</v>
      </c>
      <c r="N41" s="79">
        <f t="shared" si="4"/>
        <v>196528</v>
      </c>
      <c r="O41" s="60">
        <f t="shared" si="5"/>
        <v>0.86705202312138718</v>
      </c>
      <c r="P41" s="6">
        <f t="shared" si="6"/>
        <v>-2.6128000000000012E-2</v>
      </c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</row>
    <row r="42" spans="1:36" x14ac:dyDescent="0.25">
      <c r="A42" t="s">
        <v>63</v>
      </c>
      <c r="B42" s="98">
        <v>150</v>
      </c>
      <c r="C42" s="91">
        <v>140</v>
      </c>
      <c r="D42" s="79">
        <v>140</v>
      </c>
      <c r="E42" s="79">
        <v>140</v>
      </c>
      <c r="F42" s="79">
        <v>140</v>
      </c>
      <c r="G42" s="79">
        <v>135</v>
      </c>
      <c r="H42" s="79">
        <v>20</v>
      </c>
      <c r="J42" s="70">
        <f t="shared" si="0"/>
        <v>0.17039999999999997</v>
      </c>
      <c r="K42" s="6">
        <f t="shared" si="1"/>
        <v>0.15903999999999999</v>
      </c>
      <c r="L42" s="6">
        <f t="shared" si="2"/>
        <v>0.15903999999999999</v>
      </c>
      <c r="M42" s="78">
        <f t="shared" si="3"/>
        <v>170400</v>
      </c>
      <c r="N42" s="79">
        <f t="shared" si="4"/>
        <v>159040</v>
      </c>
      <c r="O42" s="60">
        <f t="shared" si="5"/>
        <v>1.0714285714285714</v>
      </c>
      <c r="P42" s="6">
        <f t="shared" si="6"/>
        <v>1.1359999999999981E-2</v>
      </c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</row>
    <row r="43" spans="1:36" x14ac:dyDescent="0.25">
      <c r="A43" t="s">
        <v>73</v>
      </c>
      <c r="B43" s="98"/>
      <c r="C43" s="91">
        <v>137</v>
      </c>
      <c r="D43" s="79">
        <v>142</v>
      </c>
      <c r="E43" s="79">
        <v>132</v>
      </c>
      <c r="F43" s="79">
        <v>102</v>
      </c>
      <c r="G43" s="79">
        <v>52</v>
      </c>
      <c r="H43" s="79">
        <v>21</v>
      </c>
      <c r="J43" s="70">
        <f t="shared" si="0"/>
        <v>0</v>
      </c>
      <c r="K43" s="6">
        <f t="shared" si="1"/>
        <v>0.15563199999999999</v>
      </c>
      <c r="L43" s="6">
        <f t="shared" si="2"/>
        <v>0.16131199999999998</v>
      </c>
      <c r="M43" s="78">
        <f t="shared" si="3"/>
        <v>0</v>
      </c>
      <c r="N43" s="79">
        <f t="shared" si="4"/>
        <v>155632</v>
      </c>
      <c r="O43" s="60">
        <f t="shared" si="5"/>
        <v>0</v>
      </c>
      <c r="P43" s="6">
        <f t="shared" si="6"/>
        <v>-0.15563199999999999</v>
      </c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</row>
    <row r="44" spans="1:36" x14ac:dyDescent="0.25">
      <c r="A44" t="s">
        <v>72</v>
      </c>
      <c r="B44" s="73">
        <v>320</v>
      </c>
      <c r="C44" s="91">
        <v>320</v>
      </c>
      <c r="D44" s="79">
        <v>220</v>
      </c>
      <c r="E44" s="79">
        <v>130</v>
      </c>
      <c r="F44" s="79">
        <v>100</v>
      </c>
      <c r="G44" s="79">
        <v>50</v>
      </c>
      <c r="H44" s="79">
        <v>22</v>
      </c>
      <c r="J44" s="70">
        <f t="shared" si="0"/>
        <v>0.36351999999999995</v>
      </c>
      <c r="K44" s="6">
        <f t="shared" si="1"/>
        <v>0.36351999999999995</v>
      </c>
      <c r="L44" s="6">
        <f t="shared" si="2"/>
        <v>0.24991999999999998</v>
      </c>
      <c r="M44" s="78">
        <f t="shared" si="3"/>
        <v>363520</v>
      </c>
      <c r="N44" s="79">
        <f t="shared" si="4"/>
        <v>363520</v>
      </c>
      <c r="O44" s="60">
        <f t="shared" si="5"/>
        <v>1</v>
      </c>
      <c r="P44" s="6">
        <f t="shared" si="6"/>
        <v>0</v>
      </c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</row>
    <row r="45" spans="1:36" x14ac:dyDescent="0.25">
      <c r="A45" t="s">
        <v>42</v>
      </c>
      <c r="B45" s="98">
        <v>150</v>
      </c>
      <c r="C45" s="91">
        <v>150</v>
      </c>
      <c r="D45" s="79">
        <v>130</v>
      </c>
      <c r="E45" s="79">
        <v>130</v>
      </c>
      <c r="F45" s="79">
        <v>110</v>
      </c>
      <c r="G45" s="79">
        <v>145</v>
      </c>
      <c r="H45" s="79"/>
      <c r="J45" s="70">
        <f t="shared" si="0"/>
        <v>0.17039999999999997</v>
      </c>
      <c r="K45" s="6">
        <f t="shared" si="1"/>
        <v>0.17039999999999997</v>
      </c>
      <c r="L45" s="6">
        <f t="shared" si="2"/>
        <v>0.14767999999999998</v>
      </c>
      <c r="M45" s="78">
        <f t="shared" si="3"/>
        <v>170400</v>
      </c>
      <c r="N45" s="79">
        <f t="shared" si="4"/>
        <v>170400</v>
      </c>
      <c r="O45" s="60">
        <f t="shared" si="5"/>
        <v>1</v>
      </c>
      <c r="P45" s="6">
        <f t="shared" si="6"/>
        <v>0</v>
      </c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</row>
    <row r="46" spans="1:36" x14ac:dyDescent="0.25">
      <c r="A46" t="s">
        <v>84</v>
      </c>
      <c r="B46" s="98"/>
      <c r="C46" s="91">
        <v>127</v>
      </c>
      <c r="D46" s="79">
        <v>76</v>
      </c>
      <c r="E46" s="79">
        <v>36</v>
      </c>
      <c r="F46" s="79">
        <v>31</v>
      </c>
      <c r="G46" s="79">
        <v>13</v>
      </c>
      <c r="H46" s="79"/>
      <c r="J46" s="70">
        <f t="shared" si="0"/>
        <v>0</v>
      </c>
      <c r="K46" s="6">
        <f t="shared" si="1"/>
        <v>0.14427199999999998</v>
      </c>
      <c r="L46" s="6">
        <f t="shared" si="2"/>
        <v>8.6335999999999996E-2</v>
      </c>
      <c r="M46" s="78">
        <f t="shared" si="3"/>
        <v>0</v>
      </c>
      <c r="N46" s="79">
        <f t="shared" si="4"/>
        <v>144272</v>
      </c>
      <c r="O46" s="60">
        <f t="shared" si="5"/>
        <v>0</v>
      </c>
      <c r="P46" s="6">
        <f t="shared" si="6"/>
        <v>-0.14427199999999998</v>
      </c>
      <c r="Q46" s="79"/>
      <c r="R46" s="91"/>
      <c r="S46" s="91"/>
      <c r="T46" s="91"/>
      <c r="U46" s="91"/>
      <c r="V46" s="91"/>
      <c r="W46" s="91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</row>
    <row r="47" spans="1:36" x14ac:dyDescent="0.25">
      <c r="A47" t="s">
        <v>81</v>
      </c>
      <c r="B47" s="98"/>
      <c r="C47" s="91">
        <v>119</v>
      </c>
      <c r="D47" s="79">
        <v>83</v>
      </c>
      <c r="E47" s="79">
        <v>102</v>
      </c>
      <c r="F47" s="79">
        <v>75</v>
      </c>
      <c r="G47" s="79">
        <v>90</v>
      </c>
      <c r="H47" s="79"/>
      <c r="J47" s="70">
        <f t="shared" si="0"/>
        <v>0</v>
      </c>
      <c r="K47" s="6">
        <f t="shared" si="1"/>
        <v>0.13518399999999997</v>
      </c>
      <c r="L47" s="6">
        <f t="shared" si="2"/>
        <v>9.4287999999999983E-2</v>
      </c>
      <c r="M47" s="78">
        <f t="shared" si="3"/>
        <v>0</v>
      </c>
      <c r="N47" s="79">
        <f t="shared" si="4"/>
        <v>135184</v>
      </c>
      <c r="O47" s="60">
        <f t="shared" si="5"/>
        <v>0</v>
      </c>
      <c r="P47" s="6">
        <f t="shared" si="6"/>
        <v>-0.13518399999999997</v>
      </c>
      <c r="Q47" s="79"/>
      <c r="R47" s="95"/>
      <c r="S47" s="107"/>
      <c r="T47" s="107"/>
      <c r="U47" s="107"/>
      <c r="V47" s="91"/>
      <c r="W47" s="91"/>
      <c r="X47" s="95"/>
      <c r="Y47" s="95"/>
      <c r="Z47" s="95"/>
      <c r="AA47" s="95"/>
      <c r="AB47" s="95"/>
      <c r="AC47" s="79"/>
      <c r="AD47" s="79"/>
      <c r="AE47" s="79"/>
      <c r="AF47" s="79"/>
      <c r="AG47" s="79"/>
      <c r="AH47" s="79"/>
      <c r="AI47" s="79"/>
      <c r="AJ47" s="79"/>
    </row>
    <row r="48" spans="1:36" x14ac:dyDescent="0.25">
      <c r="A48" t="s">
        <v>68</v>
      </c>
      <c r="B48" s="73">
        <v>190</v>
      </c>
      <c r="C48" s="91">
        <v>130</v>
      </c>
      <c r="D48" s="79">
        <v>125</v>
      </c>
      <c r="E48" s="79">
        <v>105</v>
      </c>
      <c r="F48" s="79">
        <v>95</v>
      </c>
      <c r="G48" s="79">
        <v>50</v>
      </c>
      <c r="H48" s="79"/>
      <c r="J48" s="70">
        <f t="shared" si="0"/>
        <v>0.21583999999999998</v>
      </c>
      <c r="K48" s="6">
        <f t="shared" si="1"/>
        <v>0.14767999999999998</v>
      </c>
      <c r="L48" s="6">
        <f t="shared" si="2"/>
        <v>0.14199999999999999</v>
      </c>
      <c r="M48" s="78">
        <f t="shared" si="3"/>
        <v>215840</v>
      </c>
      <c r="N48" s="79">
        <f t="shared" si="4"/>
        <v>147680</v>
      </c>
      <c r="O48" s="60">
        <f t="shared" si="5"/>
        <v>1.4615384615384617</v>
      </c>
      <c r="P48" s="6">
        <f t="shared" si="6"/>
        <v>6.8159999999999998E-2</v>
      </c>
      <c r="Q48" s="79"/>
      <c r="R48" s="95"/>
      <c r="S48" s="107"/>
      <c r="T48" s="107"/>
      <c r="U48" s="107"/>
      <c r="V48" s="91"/>
      <c r="W48" s="91"/>
      <c r="X48" s="95"/>
      <c r="Y48" s="95"/>
      <c r="Z48" s="95"/>
      <c r="AA48" s="95"/>
      <c r="AB48" s="95"/>
      <c r="AC48" s="79"/>
      <c r="AD48" s="79"/>
      <c r="AE48" s="79"/>
      <c r="AF48" s="79"/>
      <c r="AG48" s="79"/>
      <c r="AH48" s="79"/>
      <c r="AI48" s="79"/>
      <c r="AJ48" s="79"/>
    </row>
    <row r="49" spans="1:36" x14ac:dyDescent="0.25">
      <c r="A49" t="s">
        <v>40</v>
      </c>
      <c r="B49" s="98">
        <v>120</v>
      </c>
      <c r="C49" s="91">
        <v>110</v>
      </c>
      <c r="D49" s="79">
        <v>125</v>
      </c>
      <c r="E49" s="79">
        <v>113</v>
      </c>
      <c r="F49" s="79">
        <v>103</v>
      </c>
      <c r="G49" s="79">
        <v>105</v>
      </c>
      <c r="H49" s="79"/>
      <c r="J49" s="70">
        <f t="shared" si="0"/>
        <v>0.13632</v>
      </c>
      <c r="K49" s="6">
        <f t="shared" si="1"/>
        <v>0.12495999999999999</v>
      </c>
      <c r="L49" s="6">
        <f t="shared" si="2"/>
        <v>0.14199999999999999</v>
      </c>
      <c r="M49" s="78">
        <f t="shared" si="3"/>
        <v>136320</v>
      </c>
      <c r="N49" s="79">
        <f t="shared" si="4"/>
        <v>124960</v>
      </c>
      <c r="O49" s="60">
        <f t="shared" si="5"/>
        <v>1.0909090909090911</v>
      </c>
      <c r="P49" s="6">
        <f t="shared" si="6"/>
        <v>1.1360000000000009E-2</v>
      </c>
      <c r="Q49" s="79"/>
      <c r="R49" s="95"/>
      <c r="S49" s="107"/>
      <c r="T49" s="95"/>
      <c r="U49" s="95"/>
      <c r="V49" s="91"/>
      <c r="W49" s="91"/>
      <c r="X49" s="95"/>
      <c r="Y49" s="95"/>
      <c r="Z49" s="95"/>
      <c r="AA49" s="95"/>
      <c r="AB49" s="95"/>
      <c r="AC49" s="79"/>
      <c r="AD49" s="79"/>
      <c r="AE49" s="79"/>
      <c r="AF49" s="79"/>
      <c r="AG49" s="79"/>
      <c r="AH49" s="79"/>
      <c r="AI49" s="79"/>
      <c r="AJ49" s="79"/>
    </row>
    <row r="50" spans="1:36" x14ac:dyDescent="0.25">
      <c r="A50" t="s">
        <v>52</v>
      </c>
      <c r="B50" s="73">
        <v>150</v>
      </c>
      <c r="C50" s="91">
        <v>100</v>
      </c>
      <c r="D50" s="79">
        <v>108</v>
      </c>
      <c r="E50" s="79">
        <v>105</v>
      </c>
      <c r="F50" s="79">
        <v>100</v>
      </c>
      <c r="G50" s="79">
        <v>90</v>
      </c>
      <c r="H50" s="79"/>
      <c r="J50" s="70">
        <f t="shared" si="0"/>
        <v>0.17039999999999997</v>
      </c>
      <c r="K50" s="6">
        <f t="shared" si="1"/>
        <v>0.11359999999999998</v>
      </c>
      <c r="L50" s="6">
        <f t="shared" si="2"/>
        <v>0.12268799999999999</v>
      </c>
      <c r="M50" s="78">
        <f t="shared" si="3"/>
        <v>170400</v>
      </c>
      <c r="N50" s="79">
        <f t="shared" si="4"/>
        <v>113600</v>
      </c>
      <c r="O50" s="60">
        <f t="shared" si="5"/>
        <v>1.5</v>
      </c>
      <c r="P50" s="6">
        <f t="shared" si="6"/>
        <v>5.6799999999999989E-2</v>
      </c>
      <c r="Q50" s="79"/>
      <c r="R50" s="95"/>
      <c r="S50" s="95"/>
      <c r="T50" s="95"/>
      <c r="U50" s="95"/>
      <c r="V50" s="91"/>
      <c r="W50" s="91"/>
      <c r="X50" s="95"/>
      <c r="Y50" s="95"/>
      <c r="Z50" s="95"/>
      <c r="AA50" s="95"/>
      <c r="AB50" s="95"/>
      <c r="AC50" s="79"/>
      <c r="AD50" s="79"/>
      <c r="AE50" s="79"/>
      <c r="AF50" s="79"/>
      <c r="AG50" s="79"/>
      <c r="AH50" s="79"/>
      <c r="AI50" s="79"/>
      <c r="AJ50" s="79"/>
    </row>
    <row r="51" spans="1:36" x14ac:dyDescent="0.25">
      <c r="A51" t="s">
        <v>89</v>
      </c>
      <c r="B51" s="98"/>
      <c r="C51" s="91">
        <v>75</v>
      </c>
      <c r="D51" s="79">
        <v>50</v>
      </c>
      <c r="E51" s="79">
        <v>20</v>
      </c>
      <c r="F51" s="79">
        <v>32</v>
      </c>
      <c r="G51" s="79">
        <v>5</v>
      </c>
      <c r="H51" s="79"/>
      <c r="J51" s="70">
        <f t="shared" si="0"/>
        <v>0</v>
      </c>
      <c r="K51" s="6">
        <f t="shared" si="1"/>
        <v>8.5199999999999984E-2</v>
      </c>
      <c r="L51" s="6">
        <f t="shared" si="2"/>
        <v>5.6799999999999989E-2</v>
      </c>
      <c r="M51" s="78">
        <f t="shared" si="3"/>
        <v>0</v>
      </c>
      <c r="N51" s="79">
        <f t="shared" si="4"/>
        <v>85200</v>
      </c>
      <c r="O51" s="60">
        <f t="shared" si="5"/>
        <v>0</v>
      </c>
      <c r="P51" s="6">
        <f t="shared" si="6"/>
        <v>-8.5199999999999984E-2</v>
      </c>
      <c r="Q51" s="79"/>
      <c r="R51" s="95"/>
      <c r="S51" s="95"/>
      <c r="T51" s="95"/>
      <c r="U51" s="95"/>
      <c r="V51" s="91"/>
      <c r="W51" s="91"/>
      <c r="X51" s="95"/>
      <c r="Y51" s="95"/>
      <c r="Z51" s="95"/>
      <c r="AA51" s="95"/>
      <c r="AB51" s="95"/>
      <c r="AC51" s="79"/>
      <c r="AD51" s="79"/>
      <c r="AE51" s="79"/>
      <c r="AF51" s="79"/>
      <c r="AG51" s="79"/>
      <c r="AH51" s="79"/>
      <c r="AI51" s="79"/>
      <c r="AJ51" s="79"/>
    </row>
    <row r="52" spans="1:36" x14ac:dyDescent="0.25">
      <c r="A52" t="s">
        <v>76</v>
      </c>
      <c r="B52" s="98">
        <v>60</v>
      </c>
      <c r="C52" s="91">
        <v>70</v>
      </c>
      <c r="D52" s="79">
        <v>80</v>
      </c>
      <c r="E52" s="79">
        <v>76</v>
      </c>
      <c r="F52" s="79">
        <v>86</v>
      </c>
      <c r="G52" s="79">
        <v>98</v>
      </c>
      <c r="H52" s="79"/>
      <c r="J52" s="70">
        <f t="shared" si="0"/>
        <v>6.8159999999999998E-2</v>
      </c>
      <c r="K52" s="6">
        <f t="shared" si="1"/>
        <v>7.9519999999999993E-2</v>
      </c>
      <c r="L52" s="6">
        <f t="shared" si="2"/>
        <v>9.0879999999999989E-2</v>
      </c>
      <c r="M52" s="78">
        <f t="shared" si="3"/>
        <v>68160</v>
      </c>
      <c r="N52" s="79">
        <f t="shared" si="4"/>
        <v>79520</v>
      </c>
      <c r="O52" s="60">
        <f t="shared" si="5"/>
        <v>0.85714285714285721</v>
      </c>
      <c r="P52" s="6">
        <f t="shared" si="6"/>
        <v>-1.1359999999999995E-2</v>
      </c>
      <c r="Q52" s="79"/>
      <c r="R52" s="95"/>
      <c r="S52" s="107"/>
      <c r="T52" s="107"/>
      <c r="U52" s="107"/>
      <c r="V52" s="91"/>
      <c r="W52" s="91"/>
      <c r="X52" s="95"/>
      <c r="Y52" s="95"/>
      <c r="Z52" s="95"/>
      <c r="AA52" s="95"/>
      <c r="AB52" s="95"/>
      <c r="AC52" s="79"/>
      <c r="AD52" s="79"/>
      <c r="AE52" s="79"/>
      <c r="AF52" s="79"/>
      <c r="AG52" s="79"/>
      <c r="AH52" s="79"/>
      <c r="AI52" s="79"/>
      <c r="AJ52" s="79"/>
    </row>
    <row r="53" spans="1:36" x14ac:dyDescent="0.25">
      <c r="A53" t="s">
        <v>80</v>
      </c>
      <c r="B53" s="98"/>
      <c r="C53" s="91">
        <v>35</v>
      </c>
      <c r="D53" s="79">
        <v>36</v>
      </c>
      <c r="E53" s="79">
        <v>36</v>
      </c>
      <c r="F53" s="79">
        <v>23</v>
      </c>
      <c r="G53" s="79">
        <v>0</v>
      </c>
      <c r="H53" s="79"/>
      <c r="J53" s="70">
        <f t="shared" si="0"/>
        <v>0</v>
      </c>
      <c r="K53" s="6">
        <f t="shared" si="1"/>
        <v>3.9759999999999997E-2</v>
      </c>
      <c r="L53" s="6">
        <f t="shared" si="2"/>
        <v>4.0895999999999995E-2</v>
      </c>
      <c r="M53" s="78">
        <f t="shared" si="3"/>
        <v>0</v>
      </c>
      <c r="N53" s="79">
        <f t="shared" si="4"/>
        <v>39760</v>
      </c>
      <c r="O53" s="60">
        <f t="shared" si="5"/>
        <v>0</v>
      </c>
      <c r="P53" s="6">
        <f t="shared" si="6"/>
        <v>-3.9759999999999997E-2</v>
      </c>
      <c r="Q53" s="79"/>
      <c r="R53" s="95"/>
      <c r="S53" s="107"/>
      <c r="T53" s="107"/>
      <c r="U53" s="107"/>
      <c r="V53" s="91"/>
      <c r="W53" s="91"/>
      <c r="X53" s="95"/>
      <c r="Y53" s="95"/>
      <c r="Z53" s="95"/>
      <c r="AA53" s="95"/>
      <c r="AB53" s="95"/>
      <c r="AC53" s="79"/>
      <c r="AD53" s="79"/>
      <c r="AE53" s="79"/>
      <c r="AF53" s="79"/>
      <c r="AG53" s="79"/>
      <c r="AH53" s="79"/>
      <c r="AI53" s="79"/>
      <c r="AJ53" s="79"/>
    </row>
    <row r="54" spans="1:36" x14ac:dyDescent="0.25">
      <c r="A54" t="s">
        <v>79</v>
      </c>
      <c r="B54" s="98"/>
      <c r="C54" s="91">
        <v>16</v>
      </c>
      <c r="D54" s="79">
        <v>1</v>
      </c>
      <c r="E54" s="79">
        <v>0</v>
      </c>
      <c r="F54" s="79">
        <v>0</v>
      </c>
      <c r="G54" s="79">
        <v>0</v>
      </c>
      <c r="H54" s="79"/>
      <c r="J54" s="70">
        <f t="shared" si="0"/>
        <v>0</v>
      </c>
      <c r="K54" s="6">
        <f t="shared" si="1"/>
        <v>1.8175999999999998E-2</v>
      </c>
      <c r="L54" s="6">
        <f t="shared" si="2"/>
        <v>1.1359999999999999E-3</v>
      </c>
      <c r="M54" s="78">
        <f t="shared" si="3"/>
        <v>0</v>
      </c>
      <c r="N54" s="79">
        <f t="shared" si="4"/>
        <v>18176</v>
      </c>
      <c r="O54" s="60">
        <f t="shared" si="5"/>
        <v>0</v>
      </c>
      <c r="P54" s="6">
        <f t="shared" si="6"/>
        <v>-1.8175999999999998E-2</v>
      </c>
      <c r="Q54" s="79"/>
      <c r="R54" s="95"/>
      <c r="S54" s="107"/>
      <c r="T54" s="107"/>
      <c r="U54" s="107"/>
      <c r="V54" s="91"/>
      <c r="W54" s="91"/>
      <c r="X54" s="95"/>
      <c r="Y54" s="95"/>
      <c r="Z54" s="95"/>
      <c r="AA54" s="95"/>
      <c r="AB54" s="95"/>
      <c r="AC54" s="79"/>
      <c r="AD54" s="79"/>
      <c r="AE54" s="79"/>
      <c r="AF54" s="79"/>
      <c r="AG54" s="79"/>
      <c r="AH54" s="79"/>
      <c r="AI54" s="79"/>
      <c r="AJ54" s="79"/>
    </row>
    <row r="55" spans="1:36" x14ac:dyDescent="0.25">
      <c r="A55" t="s">
        <v>64</v>
      </c>
      <c r="B55" s="73">
        <v>30</v>
      </c>
      <c r="C55" s="91">
        <v>15</v>
      </c>
      <c r="D55" s="79">
        <v>20</v>
      </c>
      <c r="E55" s="79">
        <v>25</v>
      </c>
      <c r="F55" s="79">
        <v>15</v>
      </c>
      <c r="G55" s="79">
        <v>22</v>
      </c>
      <c r="H55" s="79"/>
      <c r="J55" s="70">
        <f t="shared" si="0"/>
        <v>3.4079999999999999E-2</v>
      </c>
      <c r="K55" s="6">
        <f t="shared" si="1"/>
        <v>1.704E-2</v>
      </c>
      <c r="L55" s="6">
        <f t="shared" si="2"/>
        <v>2.2719999999999997E-2</v>
      </c>
      <c r="M55" s="78">
        <f t="shared" si="3"/>
        <v>34080</v>
      </c>
      <c r="N55" s="79">
        <f t="shared" si="4"/>
        <v>17040</v>
      </c>
      <c r="O55" s="60">
        <f t="shared" si="5"/>
        <v>2</v>
      </c>
      <c r="P55" s="6">
        <f t="shared" si="6"/>
        <v>1.704E-2</v>
      </c>
      <c r="Q55" s="79"/>
      <c r="R55" s="95"/>
      <c r="S55" s="107"/>
      <c r="T55" s="107"/>
      <c r="U55" s="107"/>
      <c r="V55" s="91"/>
      <c r="W55" s="91"/>
      <c r="X55" s="95"/>
      <c r="Y55" s="95"/>
      <c r="Z55" s="95"/>
      <c r="AA55" s="95"/>
      <c r="AB55" s="95"/>
      <c r="AC55" s="79"/>
      <c r="AD55" s="79"/>
      <c r="AE55" s="79"/>
      <c r="AF55" s="79"/>
      <c r="AG55" s="79"/>
      <c r="AH55" s="79"/>
      <c r="AI55" s="79"/>
      <c r="AJ55" s="79"/>
    </row>
    <row r="56" spans="1:36" x14ac:dyDescent="0.25">
      <c r="A56" t="s">
        <v>88</v>
      </c>
      <c r="B56" s="73">
        <v>820</v>
      </c>
      <c r="C56" s="91">
        <v>20</v>
      </c>
      <c r="D56" s="79">
        <v>10</v>
      </c>
      <c r="E56" s="79">
        <v>15</v>
      </c>
      <c r="F56" s="79">
        <v>40</v>
      </c>
      <c r="G56" s="79">
        <v>115</v>
      </c>
      <c r="H56" s="79"/>
      <c r="J56" s="70">
        <f t="shared" si="0"/>
        <v>0.9315199999999999</v>
      </c>
      <c r="K56" s="6">
        <f t="shared" si="1"/>
        <v>2.2719999999999997E-2</v>
      </c>
      <c r="L56" s="6">
        <f t="shared" si="2"/>
        <v>1.1359999999999999E-2</v>
      </c>
      <c r="M56" s="78">
        <f t="shared" si="3"/>
        <v>931520</v>
      </c>
      <c r="N56" s="79">
        <f t="shared" si="4"/>
        <v>22720</v>
      </c>
      <c r="O56" s="60">
        <f t="shared" si="5"/>
        <v>41</v>
      </c>
      <c r="P56" s="6">
        <f t="shared" si="6"/>
        <v>0.90879999999999994</v>
      </c>
      <c r="Q56" s="79"/>
      <c r="R56" s="95"/>
      <c r="S56" s="107"/>
      <c r="T56" s="107"/>
      <c r="U56" s="107"/>
      <c r="V56" s="91"/>
      <c r="W56" s="91"/>
      <c r="X56" s="95"/>
      <c r="Y56" s="95"/>
      <c r="Z56" s="95"/>
      <c r="AA56" s="95"/>
      <c r="AB56" s="95"/>
      <c r="AC56" s="79"/>
      <c r="AD56" s="79"/>
      <c r="AE56" s="79"/>
      <c r="AF56" s="79"/>
      <c r="AG56" s="79"/>
      <c r="AH56" s="79"/>
      <c r="AI56" s="79"/>
      <c r="AJ56" s="79"/>
    </row>
    <row r="57" spans="1:36" x14ac:dyDescent="0.25">
      <c r="A57" t="s">
        <v>78</v>
      </c>
      <c r="B57" s="98">
        <v>15</v>
      </c>
      <c r="C57" s="91">
        <v>6</v>
      </c>
      <c r="D57" s="79">
        <v>0</v>
      </c>
      <c r="E57" s="79">
        <v>21</v>
      </c>
      <c r="F57" s="79">
        <v>7</v>
      </c>
      <c r="G57" s="79">
        <v>8</v>
      </c>
      <c r="H57" s="79"/>
      <c r="J57" s="70">
        <f t="shared" si="0"/>
        <v>1.704E-2</v>
      </c>
      <c r="K57" s="6">
        <f t="shared" si="1"/>
        <v>6.8159999999999991E-3</v>
      </c>
      <c r="L57" s="6">
        <f t="shared" si="2"/>
        <v>0</v>
      </c>
      <c r="M57" s="78">
        <f t="shared" si="3"/>
        <v>17040</v>
      </c>
      <c r="N57" s="79">
        <f t="shared" si="4"/>
        <v>6816</v>
      </c>
      <c r="O57" s="60">
        <f t="shared" si="5"/>
        <v>2.5000000000000004</v>
      </c>
      <c r="P57" s="6">
        <f t="shared" si="6"/>
        <v>1.0224E-2</v>
      </c>
      <c r="Q57" s="79"/>
      <c r="R57" s="95"/>
      <c r="S57" s="107"/>
      <c r="T57" s="107"/>
      <c r="U57" s="107"/>
      <c r="V57" s="91"/>
      <c r="W57" s="91"/>
      <c r="X57" s="95"/>
      <c r="Y57" s="95"/>
      <c r="Z57" s="95"/>
      <c r="AA57" s="95"/>
      <c r="AB57" s="95"/>
      <c r="AC57" s="79"/>
      <c r="AD57" s="79"/>
      <c r="AE57" s="79"/>
      <c r="AF57" s="79"/>
      <c r="AG57" s="79"/>
      <c r="AH57" s="79"/>
      <c r="AI57" s="79"/>
      <c r="AJ57" s="79"/>
    </row>
    <row r="58" spans="1:36" x14ac:dyDescent="0.25">
      <c r="A58" t="s">
        <v>90</v>
      </c>
      <c r="B58" s="98"/>
      <c r="C58" s="91">
        <v>2</v>
      </c>
      <c r="D58" s="79">
        <v>2</v>
      </c>
      <c r="E58" s="79">
        <v>2</v>
      </c>
      <c r="F58" s="79">
        <v>2</v>
      </c>
      <c r="G58" s="79">
        <v>2</v>
      </c>
      <c r="H58" s="79"/>
      <c r="J58" s="70">
        <f t="shared" si="0"/>
        <v>0</v>
      </c>
      <c r="K58" s="6">
        <f t="shared" si="1"/>
        <v>2.2719999999999997E-3</v>
      </c>
      <c r="L58" s="6">
        <f t="shared" si="2"/>
        <v>2.2719999999999997E-3</v>
      </c>
      <c r="M58" s="78">
        <f t="shared" si="3"/>
        <v>0</v>
      </c>
      <c r="N58" s="79">
        <f t="shared" si="4"/>
        <v>2272</v>
      </c>
      <c r="O58" s="60">
        <f t="shared" si="5"/>
        <v>0</v>
      </c>
      <c r="P58" s="6">
        <f t="shared" si="6"/>
        <v>-2.2719999999999997E-3</v>
      </c>
      <c r="Q58" s="79"/>
      <c r="R58" s="95"/>
      <c r="S58" s="107"/>
      <c r="T58" s="107"/>
      <c r="U58" s="107"/>
      <c r="V58" s="91"/>
      <c r="W58" s="91"/>
      <c r="X58" s="95"/>
      <c r="Y58" s="95"/>
      <c r="Z58" s="95"/>
      <c r="AA58" s="95"/>
      <c r="AB58" s="95"/>
      <c r="AC58" s="79"/>
      <c r="AD58" s="79"/>
      <c r="AE58" s="79"/>
      <c r="AF58" s="79"/>
      <c r="AG58" s="79"/>
      <c r="AH58" s="79"/>
      <c r="AI58" s="79"/>
      <c r="AJ58" s="79"/>
    </row>
    <row r="59" spans="1:36" x14ac:dyDescent="0.25">
      <c r="A59" t="s">
        <v>82</v>
      </c>
      <c r="B59" s="98"/>
      <c r="C59">
        <v>1</v>
      </c>
      <c r="D59" s="79">
        <v>4</v>
      </c>
      <c r="E59" s="79">
        <v>1</v>
      </c>
      <c r="F59" s="79">
        <v>1</v>
      </c>
      <c r="G59" s="79">
        <v>0</v>
      </c>
      <c r="H59" s="79"/>
      <c r="J59" s="70">
        <f t="shared" si="0"/>
        <v>0</v>
      </c>
      <c r="K59" s="6">
        <f t="shared" si="1"/>
        <v>1.1359999999999999E-3</v>
      </c>
      <c r="L59" s="6">
        <f t="shared" si="2"/>
        <v>4.5439999999999994E-3</v>
      </c>
      <c r="M59" s="78">
        <f t="shared" si="3"/>
        <v>0</v>
      </c>
      <c r="N59" s="79">
        <f>C59*1136</f>
        <v>1136</v>
      </c>
      <c r="O59" s="60">
        <f t="shared" si="5"/>
        <v>0</v>
      </c>
      <c r="P59" s="6">
        <f t="shared" si="6"/>
        <v>-1.1359999999999999E-3</v>
      </c>
      <c r="Q59" s="79"/>
      <c r="R59" s="95"/>
      <c r="S59" s="107"/>
      <c r="T59" s="95"/>
      <c r="U59" s="95"/>
      <c r="V59" s="91"/>
      <c r="W59" s="91"/>
      <c r="X59" s="95"/>
      <c r="Y59" s="95"/>
      <c r="Z59" s="95"/>
      <c r="AA59" s="95"/>
      <c r="AB59" s="95"/>
      <c r="AC59" s="79"/>
      <c r="AD59" s="79"/>
      <c r="AE59" s="79"/>
      <c r="AF59" s="79"/>
      <c r="AG59" s="79"/>
      <c r="AH59" s="79"/>
      <c r="AI59" s="79"/>
      <c r="AJ59" s="79"/>
    </row>
    <row r="60" spans="1:36" x14ac:dyDescent="0.25">
      <c r="A60" t="s">
        <v>139</v>
      </c>
      <c r="B60" s="73">
        <v>40</v>
      </c>
      <c r="C60">
        <v>30</v>
      </c>
      <c r="D60">
        <v>20</v>
      </c>
      <c r="J60" s="70">
        <f>B60*$K$14</f>
        <v>4.5439999999999994E-2</v>
      </c>
      <c r="K60" s="6">
        <f>+C60*$K$14</f>
        <v>3.4079999999999999E-2</v>
      </c>
      <c r="L60" s="6">
        <f>+D60*$K$14</f>
        <v>2.2719999999999997E-2</v>
      </c>
      <c r="M60" s="78">
        <f>B60*1136</f>
        <v>45440</v>
      </c>
      <c r="N60" s="115">
        <f>C60*1136</f>
        <v>34080</v>
      </c>
      <c r="O60" s="60">
        <f>J60/K60</f>
        <v>1.3333333333333333</v>
      </c>
      <c r="P60" s="6">
        <f>J60-K60</f>
        <v>1.1359999999999995E-2</v>
      </c>
      <c r="Q60" s="79"/>
      <c r="R60" s="95"/>
      <c r="S60" s="107"/>
      <c r="T60" s="107"/>
      <c r="U60" s="107"/>
      <c r="V60" s="91"/>
      <c r="W60" s="91"/>
      <c r="X60" s="95"/>
      <c r="Y60" s="95"/>
      <c r="Z60" s="95"/>
      <c r="AA60" s="95"/>
      <c r="AB60" s="95"/>
      <c r="AC60" s="79"/>
      <c r="AD60" s="79"/>
      <c r="AE60" s="79"/>
      <c r="AF60" s="79"/>
      <c r="AG60" s="79"/>
      <c r="AH60" s="79"/>
      <c r="AI60" s="79"/>
      <c r="AJ60" s="79"/>
    </row>
    <row r="61" spans="1:36" x14ac:dyDescent="0.25">
      <c r="A61" t="s">
        <v>140</v>
      </c>
      <c r="B61" s="73">
        <v>975</v>
      </c>
      <c r="J61" s="70">
        <f>B61*$K$14</f>
        <v>1.1075999999999999</v>
      </c>
      <c r="K61" s="6">
        <f>+C61*$K$14</f>
        <v>0</v>
      </c>
      <c r="L61" s="6">
        <f>+D61*$K$14</f>
        <v>0</v>
      </c>
      <c r="M61" s="78">
        <f>B61*1136</f>
        <v>1107600</v>
      </c>
      <c r="N61" s="115">
        <f>C61*1136</f>
        <v>0</v>
      </c>
      <c r="O61" s="60" t="e">
        <f>J61/K61</f>
        <v>#DIV/0!</v>
      </c>
      <c r="P61" s="6">
        <f>J61-K61</f>
        <v>1.1075999999999999</v>
      </c>
      <c r="R61" s="95"/>
      <c r="S61" s="107"/>
      <c r="T61" s="107"/>
      <c r="U61" s="107"/>
      <c r="V61" s="91"/>
      <c r="W61" s="91"/>
      <c r="X61" s="95"/>
      <c r="Y61" s="95"/>
      <c r="Z61" s="95"/>
      <c r="AA61" s="95"/>
      <c r="AB61" s="95"/>
    </row>
    <row r="62" spans="1:36" x14ac:dyDescent="0.25">
      <c r="J62" s="64"/>
      <c r="K62" s="64"/>
      <c r="L62" s="64"/>
      <c r="M62" s="129"/>
      <c r="N62" s="115"/>
      <c r="O62" s="60"/>
      <c r="P62" s="6"/>
      <c r="R62" s="95"/>
      <c r="S62" s="95"/>
      <c r="T62" s="95"/>
      <c r="U62" s="95"/>
      <c r="V62" s="91"/>
      <c r="W62" s="91"/>
      <c r="X62" s="95"/>
      <c r="Y62" s="95"/>
      <c r="Z62" s="95"/>
      <c r="AA62" s="95"/>
      <c r="AB62" s="95"/>
    </row>
    <row r="63" spans="1:36" x14ac:dyDescent="0.25">
      <c r="B63" s="94"/>
      <c r="J63" s="64"/>
      <c r="K63" s="64"/>
      <c r="L63" s="64"/>
      <c r="M63" s="129"/>
      <c r="N63" s="115"/>
      <c r="O63" s="60"/>
      <c r="P63" s="6"/>
      <c r="Q63" s="6"/>
      <c r="R63" s="64"/>
      <c r="S63" s="64"/>
      <c r="T63" s="64"/>
      <c r="U63" s="91"/>
      <c r="V63" s="91"/>
      <c r="W63" s="91"/>
      <c r="X63" s="95"/>
      <c r="Y63" s="95"/>
      <c r="Z63" s="95"/>
      <c r="AA63" s="95"/>
      <c r="AB63" s="95"/>
    </row>
    <row r="64" spans="1:36" x14ac:dyDescent="0.25">
      <c r="A64" s="117" t="s">
        <v>158</v>
      </c>
      <c r="B64" s="116"/>
      <c r="C64" s="116"/>
      <c r="D64" s="116"/>
      <c r="J64" s="64"/>
      <c r="K64" s="64"/>
      <c r="L64" s="64"/>
      <c r="M64" s="129"/>
      <c r="N64" s="91"/>
      <c r="O64" s="130"/>
      <c r="P64" s="64"/>
      <c r="R64" s="91"/>
      <c r="S64" s="91"/>
      <c r="T64" s="91"/>
      <c r="U64" s="91"/>
      <c r="V64" s="91"/>
      <c r="W64" s="91"/>
      <c r="X64" s="95"/>
      <c r="Y64" s="95"/>
      <c r="Z64" s="95"/>
      <c r="AA64" s="95"/>
      <c r="AB64" s="95"/>
    </row>
    <row r="65" spans="1:28" x14ac:dyDescent="0.25">
      <c r="A65" s="117"/>
      <c r="B65" s="127">
        <v>2013</v>
      </c>
      <c r="C65" s="127">
        <v>2012</v>
      </c>
      <c r="D65" s="127">
        <v>2011</v>
      </c>
      <c r="J65" s="64"/>
      <c r="K65" s="64"/>
      <c r="L65" s="64"/>
      <c r="M65" s="129"/>
      <c r="N65" s="91"/>
      <c r="O65" s="130"/>
      <c r="P65" s="64"/>
      <c r="Q65" s="6"/>
      <c r="S65" s="6"/>
      <c r="X65" s="91"/>
      <c r="Y65" s="91"/>
      <c r="Z65" s="91"/>
      <c r="AA65" s="91"/>
      <c r="AB65" s="91"/>
    </row>
    <row r="66" spans="1:28" x14ac:dyDescent="0.25">
      <c r="A66" s="117" t="s">
        <v>151</v>
      </c>
      <c r="B66" s="128">
        <v>1611</v>
      </c>
      <c r="C66" s="128">
        <v>1401</v>
      </c>
      <c r="D66" s="128">
        <v>404</v>
      </c>
      <c r="J66" s="70">
        <f t="shared" ref="J66:J69" si="7">B66*$K$14</f>
        <v>1.8300959999999997</v>
      </c>
      <c r="K66" s="6">
        <f t="shared" ref="K66:K69" si="8">+C66*$K$14</f>
        <v>1.5915359999999998</v>
      </c>
      <c r="L66" s="6">
        <f t="shared" ref="L66:L69" si="9">+D66*$K$14</f>
        <v>0.45894399999999996</v>
      </c>
      <c r="M66" s="78">
        <f t="shared" ref="M66:M69" si="10">B66*1136</f>
        <v>1830096</v>
      </c>
      <c r="N66" s="115">
        <f t="shared" ref="N66:N69" si="11">C66*1136</f>
        <v>1591536</v>
      </c>
      <c r="O66" s="60">
        <f t="shared" ref="O66:O69" si="12">J66/K66</f>
        <v>1.1498929336188437</v>
      </c>
      <c r="P66" s="6">
        <f t="shared" ref="P66:P69" si="13">J66-K66</f>
        <v>0.23855999999999988</v>
      </c>
      <c r="X66" s="91"/>
      <c r="Y66" s="91"/>
      <c r="Z66" s="91"/>
      <c r="AA66" s="91"/>
      <c r="AB66" s="91"/>
    </row>
    <row r="67" spans="1:28" x14ac:dyDescent="0.25">
      <c r="A67" s="117" t="s">
        <v>152</v>
      </c>
      <c r="B67" s="128">
        <v>260</v>
      </c>
      <c r="C67" s="128">
        <v>100</v>
      </c>
      <c r="D67" s="128">
        <v>110</v>
      </c>
      <c r="J67" s="70">
        <f t="shared" si="7"/>
        <v>0.29535999999999996</v>
      </c>
      <c r="K67" s="6">
        <f t="shared" si="8"/>
        <v>0.11359999999999998</v>
      </c>
      <c r="L67" s="6">
        <f t="shared" si="9"/>
        <v>0.12495999999999999</v>
      </c>
      <c r="M67" s="78">
        <f t="shared" si="10"/>
        <v>295360</v>
      </c>
      <c r="N67" s="115">
        <f t="shared" si="11"/>
        <v>113600</v>
      </c>
      <c r="O67" s="60">
        <f t="shared" si="12"/>
        <v>2.6</v>
      </c>
      <c r="P67" s="6">
        <f t="shared" si="13"/>
        <v>0.18175999999999998</v>
      </c>
    </row>
    <row r="68" spans="1:28" x14ac:dyDescent="0.25">
      <c r="A68" s="117" t="s">
        <v>153</v>
      </c>
      <c r="B68" s="128">
        <v>800</v>
      </c>
      <c r="C68" s="128">
        <v>800</v>
      </c>
      <c r="D68" s="128">
        <v>400</v>
      </c>
      <c r="J68" s="70">
        <f t="shared" si="7"/>
        <v>0.90879999999999983</v>
      </c>
      <c r="K68" s="6">
        <f t="shared" si="8"/>
        <v>0.90879999999999983</v>
      </c>
      <c r="L68" s="6">
        <f t="shared" si="9"/>
        <v>0.45439999999999992</v>
      </c>
      <c r="M68" s="78">
        <f t="shared" si="10"/>
        <v>908800</v>
      </c>
      <c r="N68" s="115">
        <f t="shared" si="11"/>
        <v>908800</v>
      </c>
      <c r="O68" s="60">
        <f t="shared" si="12"/>
        <v>1</v>
      </c>
      <c r="P68" s="6">
        <f t="shared" si="13"/>
        <v>0</v>
      </c>
    </row>
    <row r="69" spans="1:28" x14ac:dyDescent="0.25">
      <c r="A69" s="117" t="s">
        <v>154</v>
      </c>
      <c r="B69" s="117">
        <v>2671</v>
      </c>
      <c r="C69" s="117">
        <v>2301</v>
      </c>
      <c r="D69" s="117">
        <v>914</v>
      </c>
      <c r="J69" s="70">
        <f t="shared" si="7"/>
        <v>3.0342559999999996</v>
      </c>
      <c r="K69" s="6">
        <f t="shared" si="8"/>
        <v>2.6139359999999998</v>
      </c>
      <c r="L69" s="6">
        <f t="shared" si="9"/>
        <v>1.0383039999999999</v>
      </c>
      <c r="M69" s="78">
        <f t="shared" si="10"/>
        <v>3034256</v>
      </c>
      <c r="N69" s="115">
        <f t="shared" si="11"/>
        <v>2613936</v>
      </c>
      <c r="O69" s="60">
        <f t="shared" si="12"/>
        <v>1.1607996523250761</v>
      </c>
      <c r="P69" s="6">
        <f t="shared" si="13"/>
        <v>0.4203199999999998</v>
      </c>
    </row>
  </sheetData>
  <sortState ref="A3:F59">
    <sortCondition descending="1" ref="B3:B5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2:P28"/>
  <sheetViews>
    <sheetView topLeftCell="A8" workbookViewId="0">
      <selection activeCell="J12" sqref="J12"/>
    </sheetView>
  </sheetViews>
  <sheetFormatPr defaultRowHeight="15" x14ac:dyDescent="0.25"/>
  <sheetData>
    <row r="22" spans="11:16" x14ac:dyDescent="0.25">
      <c r="K22" t="s">
        <v>117</v>
      </c>
    </row>
    <row r="23" spans="11:16" x14ac:dyDescent="0.25">
      <c r="K23">
        <v>23538</v>
      </c>
      <c r="L23" t="s">
        <v>94</v>
      </c>
      <c r="M23">
        <v>1140</v>
      </c>
      <c r="N23" t="s">
        <v>115</v>
      </c>
      <c r="O23">
        <f>+K23*M23</f>
        <v>26833320</v>
      </c>
      <c r="P23" t="s">
        <v>116</v>
      </c>
    </row>
    <row r="26" spans="11:16" x14ac:dyDescent="0.25">
      <c r="K26" t="s">
        <v>118</v>
      </c>
    </row>
    <row r="27" spans="11:16" x14ac:dyDescent="0.25">
      <c r="K27" t="s">
        <v>119</v>
      </c>
    </row>
    <row r="28" spans="11:16" x14ac:dyDescent="0.25">
      <c r="M28">
        <v>2.714</v>
      </c>
      <c r="N28" t="s">
        <v>120</v>
      </c>
      <c r="O28">
        <f>+M28*3.78</f>
        <v>10.25892</v>
      </c>
      <c r="P28" t="s">
        <v>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opLeftCell="A10" workbookViewId="0">
      <selection activeCell="N6" sqref="N6"/>
    </sheetView>
  </sheetViews>
  <sheetFormatPr defaultRowHeight="15" x14ac:dyDescent="0.25"/>
  <sheetData>
    <row r="2" spans="1:21" x14ac:dyDescent="0.25">
      <c r="A2" t="s">
        <v>124</v>
      </c>
      <c r="M2" t="s">
        <v>127</v>
      </c>
    </row>
    <row r="3" spans="1:21" x14ac:dyDescent="0.25">
      <c r="B3" s="52">
        <v>2000</v>
      </c>
      <c r="C3" s="52">
        <v>2001</v>
      </c>
      <c r="D3" s="52">
        <v>2002</v>
      </c>
      <c r="E3" s="52">
        <v>2003</v>
      </c>
      <c r="F3" s="52">
        <v>2004</v>
      </c>
      <c r="G3" s="52">
        <v>2005</v>
      </c>
      <c r="H3" s="52">
        <v>2006</v>
      </c>
      <c r="I3" s="52">
        <v>2007</v>
      </c>
      <c r="J3" s="52">
        <v>2008</v>
      </c>
      <c r="K3" s="52">
        <v>2009</v>
      </c>
      <c r="L3" s="52">
        <v>2010</v>
      </c>
      <c r="M3" s="52">
        <v>2011</v>
      </c>
      <c r="N3" s="76">
        <v>2012</v>
      </c>
      <c r="O3" s="53">
        <v>2013</v>
      </c>
      <c r="S3" t="s">
        <v>157</v>
      </c>
    </row>
    <row r="4" spans="1:21" x14ac:dyDescent="0.25">
      <c r="B4" s="7">
        <v>17</v>
      </c>
      <c r="C4" s="7">
        <v>19</v>
      </c>
      <c r="D4" s="7">
        <v>21</v>
      </c>
      <c r="E4" s="7">
        <v>24.2</v>
      </c>
      <c r="F4" s="7">
        <v>28.5</v>
      </c>
      <c r="G4" s="7">
        <v>31.1</v>
      </c>
      <c r="H4" s="7">
        <v>39.200000000000003</v>
      </c>
      <c r="I4" s="7">
        <v>49.5</v>
      </c>
      <c r="J4" s="7">
        <v>66</v>
      </c>
      <c r="K4" s="7">
        <v>73.2</v>
      </c>
      <c r="L4" s="7">
        <v>85</v>
      </c>
      <c r="M4" s="7">
        <f>biodiesel!Q7</f>
        <v>83.789000000000001</v>
      </c>
      <c r="N4" s="7">
        <f>biodiesel!R7</f>
        <v>82.622</v>
      </c>
      <c r="O4" s="54">
        <f>biodiesel!S7</f>
        <v>87.18180000000001</v>
      </c>
      <c r="P4" t="s">
        <v>159</v>
      </c>
      <c r="S4" s="60">
        <f>O4/N4</f>
        <v>1.0551886906635037</v>
      </c>
    </row>
    <row r="5" spans="1:21" x14ac:dyDescent="0.25">
      <c r="B5" s="7">
        <v>0.8</v>
      </c>
      <c r="C5" s="7">
        <v>1</v>
      </c>
      <c r="D5" s="7">
        <v>1.4</v>
      </c>
      <c r="E5" s="7">
        <v>1.9</v>
      </c>
      <c r="F5" s="7">
        <v>2.4</v>
      </c>
      <c r="G5" s="7">
        <v>3.8</v>
      </c>
      <c r="H5" s="7">
        <v>6.5</v>
      </c>
      <c r="I5" s="7">
        <v>10.5</v>
      </c>
      <c r="J5" s="7">
        <v>15.6</v>
      </c>
      <c r="K5" s="7">
        <v>17.8</v>
      </c>
      <c r="L5" s="7">
        <v>18.5</v>
      </c>
      <c r="M5" s="7">
        <f>biodiesel!T7</f>
        <v>22.991503999999996</v>
      </c>
      <c r="N5" s="7">
        <f>biodiesel!U7</f>
        <v>23.643567999999998</v>
      </c>
      <c r="O5" s="54">
        <f>biodiesel!V7</f>
        <v>26.344975999999996</v>
      </c>
      <c r="P5" t="s">
        <v>160</v>
      </c>
      <c r="S5" s="60">
        <f>O5/N5</f>
        <v>1.1142555133810599</v>
      </c>
    </row>
    <row r="6" spans="1:21" x14ac:dyDescent="0.25">
      <c r="B6" s="52">
        <v>0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7">
        <f>biodiesel!L69</f>
        <v>1.0383039999999999</v>
      </c>
      <c r="N6" s="7">
        <f>biodiesel!K69</f>
        <v>2.6139359999999998</v>
      </c>
      <c r="O6" s="54">
        <f>biodiesel!J69</f>
        <v>3.0342559999999996</v>
      </c>
      <c r="P6" t="s">
        <v>158</v>
      </c>
      <c r="S6" s="60">
        <f>O6/N6</f>
        <v>1.1607996523250761</v>
      </c>
    </row>
    <row r="7" spans="1:21" x14ac:dyDescent="0.25">
      <c r="B7" s="7">
        <f t="shared" ref="B7:L7" si="0">B5+B4</f>
        <v>17.8</v>
      </c>
      <c r="C7" s="7">
        <f t="shared" si="0"/>
        <v>20</v>
      </c>
      <c r="D7" s="7">
        <f t="shared" si="0"/>
        <v>22.4</v>
      </c>
      <c r="E7" s="7">
        <f t="shared" si="0"/>
        <v>26.099999999999998</v>
      </c>
      <c r="F7" s="7">
        <f t="shared" si="0"/>
        <v>30.9</v>
      </c>
      <c r="G7" s="7">
        <f t="shared" si="0"/>
        <v>34.9</v>
      </c>
      <c r="H7" s="7">
        <f t="shared" si="0"/>
        <v>45.7</v>
      </c>
      <c r="I7" s="7">
        <f t="shared" si="0"/>
        <v>60</v>
      </c>
      <c r="J7" s="7">
        <f t="shared" si="0"/>
        <v>81.599999999999994</v>
      </c>
      <c r="K7" s="7">
        <f t="shared" si="0"/>
        <v>91</v>
      </c>
      <c r="L7" s="7">
        <f t="shared" si="0"/>
        <v>103.5</v>
      </c>
      <c r="M7" s="7">
        <f>SUM(M4:M6)</f>
        <v>107.81880799999999</v>
      </c>
      <c r="N7" s="7">
        <f>SUM(N4:N6)</f>
        <v>108.879504</v>
      </c>
      <c r="O7" s="54">
        <f>SUM(O4:O6)</f>
        <v>116.56103200000001</v>
      </c>
      <c r="P7" t="s">
        <v>3</v>
      </c>
    </row>
    <row r="9" spans="1:21" x14ac:dyDescent="0.25">
      <c r="S9" s="117"/>
      <c r="T9" s="117"/>
      <c r="U9" s="11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2" workbookViewId="0">
      <selection activeCell="I11" sqref="I11"/>
    </sheetView>
  </sheetViews>
  <sheetFormatPr defaultRowHeight="15" x14ac:dyDescent="0.25"/>
  <cols>
    <col min="1" max="1" width="14.28515625" customWidth="1"/>
    <col min="5" max="5" width="10.5703125" bestFit="1" customWidth="1"/>
    <col min="6" max="6" width="10.85546875" customWidth="1"/>
  </cols>
  <sheetData>
    <row r="1" spans="1:14" ht="72" x14ac:dyDescent="0.25">
      <c r="A1" s="133" t="s">
        <v>0</v>
      </c>
      <c r="B1" s="134" t="s">
        <v>1</v>
      </c>
      <c r="C1" s="134" t="s">
        <v>160</v>
      </c>
      <c r="D1" s="135" t="s">
        <v>158</v>
      </c>
      <c r="E1" s="134" t="s">
        <v>3</v>
      </c>
      <c r="F1" s="134" t="s">
        <v>143</v>
      </c>
      <c r="G1" s="5"/>
      <c r="I1">
        <v>2012</v>
      </c>
    </row>
    <row r="2" spans="1:14" ht="24" x14ac:dyDescent="0.25">
      <c r="A2" s="5"/>
      <c r="B2" s="136" t="s">
        <v>4</v>
      </c>
      <c r="C2" s="136" t="s">
        <v>4</v>
      </c>
      <c r="D2" s="136" t="s">
        <v>4</v>
      </c>
      <c r="E2" s="136" t="s">
        <v>4</v>
      </c>
      <c r="F2" s="136" t="s">
        <v>4</v>
      </c>
      <c r="G2" s="5"/>
      <c r="I2" s="87" t="s">
        <v>4</v>
      </c>
    </row>
    <row r="3" spans="1:14" ht="21" customHeight="1" x14ac:dyDescent="0.25">
      <c r="A3" s="136" t="s">
        <v>5</v>
      </c>
      <c r="B3" s="137">
        <f>ethanol!C21/1000</f>
        <v>50.34</v>
      </c>
      <c r="C3" s="137">
        <f>biodiesel!J22</f>
        <v>4.7711999999999994</v>
      </c>
      <c r="D3" s="138">
        <f>biodiesel!J67</f>
        <v>0.29535999999999996</v>
      </c>
      <c r="E3" s="139">
        <f>B3+C3+D3</f>
        <v>55.406560000000006</v>
      </c>
      <c r="F3" s="137">
        <f>E3-I3</f>
        <v>1.2282400000000067</v>
      </c>
      <c r="G3" s="5"/>
      <c r="I3" s="132">
        <f>biodiesel!K22+biodiesel!K67+(ethanol!D21/1000)</f>
        <v>54.178319999999999</v>
      </c>
    </row>
    <row r="4" spans="1:14" x14ac:dyDescent="0.25">
      <c r="A4" s="136" t="s">
        <v>6</v>
      </c>
      <c r="B4" s="137">
        <f>ethanol!C23/1000</f>
        <v>25.530200000000001</v>
      </c>
      <c r="C4" s="137">
        <f>biodiesel!J26</f>
        <v>2.9165663999999998</v>
      </c>
      <c r="D4" s="9"/>
      <c r="E4" s="139">
        <f>B4+C4</f>
        <v>28.446766400000001</v>
      </c>
      <c r="F4" s="137">
        <f t="shared" ref="F4:F7" si="0">E4-I4</f>
        <v>4.1085904000000006</v>
      </c>
      <c r="G4" s="5"/>
      <c r="I4" s="132">
        <f>ethanol!D23/1000+biodiesel!K26</f>
        <v>24.338176000000001</v>
      </c>
      <c r="N4" s="7"/>
    </row>
    <row r="5" spans="1:14" x14ac:dyDescent="0.25">
      <c r="A5" s="136" t="s">
        <v>7</v>
      </c>
      <c r="B5" s="137">
        <f>ethanol!C30/1000</f>
        <v>0.84699999999999998</v>
      </c>
      <c r="C5" s="137">
        <f>biodiesel!J25</f>
        <v>3.0671999999999997</v>
      </c>
      <c r="D5" s="9"/>
      <c r="E5" s="139">
        <f>B5+C5</f>
        <v>3.9141999999999997</v>
      </c>
      <c r="F5" s="137">
        <f t="shared" si="0"/>
        <v>0.18759999999999977</v>
      </c>
      <c r="G5" s="5"/>
      <c r="I5" s="132">
        <f>ethanol!D30/1000+biodiesel!K25</f>
        <v>3.7265999999999999</v>
      </c>
    </row>
    <row r="6" spans="1:14" x14ac:dyDescent="0.25">
      <c r="A6" s="136" t="s">
        <v>9</v>
      </c>
      <c r="B6" s="137">
        <f>ethanol!C29/1000</f>
        <v>0.96</v>
      </c>
      <c r="C6" s="137">
        <f>biodiesel!J27</f>
        <v>2.0448</v>
      </c>
      <c r="D6" s="9"/>
      <c r="E6" s="139">
        <f>B6+C6</f>
        <v>3.0047999999999999</v>
      </c>
      <c r="F6" s="137">
        <f t="shared" si="0"/>
        <v>0.13040000000000029</v>
      </c>
      <c r="G6" s="5"/>
      <c r="I6" s="132">
        <f>ethanol!D29/1000+biodiesel!K27</f>
        <v>2.8743999999999996</v>
      </c>
    </row>
    <row r="7" spans="1:14" x14ac:dyDescent="0.25">
      <c r="A7" s="136" t="s">
        <v>8</v>
      </c>
      <c r="B7" s="137">
        <f>ethanol!C40/1000</f>
        <v>0.47360000000000002</v>
      </c>
      <c r="C7" s="137">
        <f>biodiesel!J24</f>
        <v>2.2687055999999997</v>
      </c>
      <c r="D7" s="9"/>
      <c r="E7" s="139">
        <f>B7+C7</f>
        <v>2.7423055999999999</v>
      </c>
      <c r="F7" s="137">
        <f t="shared" si="0"/>
        <v>-0.29957440000000002</v>
      </c>
      <c r="G7" s="5"/>
      <c r="I7" s="132">
        <f>ethanol!D40/1000+biodiesel!K24</f>
        <v>3.0418799999999999</v>
      </c>
    </row>
    <row r="8" spans="1:14" x14ac:dyDescent="0.25">
      <c r="A8" s="136" t="s">
        <v>16</v>
      </c>
      <c r="B8" s="137">
        <f>ethanol!C42/1000</f>
        <v>0.3</v>
      </c>
      <c r="C8" s="137">
        <f>biodiesel!J32</f>
        <v>0.43167999999999995</v>
      </c>
      <c r="D8" s="140">
        <f>biodiesel!J66-0.1</f>
        <v>1.7300959999999996</v>
      </c>
      <c r="E8" s="139">
        <f>B8+C8+D8</f>
        <v>2.4617759999999995</v>
      </c>
      <c r="F8" s="137">
        <f t="shared" ref="F8:F18" si="1">E8-I8</f>
        <v>-8.0320000000000391E-3</v>
      </c>
      <c r="G8" s="5" t="s">
        <v>148</v>
      </c>
      <c r="I8" s="132">
        <f>ethanol!D42/1000+biodiesel!K32+biodiesel!K66</f>
        <v>2.4698079999999996</v>
      </c>
      <c r="J8" t="s">
        <v>161</v>
      </c>
    </row>
    <row r="9" spans="1:14" x14ac:dyDescent="0.25">
      <c r="A9" s="136" t="s">
        <v>10</v>
      </c>
      <c r="B9" s="137">
        <f>ethanol!C27/1000</f>
        <v>2</v>
      </c>
      <c r="C9" s="137">
        <f>biodiesel!J42</f>
        <v>0.17039999999999997</v>
      </c>
      <c r="D9" s="9"/>
      <c r="E9" s="139">
        <f>B9+C9</f>
        <v>2.1703999999999999</v>
      </c>
      <c r="F9" s="137">
        <f t="shared" si="1"/>
        <v>-8.8640000000000274E-2</v>
      </c>
      <c r="G9" s="5"/>
      <c r="I9" s="132">
        <f>ethanol!D27/1000+biodiesel!K42</f>
        <v>2.2590400000000002</v>
      </c>
    </row>
    <row r="10" spans="1:14" x14ac:dyDescent="0.25">
      <c r="A10" s="136" t="s">
        <v>12</v>
      </c>
      <c r="B10" s="137">
        <f>ethanol!C53/1000</f>
        <v>4.7E-2</v>
      </c>
      <c r="C10" s="137">
        <f>biodiesel!J28</f>
        <v>1.9879999999999998</v>
      </c>
      <c r="D10" s="9"/>
      <c r="E10" s="139">
        <f>B10+C10</f>
        <v>2.0349999999999997</v>
      </c>
      <c r="F10" s="137">
        <f t="shared" si="1"/>
        <v>0.22419999999999995</v>
      </c>
      <c r="G10" s="5"/>
      <c r="I10" s="132">
        <f>ethanol!D53/1000+biodiesel!K28</f>
        <v>1.8107999999999997</v>
      </c>
    </row>
    <row r="11" spans="1:14" x14ac:dyDescent="0.25">
      <c r="A11" s="136" t="s">
        <v>14</v>
      </c>
      <c r="B11" s="137">
        <f>ethanol!C31/1000</f>
        <v>0.95499999999999996</v>
      </c>
      <c r="C11" s="137">
        <f>biodiesel!J29</f>
        <v>1.0564799999999999</v>
      </c>
      <c r="D11" s="9"/>
      <c r="E11" s="139">
        <f>B11+C11</f>
        <v>2.0114799999999997</v>
      </c>
      <c r="F11" s="137">
        <f t="shared" si="1"/>
        <v>0.45817599999999992</v>
      </c>
      <c r="G11" s="5"/>
      <c r="I11" s="132">
        <f>ethanol!D31/1000+biodiesel!K29</f>
        <v>1.5533039999999998</v>
      </c>
    </row>
    <row r="12" spans="1:14" x14ac:dyDescent="0.25">
      <c r="A12" s="136" t="s">
        <v>11</v>
      </c>
      <c r="B12" s="137">
        <f>ethanol!C28/1000</f>
        <v>1.8</v>
      </c>
      <c r="C12" s="137">
        <f>biodiesel!J50</f>
        <v>0.17039999999999997</v>
      </c>
      <c r="D12" s="9"/>
      <c r="E12" s="139">
        <f>B12+C12</f>
        <v>1.9703999999999999</v>
      </c>
      <c r="F12" s="137">
        <f t="shared" si="1"/>
        <v>0.13179999999999992</v>
      </c>
      <c r="G12" s="5"/>
      <c r="I12" s="132">
        <f>ethanol!D28/1000+biodiesel!K50</f>
        <v>1.8386</v>
      </c>
    </row>
    <row r="13" spans="1:14" x14ac:dyDescent="0.25">
      <c r="A13" s="141" t="s">
        <v>153</v>
      </c>
      <c r="B13" s="141">
        <v>0</v>
      </c>
      <c r="C13" s="142">
        <f>biodiesel!J56</f>
        <v>0.9315199999999999</v>
      </c>
      <c r="D13" s="140">
        <f>+biodiesel!J68</f>
        <v>0.90879999999999983</v>
      </c>
      <c r="E13" s="139">
        <f>B13+C13+D13</f>
        <v>1.8403199999999997</v>
      </c>
      <c r="F13" s="137">
        <f t="shared" si="1"/>
        <v>0.90879999999999994</v>
      </c>
      <c r="G13" s="141"/>
      <c r="H13" s="131"/>
      <c r="I13" s="132">
        <f>biodiesel!K56+biodiesel!K68</f>
        <v>0.93151999999999979</v>
      </c>
    </row>
    <row r="14" spans="1:14" x14ac:dyDescent="0.25">
      <c r="A14" s="136" t="s">
        <v>144</v>
      </c>
      <c r="B14" s="137">
        <f>ethanol!C38/1000</f>
        <v>0.23</v>
      </c>
      <c r="C14" s="137">
        <f>biodiesel!J30</f>
        <v>0.94287999999999983</v>
      </c>
      <c r="D14" s="9"/>
      <c r="E14" s="139">
        <f>B14+C14</f>
        <v>1.1728799999999999</v>
      </c>
      <c r="F14" s="137">
        <f t="shared" si="1"/>
        <v>0.28836800000000007</v>
      </c>
      <c r="G14" s="5"/>
      <c r="I14" s="132">
        <f>ethanol!D38/1000+biodiesel!K30</f>
        <v>0.88451199999999985</v>
      </c>
    </row>
    <row r="15" spans="1:14" ht="16.5" customHeight="1" x14ac:dyDescent="0.25">
      <c r="A15" s="136" t="s">
        <v>18</v>
      </c>
      <c r="B15" s="137">
        <f>ethanol!C35/1000</f>
        <v>0.38900000000000001</v>
      </c>
      <c r="C15" s="137">
        <f>biodiesel!J38</f>
        <v>0.55663999999999991</v>
      </c>
      <c r="D15" s="9"/>
      <c r="E15" s="139">
        <f>B15+C15</f>
        <v>0.94563999999999993</v>
      </c>
      <c r="F15" s="137">
        <f t="shared" si="1"/>
        <v>1.9000000000000017E-2</v>
      </c>
      <c r="G15" s="5" t="s">
        <v>148</v>
      </c>
      <c r="I15" s="132">
        <f>ethanol!D35/1000+biodiesel!K38</f>
        <v>0.92663999999999991</v>
      </c>
    </row>
    <row r="16" spans="1:14" x14ac:dyDescent="0.25">
      <c r="A16" s="136" t="s">
        <v>15</v>
      </c>
      <c r="B16" s="137">
        <f>ethanol!C33/1000</f>
        <v>0.435</v>
      </c>
      <c r="C16" s="137">
        <f>biodiesel!J34</f>
        <v>0.37487999999999994</v>
      </c>
      <c r="D16" s="9"/>
      <c r="E16" s="139">
        <f>B16+C16</f>
        <v>0.80987999999999993</v>
      </c>
      <c r="F16" s="137">
        <f t="shared" si="1"/>
        <v>2.5000000000000022E-2</v>
      </c>
      <c r="G16" s="5" t="s">
        <v>148</v>
      </c>
      <c r="I16" s="132">
        <f>ethanol!D33/1000+biodiesel!K34</f>
        <v>0.78487999999999991</v>
      </c>
    </row>
    <row r="17" spans="1:9" x14ac:dyDescent="0.25">
      <c r="A17" s="136" t="s">
        <v>13</v>
      </c>
      <c r="B17" s="137">
        <f>ethanol!C34/1000</f>
        <v>0.41499999999999998</v>
      </c>
      <c r="C17" s="137">
        <f>biodiesel!J31</f>
        <v>0.28399999999999997</v>
      </c>
      <c r="D17" s="9"/>
      <c r="E17" s="139">
        <f>B17+C17</f>
        <v>0.69899999999999995</v>
      </c>
      <c r="F17" s="137">
        <f t="shared" si="1"/>
        <v>-0.18184</v>
      </c>
      <c r="G17" s="5"/>
      <c r="I17" s="132">
        <f>ethanol!D34/1000+biodiesel!K31</f>
        <v>0.88083999999999996</v>
      </c>
    </row>
    <row r="18" spans="1:9" x14ac:dyDescent="0.25">
      <c r="A18" s="136" t="s">
        <v>145</v>
      </c>
      <c r="B18" s="137">
        <f>ethanol!C36/1000</f>
        <v>0.27500000000000002</v>
      </c>
      <c r="C18" s="137">
        <f>biodiesel!J44</f>
        <v>0.36351999999999995</v>
      </c>
      <c r="D18" s="9"/>
      <c r="E18" s="139">
        <f>B18+C18</f>
        <v>0.63851999999999998</v>
      </c>
      <c r="F18" s="137">
        <f t="shared" si="1"/>
        <v>-5.0000000000000044E-3</v>
      </c>
      <c r="G18" s="5" t="s">
        <v>148</v>
      </c>
      <c r="I18" s="132">
        <f>ethanol!D36/1000+biodiesel!K44</f>
        <v>0.64351999999999998</v>
      </c>
    </row>
    <row r="19" spans="1:9" x14ac:dyDescent="0.25">
      <c r="A19" s="5"/>
      <c r="B19" s="5"/>
      <c r="C19" s="5"/>
      <c r="D19" s="9"/>
      <c r="E19" s="5"/>
      <c r="F19" s="5"/>
      <c r="G19" s="5"/>
      <c r="I19" s="131"/>
    </row>
    <row r="20" spans="1:9" x14ac:dyDescent="0.25">
      <c r="A20" s="134" t="s">
        <v>128</v>
      </c>
      <c r="B20" s="143">
        <f>ethanol!C19/1000</f>
        <v>87.186999999999998</v>
      </c>
      <c r="C20" s="143">
        <f>biodiesel!J17</f>
        <v>26.344975999999996</v>
      </c>
      <c r="D20" s="140">
        <f>+biodiesel!J69</f>
        <v>3.0342559999999996</v>
      </c>
      <c r="E20" s="139">
        <f>B20+C20+D20</f>
        <v>116.56623199999999</v>
      </c>
      <c r="F20" s="137">
        <f>E20-I20</f>
        <v>7.686727999999988</v>
      </c>
      <c r="G20" s="5"/>
      <c r="I20" s="132">
        <f>ethanol!D19/1000+biodiesel!K17+biodiesel!K69</f>
        <v>108.879504</v>
      </c>
    </row>
    <row r="21" spans="1:9" x14ac:dyDescent="0.25">
      <c r="A21" s="134" t="s">
        <v>147</v>
      </c>
      <c r="B21" s="143">
        <f>ethanol!C25/1000</f>
        <v>4.5339999999999998</v>
      </c>
      <c r="C21" s="143">
        <f>biodiesel!J19</f>
        <v>10.452335999999999</v>
      </c>
      <c r="D21" s="140">
        <f>biodiesel!J66</f>
        <v>1.8300959999999997</v>
      </c>
      <c r="E21" s="139">
        <f>B21+C21+D21</f>
        <v>16.816431999999999</v>
      </c>
      <c r="F21" s="137">
        <f>E21-I21</f>
        <v>1.3215040000000009</v>
      </c>
      <c r="G21" s="5"/>
      <c r="I21" s="132">
        <f>ethanol!D25/1000+biodiesel!K19+biodiesel!K66</f>
        <v>15.494927999999998</v>
      </c>
    </row>
    <row r="22" spans="1:9" x14ac:dyDescent="0.25">
      <c r="I22" s="132"/>
    </row>
    <row r="23" spans="1:9" x14ac:dyDescent="0.25">
      <c r="A23" s="83" t="s">
        <v>64</v>
      </c>
      <c r="B23" s="73">
        <f>ethanol!C32/1000</f>
        <v>0.42499999999999999</v>
      </c>
      <c r="C23" s="84">
        <f>biodiesel!J55</f>
        <v>3.4079999999999999E-2</v>
      </c>
      <c r="E23" s="85">
        <f>B23+C23</f>
        <v>0.45907999999999999</v>
      </c>
      <c r="F23" s="84">
        <f>E23-I23</f>
        <v>2.4040000000000006E-2</v>
      </c>
      <c r="I23" s="132">
        <f>ethanol!D32/1000+biodiesel!K55</f>
        <v>0.43503999999999998</v>
      </c>
    </row>
    <row r="24" spans="1:9" x14ac:dyDescent="0.25">
      <c r="A24" s="83" t="s">
        <v>137</v>
      </c>
      <c r="B24" s="73">
        <f>ethanol!C69/1000</f>
        <v>0.20499999999999999</v>
      </c>
      <c r="C24">
        <v>0</v>
      </c>
      <c r="E24" s="85">
        <f>B24+C24</f>
        <v>0.20499999999999999</v>
      </c>
      <c r="F24" s="84">
        <f>E24-I24</f>
        <v>0.20499999999999999</v>
      </c>
      <c r="I24" s="132"/>
    </row>
    <row r="25" spans="1:9" x14ac:dyDescent="0.25">
      <c r="A25" s="83" t="s">
        <v>60</v>
      </c>
      <c r="B25" s="73">
        <f>ethanol!C49/1000</f>
        <v>0.14000000000000001</v>
      </c>
      <c r="C25" s="84">
        <f>biodiesel!J60</f>
        <v>4.5439999999999994E-2</v>
      </c>
      <c r="E25" s="85">
        <f>B25+C25</f>
        <v>0.18543999999999999</v>
      </c>
      <c r="F25" s="84">
        <f>E25-I25</f>
        <v>0.18543999999999999</v>
      </c>
      <c r="I25" s="132"/>
    </row>
    <row r="26" spans="1:9" x14ac:dyDescent="0.25">
      <c r="A26" s="83" t="s">
        <v>68</v>
      </c>
      <c r="B26" s="73">
        <f>ethanol!C57/1000</f>
        <v>8.5000000000000006E-2</v>
      </c>
      <c r="C26" s="84">
        <f>biodiesel!J48</f>
        <v>0.21583999999999998</v>
      </c>
      <c r="E26" s="85">
        <f>B26+C26</f>
        <v>0.30084</v>
      </c>
      <c r="F26" s="84">
        <f>E26-I26</f>
        <v>0.11416000000000001</v>
      </c>
      <c r="I26" s="84">
        <f>ethanol!D57/1000+biodiesel!K48</f>
        <v>0.18667999999999998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2011revand2012</vt:lpstr>
      <vt:lpstr>ethanol</vt:lpstr>
      <vt:lpstr>biodiesel</vt:lpstr>
      <vt:lpstr>Productioncapacity</vt:lpstr>
      <vt:lpstr>Figure</vt:lpstr>
      <vt:lpstr>Table</vt:lpstr>
      <vt:lpstr>ethanol!_edn1</vt:lpstr>
      <vt:lpstr>ethanol!_ednref1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hchum</dc:creator>
  <cp:lastModifiedBy>Sims, Ralph</cp:lastModifiedBy>
  <dcterms:created xsi:type="dcterms:W3CDTF">2013-04-29T23:53:25Z</dcterms:created>
  <dcterms:modified xsi:type="dcterms:W3CDTF">2014-05-13T09:28:01Z</dcterms:modified>
</cp:coreProperties>
</file>