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904"/>
  </bookViews>
  <sheets>
    <sheet name="Лист1" sheetId="1" r:id="rId1"/>
  </sheets>
  <externalReferences>
    <externalReference r:id="rId2"/>
    <externalReference r:id="rId3"/>
  </externalReferences>
  <definedNames>
    <definedName name="_xlnm.Print_Area" localSheetId="0">Лист1!$A$1:$G$23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1" l="1"/>
  <c r="B23" i="1"/>
  <c r="C12" i="1" l="1"/>
  <c r="C8" i="1"/>
  <c r="B8" i="1"/>
  <c r="D22" i="1" l="1"/>
  <c r="F22" i="1"/>
  <c r="B22" i="1"/>
  <c r="F20" i="1" l="1"/>
  <c r="D20" i="1"/>
  <c r="F19" i="1"/>
  <c r="D19" i="1"/>
  <c r="F21" i="1"/>
  <c r="F17" i="1"/>
  <c r="D17" i="1"/>
  <c r="B21" i="1"/>
  <c r="B20" i="1"/>
  <c r="B19" i="1"/>
  <c r="B18" i="1"/>
  <c r="B17" i="1"/>
  <c r="G21" i="1" l="1"/>
  <c r="G20" i="1"/>
  <c r="C20" i="1"/>
  <c r="E20" i="1"/>
  <c r="E19" i="1"/>
  <c r="G19" i="1"/>
  <c r="G17" i="1"/>
  <c r="E17" i="1"/>
  <c r="C21" i="1"/>
  <c r="C19" i="1"/>
  <c r="C18" i="1"/>
  <c r="C17" i="1"/>
  <c r="G15" i="1" l="1"/>
  <c r="E15" i="1"/>
  <c r="C15" i="1"/>
  <c r="C13" i="1"/>
  <c r="G13" i="1"/>
  <c r="E13" i="1"/>
  <c r="E22" i="1" s="1"/>
  <c r="C10" i="1"/>
  <c r="G22" i="1" l="1"/>
  <c r="C22" i="1"/>
</calcChain>
</file>

<file path=xl/sharedStrings.xml><?xml version="1.0" encoding="utf-8"?>
<sst xmlns="http://schemas.openxmlformats.org/spreadsheetml/2006/main" count="40" uniqueCount="27">
  <si>
    <t>Ялта</t>
  </si>
  <si>
    <t>Кисловодск</t>
  </si>
  <si>
    <t>Фактическое исполнение койко-дней, всего</t>
  </si>
  <si>
    <t>Показатели</t>
  </si>
  <si>
    <t>Всего</t>
  </si>
  <si>
    <t>в том числе:</t>
  </si>
  <si>
    <t>(млн. сум)</t>
  </si>
  <si>
    <t>Основные показатели деятельности санаториев "Узбекистан"
 в гг. Ялта и Кисловодск Российской Федерации за 2021 год</t>
  </si>
  <si>
    <t>Жадвал-2.12</t>
  </si>
  <si>
    <t>2020 год</t>
  </si>
  <si>
    <t>2021 год</t>
  </si>
  <si>
    <t>из них, контингент ГМУ АП Руз</t>
  </si>
  <si>
    <t>План по путевкам (шт)</t>
  </si>
  <si>
    <t>Фактическое исполнение по путевкам (шт)</t>
  </si>
  <si>
    <t>План по койко-дням (койко-день)</t>
  </si>
  <si>
    <t>Численность контингента (чел.)</t>
  </si>
  <si>
    <t>Объем валового дохода (млн. сум)</t>
  </si>
  <si>
    <t>_</t>
  </si>
  <si>
    <t>Общий объем затрат, всего (млн. сум)</t>
  </si>
  <si>
    <t xml:space="preserve"> Себестоимость услуг</t>
  </si>
  <si>
    <t>Расходы по реализации</t>
  </si>
  <si>
    <t xml:space="preserve">Административные расходы </t>
  </si>
  <si>
    <t>Операционные расходы</t>
  </si>
  <si>
    <t>Прочие расходы</t>
  </si>
  <si>
    <t>Переданные, со стороны АО денежные средства (в т.ч. на строительно-ремонтных работ)</t>
  </si>
  <si>
    <t>из них, за счёт контингента</t>
  </si>
  <si>
    <r>
      <t xml:space="preserve">Результаты финансовой деятельности 
</t>
    </r>
    <r>
      <rPr>
        <sz val="14"/>
        <color rgb="FFFF0000"/>
        <rFont val="Times New Roman"/>
        <family val="1"/>
        <charset val="204"/>
      </rPr>
      <t>(- убытки, + прибыль) (млн. сум)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</si>
</sst>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3" fontId="3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164" fontId="3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6" fillId="0" borderId="0" xfId="0" applyFont="1"/>
    <xf numFmtId="3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/>
    </xf>
    <xf numFmtId="3" fontId="3" fillId="0" borderId="6" xfId="0" applyNumberFormat="1" applyFont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3" fontId="6" fillId="0" borderId="6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left" vertical="center" indent="3"/>
    </xf>
    <xf numFmtId="164" fontId="8" fillId="0" borderId="1" xfId="0" applyNumberFormat="1" applyFont="1" applyBorder="1" applyAlignment="1">
      <alignment horizontal="left" vertical="center" wrapText="1" indent="3"/>
    </xf>
    <xf numFmtId="164" fontId="8" fillId="0" borderId="6" xfId="0" applyNumberFormat="1" applyFont="1" applyBorder="1" applyAlignment="1">
      <alignment horizontal="left" vertical="center" indent="3"/>
    </xf>
    <xf numFmtId="0" fontId="7" fillId="0" borderId="5" xfId="0" applyFont="1" applyFill="1" applyBorder="1" applyAlignment="1">
      <alignment horizontal="left" vertical="center" indent="3"/>
    </xf>
    <xf numFmtId="164" fontId="7" fillId="0" borderId="1" xfId="0" applyNumberFormat="1" applyFont="1" applyBorder="1" applyAlignment="1">
      <alignment horizontal="left" vertical="center" indent="3"/>
    </xf>
    <xf numFmtId="164" fontId="7" fillId="0" borderId="6" xfId="0" applyNumberFormat="1" applyFont="1" applyBorder="1" applyAlignment="1">
      <alignment horizontal="left" vertical="center" indent="3"/>
    </xf>
    <xf numFmtId="0" fontId="3" fillId="0" borderId="5" xfId="0" applyFont="1" applyBorder="1" applyAlignment="1">
      <alignment horizontal="left" vertical="center" wrapText="1" indent="3"/>
    </xf>
    <xf numFmtId="0" fontId="2" fillId="0" borderId="5" xfId="0" applyFont="1" applyBorder="1" applyAlignment="1">
      <alignment horizontal="left" vertical="center" indent="3"/>
    </xf>
    <xf numFmtId="0" fontId="6" fillId="0" borderId="5" xfId="0" applyFont="1" applyBorder="1" applyAlignment="1">
      <alignment horizontal="left" vertical="center" indent="3"/>
    </xf>
    <xf numFmtId="0" fontId="3" fillId="0" borderId="5" xfId="0" applyFont="1" applyBorder="1" applyAlignment="1">
      <alignment horizontal="left" vertical="center" indent="3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indent="3"/>
    </xf>
    <xf numFmtId="3" fontId="2" fillId="0" borderId="3" xfId="0" applyNumberFormat="1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 indent="2"/>
    </xf>
    <xf numFmtId="164" fontId="4" fillId="0" borderId="6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 indent="2"/>
    </xf>
    <xf numFmtId="164" fontId="2" fillId="0" borderId="11" xfId="0" applyNumberFormat="1" applyFont="1" applyBorder="1" applyAlignment="1">
      <alignment horizontal="center" vertical="center"/>
    </xf>
    <xf numFmtId="164" fontId="2" fillId="0" borderId="1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ANA\Documents\21.02.2018\&#1041;&#1059;&#1061;&#1043;&#1040;&#1051;&#1058;&#1045;&#1056;&#1048;&#1071;%202017-2021\&#1041;&#1040;&#1051;&#1040;&#1053;&#1057;&#1067;\2021\&#1075;&#1086;&#1076;&#1086;&#1074;&#1086;&#1081;%20&#1073;&#1072;&#1083;&#1072;&#1085;&#1089;%202021\&#1086;&#1090;&#1095;&#1077;&#109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ANA\Documents\21.02.2018\&#1041;&#1059;&#1061;&#1043;&#1040;&#1051;&#1058;&#1045;&#1056;&#1048;&#1071;%202017-2021\&#1041;&#1040;&#1051;&#1040;&#1053;&#1057;&#1067;\2020\&#1075;&#1086;&#1076;&#1086;&#1074;&#1086;&#1081;%20&#1073;&#1072;&#1083;&#1072;&#1085;&#1089;%202020%20&#1075;&#1086;&#1076;\&#1086;&#1090;&#1095;&#1077;&#1090;%20&#1075;&#1086;&#1076;&#1086;&#1074;&#1086;&#108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-2 кооректировка ялта (3)"/>
      <sheetName val="баланс коректировка (2)"/>
      <sheetName val="ф-2 как есть(2)"/>
      <sheetName val="баланс по факту"/>
      <sheetName val="Лист1"/>
    </sheetNames>
    <sheetDataSet>
      <sheetData sheetId="0">
        <row r="8">
          <cell r="I8">
            <v>17455738.300000001</v>
          </cell>
          <cell r="K8">
            <v>11167760.449999999</v>
          </cell>
          <cell r="M8">
            <v>30284741.75</v>
          </cell>
        </row>
        <row r="10">
          <cell r="K10">
            <v>1134203.8399999999</v>
          </cell>
          <cell r="M10">
            <v>6490471.6199999992</v>
          </cell>
        </row>
        <row r="11">
          <cell r="M11">
            <v>24879</v>
          </cell>
        </row>
        <row r="12">
          <cell r="I12">
            <v>2545046.35</v>
          </cell>
          <cell r="K12">
            <v>584603.25</v>
          </cell>
          <cell r="M12">
            <v>5291588.5999999996</v>
          </cell>
        </row>
        <row r="13">
          <cell r="I13">
            <v>566072.42999999993</v>
          </cell>
          <cell r="K13">
            <v>549600.59</v>
          </cell>
          <cell r="M13">
            <v>1174004.02</v>
          </cell>
        </row>
        <row r="23">
          <cell r="M23">
            <v>1988934.13</v>
          </cell>
        </row>
        <row r="26">
          <cell r="I26">
            <v>729320.13</v>
          </cell>
          <cell r="M26">
            <v>1988934.13</v>
          </cell>
        </row>
      </sheetData>
      <sheetData sheetId="1"/>
      <sheetData sheetId="2">
        <row r="7">
          <cell r="H7">
            <v>22739669.259999998</v>
          </cell>
          <cell r="J7">
            <v>3562981.0600999999</v>
          </cell>
          <cell r="L7">
            <v>28633148.320099998</v>
          </cell>
        </row>
        <row r="8">
          <cell r="I8">
            <v>17455738.300000001</v>
          </cell>
        </row>
        <row r="10">
          <cell r="I10">
            <v>3111118.7800000003</v>
          </cell>
        </row>
        <row r="15">
          <cell r="H15">
            <v>154276.43</v>
          </cell>
          <cell r="J15">
            <v>1468464.5359999998</v>
          </cell>
          <cell r="L15">
            <v>3435212.966</v>
          </cell>
        </row>
        <row r="17">
          <cell r="L17">
            <v>1832379.8599999999</v>
          </cell>
        </row>
        <row r="21">
          <cell r="H21">
            <v>617399.86</v>
          </cell>
        </row>
        <row r="23">
          <cell r="I23">
            <v>729320.13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аланс 2020 (перерасчет) (3"/>
      <sheetName val="перерасчет"/>
      <sheetName val="баланс 2020 (корректировкь) (2)"/>
      <sheetName val="Лист1"/>
      <sheetName val="баланс 2020 (как есть)"/>
      <sheetName val="ф-2 как есть"/>
      <sheetName val="расходы"/>
      <sheetName val="расходы (2)"/>
      <sheetName val="Лист2"/>
    </sheetNames>
    <sheetDataSet>
      <sheetData sheetId="0" refreshError="1"/>
      <sheetData sheetId="1">
        <row r="7">
          <cell r="L7">
            <v>6970041.3400000008</v>
          </cell>
        </row>
        <row r="8">
          <cell r="I8">
            <v>10779466.08</v>
          </cell>
          <cell r="K8">
            <v>8328007.7700000005</v>
          </cell>
          <cell r="M8">
            <v>19107473.850000001</v>
          </cell>
        </row>
        <row r="11">
          <cell r="M11">
            <v>76688</v>
          </cell>
        </row>
        <row r="12">
          <cell r="I12">
            <v>155820.81</v>
          </cell>
          <cell r="K12">
            <v>416746.50000000006</v>
          </cell>
          <cell r="M12">
            <v>1877761.31</v>
          </cell>
        </row>
        <row r="13">
          <cell r="I13">
            <v>257111.40000000002</v>
          </cell>
          <cell r="K13">
            <v>1160109.24</v>
          </cell>
          <cell r="M13">
            <v>1519719.6400000001</v>
          </cell>
        </row>
        <row r="23">
          <cell r="I23">
            <v>600538.77</v>
          </cell>
          <cell r="M23">
            <v>600538.77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workbookViewId="0">
      <selection activeCell="D20" sqref="D20"/>
    </sheetView>
  </sheetViews>
  <sheetFormatPr defaultColWidth="8.88671875" defaultRowHeight="18" x14ac:dyDescent="0.35"/>
  <cols>
    <col min="1" max="1" width="56.88671875" style="3" customWidth="1"/>
    <col min="2" max="7" width="16.6640625" style="3" customWidth="1"/>
    <col min="8" max="16384" width="8.88671875" style="3"/>
  </cols>
  <sheetData>
    <row r="1" spans="1:7" x14ac:dyDescent="0.35">
      <c r="F1" s="21" t="s">
        <v>8</v>
      </c>
      <c r="G1" s="21"/>
    </row>
    <row r="2" spans="1:7" ht="51" customHeight="1" x14ac:dyDescent="0.35">
      <c r="A2" s="22" t="s">
        <v>7</v>
      </c>
      <c r="B2" s="22"/>
      <c r="C2" s="22"/>
      <c r="D2" s="22"/>
      <c r="E2" s="22"/>
      <c r="F2" s="22"/>
      <c r="G2" s="22"/>
    </row>
    <row r="3" spans="1:7" ht="23.4" customHeight="1" thickBot="1" x14ac:dyDescent="0.4">
      <c r="A3" s="13"/>
      <c r="B3" s="13"/>
      <c r="C3" s="13"/>
      <c r="D3" s="13"/>
      <c r="E3" s="13"/>
      <c r="F3" s="25" t="s">
        <v>6</v>
      </c>
      <c r="G3" s="25"/>
    </row>
    <row r="4" spans="1:7" ht="22.2" customHeight="1" x14ac:dyDescent="0.35">
      <c r="A4" s="29" t="s">
        <v>3</v>
      </c>
      <c r="B4" s="26" t="s">
        <v>4</v>
      </c>
      <c r="C4" s="26"/>
      <c r="D4" s="27" t="s">
        <v>5</v>
      </c>
      <c r="E4" s="27"/>
      <c r="F4" s="27"/>
      <c r="G4" s="28"/>
    </row>
    <row r="5" spans="1:7" ht="22.05" customHeight="1" x14ac:dyDescent="0.35">
      <c r="A5" s="30"/>
      <c r="B5" s="23"/>
      <c r="C5" s="23"/>
      <c r="D5" s="23" t="s">
        <v>0</v>
      </c>
      <c r="E5" s="23"/>
      <c r="F5" s="23" t="s">
        <v>1</v>
      </c>
      <c r="G5" s="24"/>
    </row>
    <row r="6" spans="1:7" ht="22.05" customHeight="1" thickBot="1" x14ac:dyDescent="0.4">
      <c r="A6" s="31"/>
      <c r="B6" s="45" t="s">
        <v>9</v>
      </c>
      <c r="C6" s="45" t="s">
        <v>10</v>
      </c>
      <c r="D6" s="45" t="s">
        <v>9</v>
      </c>
      <c r="E6" s="45" t="s">
        <v>10</v>
      </c>
      <c r="F6" s="45" t="s">
        <v>9</v>
      </c>
      <c r="G6" s="46" t="s">
        <v>10</v>
      </c>
    </row>
    <row r="7" spans="1:7" ht="25.05" customHeight="1" x14ac:dyDescent="0.35">
      <c r="A7" s="48" t="s">
        <v>12</v>
      </c>
      <c r="B7" s="49">
        <v>3840</v>
      </c>
      <c r="C7" s="49">
        <v>5000</v>
      </c>
      <c r="D7" s="49">
        <v>1640</v>
      </c>
      <c r="E7" s="49">
        <v>2500</v>
      </c>
      <c r="F7" s="49">
        <v>2200</v>
      </c>
      <c r="G7" s="50">
        <v>2500</v>
      </c>
    </row>
    <row r="8" spans="1:7" ht="25.05" customHeight="1" x14ac:dyDescent="0.35">
      <c r="A8" s="44" t="s">
        <v>13</v>
      </c>
      <c r="B8" s="9">
        <f>D8+F8</f>
        <v>1291</v>
      </c>
      <c r="C8" s="9">
        <f>E8+G8</f>
        <v>4038</v>
      </c>
      <c r="D8" s="9">
        <v>163</v>
      </c>
      <c r="E8" s="9">
        <v>498</v>
      </c>
      <c r="F8" s="9">
        <v>1128</v>
      </c>
      <c r="G8" s="14">
        <v>3540</v>
      </c>
    </row>
    <row r="9" spans="1:7" s="8" customFormat="1" ht="25.05" customHeight="1" x14ac:dyDescent="0.35">
      <c r="A9" s="43" t="s">
        <v>14</v>
      </c>
      <c r="B9" s="18">
        <v>53760</v>
      </c>
      <c r="C9" s="18">
        <v>70000</v>
      </c>
      <c r="D9" s="18">
        <v>22960</v>
      </c>
      <c r="E9" s="18">
        <v>35000</v>
      </c>
      <c r="F9" s="18">
        <v>30800</v>
      </c>
      <c r="G9" s="19">
        <v>35000</v>
      </c>
    </row>
    <row r="10" spans="1:7" s="10" customFormat="1" ht="25.05" customHeight="1" x14ac:dyDescent="0.3">
      <c r="A10" s="41" t="s">
        <v>2</v>
      </c>
      <c r="B10" s="9">
        <v>13086</v>
      </c>
      <c r="C10" s="9">
        <f>E10+G10</f>
        <v>46778</v>
      </c>
      <c r="D10" s="1">
        <v>741</v>
      </c>
      <c r="E10" s="9">
        <v>6646</v>
      </c>
      <c r="F10" s="1">
        <v>12345</v>
      </c>
      <c r="G10" s="14">
        <v>40132</v>
      </c>
    </row>
    <row r="11" spans="1:7" s="10" customFormat="1" ht="25.05" customHeight="1" x14ac:dyDescent="0.3">
      <c r="A11" s="42" t="s">
        <v>11</v>
      </c>
      <c r="B11" s="11" t="s">
        <v>17</v>
      </c>
      <c r="C11" s="11">
        <v>699</v>
      </c>
      <c r="D11" s="2" t="s">
        <v>17</v>
      </c>
      <c r="E11" s="11">
        <v>105</v>
      </c>
      <c r="F11" s="2" t="s">
        <v>17</v>
      </c>
      <c r="G11" s="15">
        <v>594</v>
      </c>
    </row>
    <row r="12" spans="1:7" s="20" customFormat="1" ht="25.05" customHeight="1" x14ac:dyDescent="0.3">
      <c r="A12" s="43" t="s">
        <v>15</v>
      </c>
      <c r="B12" s="32" t="s">
        <v>17</v>
      </c>
      <c r="C12" s="18">
        <f>E12+G12</f>
        <v>37</v>
      </c>
      <c r="D12" s="33" t="s">
        <v>17</v>
      </c>
      <c r="E12" s="18">
        <v>6</v>
      </c>
      <c r="F12" s="33" t="s">
        <v>17</v>
      </c>
      <c r="G12" s="19">
        <v>31</v>
      </c>
    </row>
    <row r="13" spans="1:7" s="10" customFormat="1" ht="25.05" customHeight="1" x14ac:dyDescent="0.3">
      <c r="A13" s="44" t="s">
        <v>16</v>
      </c>
      <c r="B13" s="6">
        <v>8824</v>
      </c>
      <c r="C13" s="6">
        <f>('[1]ф-2 как есть(2)'!$L$7+'[1]ф-2 как есть(2)'!$L$15+'[1]ф-2 как есть(2)'!$L$17)/1000</f>
        <v>33900.741146100001</v>
      </c>
      <c r="D13" s="4">
        <v>1355</v>
      </c>
      <c r="E13" s="6">
        <f>('[1]ф-2 как есть(2)'!$J$7+'[1]ф-2 как есть(2)'!$J$15)/1000+2679</f>
        <v>7710.4455960999994</v>
      </c>
      <c r="F13" s="4">
        <v>7469</v>
      </c>
      <c r="G13" s="16">
        <f>('[1]ф-2 как есть(2)'!$H$7+'[1]ф-2 как есть(2)'!$H$15+'[1]ф-2 как есть(2)'!$H$21)/1000+2680</f>
        <v>26191.345549999998</v>
      </c>
    </row>
    <row r="14" spans="1:7" s="10" customFormat="1" ht="25.05" customHeight="1" x14ac:dyDescent="0.3">
      <c r="A14" s="42" t="s">
        <v>25</v>
      </c>
      <c r="B14" s="11" t="s">
        <v>17</v>
      </c>
      <c r="C14" s="7">
        <v>357</v>
      </c>
      <c r="D14" s="5" t="s">
        <v>17</v>
      </c>
      <c r="E14" s="7">
        <v>56</v>
      </c>
      <c r="F14" s="5" t="s">
        <v>17</v>
      </c>
      <c r="G14" s="17">
        <v>301</v>
      </c>
    </row>
    <row r="15" spans="1:7" s="10" customFormat="1" ht="25.05" customHeight="1" x14ac:dyDescent="0.3">
      <c r="A15" s="44" t="s">
        <v>18</v>
      </c>
      <c r="B15" s="6">
        <v>23182</v>
      </c>
      <c r="C15" s="6">
        <f>('[1]ф-2 кооректировка ялта (3)'!$M$8+'[1]ф-2 кооректировка ялта (3)'!$M$10+'[1]ф-2 кооректировка ялта (3)'!$M$23)/1000</f>
        <v>38764.147499999999</v>
      </c>
      <c r="D15" s="4">
        <v>10647</v>
      </c>
      <c r="E15" s="6">
        <f>('[1]ф-2 кооректировка ялта (3)'!$K$8+'[1]ф-2 кооректировка ялта (3)'!$K$10)/1000+2583</f>
        <v>14884.96429</v>
      </c>
      <c r="F15" s="4">
        <v>12535</v>
      </c>
      <c r="G15" s="16">
        <f>('[1]ф-2 как есть(2)'!$I$8+'[1]ф-2 как есть(2)'!$I$10+'[1]ф-2 как есть(2)'!$I$23)/1000+2583</f>
        <v>23879.177210000002</v>
      </c>
    </row>
    <row r="16" spans="1:7" s="10" customFormat="1" ht="15.6" customHeight="1" x14ac:dyDescent="0.3">
      <c r="A16" s="34" t="s">
        <v>5</v>
      </c>
      <c r="B16" s="35"/>
      <c r="C16" s="35"/>
      <c r="D16" s="36"/>
      <c r="E16" s="35"/>
      <c r="F16" s="36"/>
      <c r="G16" s="37"/>
    </row>
    <row r="17" spans="1:7" s="10" customFormat="1" ht="25.05" customHeight="1" x14ac:dyDescent="0.3">
      <c r="A17" s="38" t="s">
        <v>19</v>
      </c>
      <c r="B17" s="39">
        <f>[2]перерасчет!$M$8/1000</f>
        <v>19107.473850000002</v>
      </c>
      <c r="C17" s="39">
        <f>'[1]ф-2 кооректировка ялта (3)'!$M$8/1000</f>
        <v>30284.741750000001</v>
      </c>
      <c r="D17" s="39">
        <f>[2]перерасчет!$K$8/1000</f>
        <v>8328.0077700000002</v>
      </c>
      <c r="E17" s="39">
        <f>('[1]ф-2 кооректировка ялта (3)'!$K$8/1000)+830</f>
        <v>11997.76045</v>
      </c>
      <c r="F17" s="39">
        <f>([2]перерасчет!$I$8/1000)</f>
        <v>10779.46608</v>
      </c>
      <c r="G17" s="40">
        <f>('[1]ф-2 кооректировка ялта (3)'!$I$8/1000)+831</f>
        <v>18286.738300000001</v>
      </c>
    </row>
    <row r="18" spans="1:7" s="10" customFormat="1" ht="25.05" customHeight="1" x14ac:dyDescent="0.3">
      <c r="A18" s="38" t="s">
        <v>20</v>
      </c>
      <c r="B18" s="39">
        <f>[2]перерасчет!$M$11/1000</f>
        <v>76.688000000000002</v>
      </c>
      <c r="C18" s="39">
        <f>'[1]ф-2 кооректировка ялта (3)'!$M$11/1000</f>
        <v>24.879000000000001</v>
      </c>
      <c r="D18" s="39">
        <v>38</v>
      </c>
      <c r="E18" s="39">
        <v>12</v>
      </c>
      <c r="F18" s="39">
        <v>39</v>
      </c>
      <c r="G18" s="40">
        <v>13</v>
      </c>
    </row>
    <row r="19" spans="1:7" s="10" customFormat="1" ht="25.05" customHeight="1" x14ac:dyDescent="0.3">
      <c r="A19" s="38" t="s">
        <v>21</v>
      </c>
      <c r="B19" s="39">
        <f>[2]перерасчет!$M$12/1000</f>
        <v>1877.7613100000001</v>
      </c>
      <c r="C19" s="39">
        <f>'[1]ф-2 кооректировка ялта (3)'!$M$12/1000</f>
        <v>5291.5886</v>
      </c>
      <c r="D19" s="39">
        <f>([2]перерасчет!$K$12/1000)+652</f>
        <v>1068.7465000000002</v>
      </c>
      <c r="E19" s="39">
        <f>('[1]ф-2 кооректировка ялта (3)'!$K$12/1000)+1081</f>
        <v>1665.6032500000001</v>
      </c>
      <c r="F19" s="39">
        <f>([2]перерасчет!$I$12/1000)+653</f>
        <v>808.82080999999994</v>
      </c>
      <c r="G19" s="40">
        <f>('[1]ф-2 кооректировка ялта (3)'!$I$12/1000)+1081</f>
        <v>3626.0463500000001</v>
      </c>
    </row>
    <row r="20" spans="1:7" s="10" customFormat="1" ht="25.05" customHeight="1" x14ac:dyDescent="0.3">
      <c r="A20" s="38" t="s">
        <v>22</v>
      </c>
      <c r="B20" s="39">
        <f>[2]перерасчет!$M$13/1000</f>
        <v>1519.71964</v>
      </c>
      <c r="C20" s="39">
        <f>'[1]ф-2 кооректировка ялта (3)'!$M$13/1000</f>
        <v>1174.0040200000001</v>
      </c>
      <c r="D20" s="39">
        <f>([2]перерасчет!$K$13)/1000+52</f>
        <v>1212.10924</v>
      </c>
      <c r="E20" s="39">
        <f>('[1]ф-2 кооректировка ялта (3)'!$K$13/1000)+29</f>
        <v>578.60059000000001</v>
      </c>
      <c r="F20" s="39">
        <f>([2]перерасчет!$I$13/1000)+50</f>
        <v>307.1114</v>
      </c>
      <c r="G20" s="40">
        <f>'[1]ф-2 кооректировка ялта (3)'!$I$13/1000+29</f>
        <v>595.07242999999994</v>
      </c>
    </row>
    <row r="21" spans="1:7" s="10" customFormat="1" ht="25.05" customHeight="1" x14ac:dyDescent="0.3">
      <c r="A21" s="38" t="s">
        <v>23</v>
      </c>
      <c r="B21" s="39">
        <f>[2]перерасчет!$M$23/1000</f>
        <v>600.53877</v>
      </c>
      <c r="C21" s="39">
        <f>'[1]ф-2 кооректировка ялта (3)'!$M$26/1000</f>
        <v>1988.9341299999999</v>
      </c>
      <c r="D21" s="39">
        <v>0</v>
      </c>
      <c r="E21" s="39">
        <v>631</v>
      </c>
      <c r="F21" s="39">
        <f>([2]перерасчет!$I$23/1000)</f>
        <v>600.53877</v>
      </c>
      <c r="G21" s="40">
        <f>('[1]ф-2 кооректировка ялта (3)'!$I$26/1000)+629</f>
        <v>1358.3201300000001</v>
      </c>
    </row>
    <row r="22" spans="1:7" s="12" customFormat="1" ht="43.95" customHeight="1" x14ac:dyDescent="0.3">
      <c r="A22" s="51" t="s">
        <v>26</v>
      </c>
      <c r="B22" s="47">
        <f>+B13-B15</f>
        <v>-14358</v>
      </c>
      <c r="C22" s="47">
        <f t="shared" ref="C22:G22" si="0">+C13-C15</f>
        <v>-4863.4063538999981</v>
      </c>
      <c r="D22" s="47">
        <f t="shared" si="0"/>
        <v>-9292</v>
      </c>
      <c r="E22" s="47">
        <f t="shared" si="0"/>
        <v>-7174.5186939000005</v>
      </c>
      <c r="F22" s="47">
        <f t="shared" si="0"/>
        <v>-5066</v>
      </c>
      <c r="G22" s="52">
        <f t="shared" si="0"/>
        <v>2312.1683399999965</v>
      </c>
    </row>
    <row r="23" spans="1:7" ht="43.95" customHeight="1" thickBot="1" x14ac:dyDescent="0.4">
      <c r="A23" s="53" t="s">
        <v>24</v>
      </c>
      <c r="B23" s="54">
        <f>D23+F23</f>
        <v>42998</v>
      </c>
      <c r="C23" s="54">
        <f>E23+G23</f>
        <v>41979</v>
      </c>
      <c r="D23" s="54">
        <v>28918</v>
      </c>
      <c r="E23" s="54">
        <v>39394</v>
      </c>
      <c r="F23" s="54">
        <v>14080</v>
      </c>
      <c r="G23" s="55">
        <v>2585</v>
      </c>
    </row>
  </sheetData>
  <mergeCells count="8">
    <mergeCell ref="F1:G1"/>
    <mergeCell ref="A2:G2"/>
    <mergeCell ref="D5:E5"/>
    <mergeCell ref="F5:G5"/>
    <mergeCell ref="F3:G3"/>
    <mergeCell ref="B4:C5"/>
    <mergeCell ref="D4:G4"/>
    <mergeCell ref="A4:A6"/>
  </mergeCells>
  <printOptions horizontalCentered="1"/>
  <pageMargins left="0.31496062992125984" right="0.11811023622047245" top="0.55118110236220474" bottom="0.35433070866141736" header="0.31496062992125984" footer="0.31496062992125984"/>
  <pageSetup paperSize="9" scale="8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2022-02-10T10:22:53Z</dcterms:modified>
</cp:coreProperties>
</file>