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Fintech\Semester 1\Quantitative Methods\Prof Barucci\Assignment\"/>
    </mc:Choice>
  </mc:AlternateContent>
  <xr:revisionPtr revIDLastSave="0" documentId="13_ncr:1_{3B950D0C-4456-4243-B6A4-2DE7AA59329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Exercise 1" sheetId="2" r:id="rId1"/>
    <sheet name="Exercise 2" sheetId="3" r:id="rId2"/>
    <sheet name="Exercise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4" l="1"/>
  <c r="G16" i="4"/>
  <c r="G20" i="4"/>
  <c r="I22" i="4"/>
  <c r="I18" i="4"/>
  <c r="I17" i="4" s="1"/>
  <c r="I14" i="4"/>
  <c r="H45" i="3"/>
  <c r="L38" i="2"/>
  <c r="M39" i="3"/>
  <c r="O41" i="3" s="1"/>
  <c r="Q43" i="3" s="1"/>
  <c r="S43" i="3" s="1"/>
  <c r="O44" i="3" s="1"/>
  <c r="K41" i="3"/>
  <c r="M43" i="3" s="1"/>
  <c r="O45" i="3" s="1"/>
  <c r="Q47" i="3" s="1"/>
  <c r="S47" i="3" s="1"/>
  <c r="K37" i="3"/>
  <c r="M35" i="3" s="1"/>
  <c r="D36" i="3"/>
  <c r="D35" i="3"/>
  <c r="F20" i="4"/>
  <c r="F16" i="4"/>
  <c r="I21" i="4"/>
  <c r="H22" i="4"/>
  <c r="H18" i="4"/>
  <c r="I13" i="4"/>
  <c r="H14" i="4"/>
  <c r="L23" i="4"/>
  <c r="L19" i="4"/>
  <c r="L15" i="4"/>
  <c r="L11" i="4"/>
  <c r="J23" i="4"/>
  <c r="J19" i="4"/>
  <c r="J15" i="4"/>
  <c r="J11" i="4"/>
  <c r="H17" i="4"/>
  <c r="H21" i="4"/>
  <c r="H13" i="4"/>
  <c r="F19" i="4"/>
  <c r="F15" i="4"/>
  <c r="B11" i="4"/>
  <c r="B10" i="4"/>
  <c r="B8" i="3"/>
  <c r="B7" i="3"/>
  <c r="M17" i="3" s="1"/>
  <c r="G19" i="4" l="1"/>
  <c r="G15" i="4"/>
  <c r="O37" i="3"/>
  <c r="Q39" i="3" s="1"/>
  <c r="S39" i="3" s="1"/>
  <c r="O40" i="3" s="1"/>
  <c r="M42" i="3" s="1"/>
  <c r="O33" i="3"/>
  <c r="O19" i="3"/>
  <c r="K15" i="3"/>
  <c r="O11" i="3"/>
  <c r="M13" i="3"/>
  <c r="O15" i="3"/>
  <c r="K16" i="3"/>
  <c r="M18" i="3" s="1"/>
  <c r="O20" i="3" s="1"/>
  <c r="Q22" i="3" s="1"/>
  <c r="S22" i="3" s="1"/>
  <c r="K12" i="3"/>
  <c r="M14" i="3" s="1"/>
  <c r="O16" i="3" s="1"/>
  <c r="Q18" i="3" s="1"/>
  <c r="S18" i="3" s="1"/>
  <c r="Q35" i="3" l="1"/>
  <c r="S35" i="3" s="1"/>
  <c r="O36" i="3" s="1"/>
  <c r="M38" i="3" s="1"/>
  <c r="K40" i="3" s="1"/>
  <c r="Q31" i="3"/>
  <c r="S31" i="3" s="1"/>
  <c r="O32" i="3" s="1"/>
  <c r="M34" i="3" s="1"/>
  <c r="K36" i="3" s="1"/>
  <c r="M10" i="3"/>
  <c r="B7" i="2"/>
  <c r="B26" i="2"/>
  <c r="B25" i="2"/>
  <c r="F40" i="2"/>
  <c r="H42" i="2" s="1"/>
  <c r="J42" i="2" s="1"/>
  <c r="F36" i="2"/>
  <c r="H38" i="2" s="1"/>
  <c r="J38" i="2" s="1"/>
  <c r="B8" i="2"/>
  <c r="F24" i="2"/>
  <c r="H26" i="2" s="1"/>
  <c r="J26" i="2" s="1"/>
  <c r="F20" i="2"/>
  <c r="H18" i="2" s="1"/>
  <c r="J18" i="2" s="1"/>
  <c r="I38" i="3" l="1"/>
  <c r="C39" i="3" s="1"/>
  <c r="O8" i="3"/>
  <c r="O12" i="3"/>
  <c r="Q14" i="3" s="1"/>
  <c r="S14" i="3" s="1"/>
  <c r="K40" i="2"/>
  <c r="H22" i="2"/>
  <c r="J22" i="2" s="1"/>
  <c r="K24" i="2" s="1"/>
  <c r="H34" i="2"/>
  <c r="J34" i="2" s="1"/>
  <c r="K36" i="2" s="1"/>
  <c r="Q10" i="3" l="1"/>
  <c r="S10" i="3" s="1"/>
  <c r="Q6" i="3"/>
  <c r="S6" i="3" s="1"/>
  <c r="O7" i="3" s="1"/>
  <c r="M9" i="3" s="1"/>
  <c r="K11" i="3" s="1"/>
  <c r="K20" i="2"/>
  <c r="L22" i="2" s="1"/>
  <c r="I13" i="3" l="1"/>
  <c r="I22" i="3" s="1"/>
</calcChain>
</file>

<file path=xl/sharedStrings.xml><?xml version="1.0" encoding="utf-8"?>
<sst xmlns="http://schemas.openxmlformats.org/spreadsheetml/2006/main" count="113" uniqueCount="63">
  <si>
    <t>p_up</t>
  </si>
  <si>
    <t>p_down</t>
  </si>
  <si>
    <t>Time</t>
  </si>
  <si>
    <t>6 months</t>
  </si>
  <si>
    <t>Strike Price</t>
  </si>
  <si>
    <t>$10</t>
  </si>
  <si>
    <t>Spot Price</t>
  </si>
  <si>
    <t>Annual rf</t>
  </si>
  <si>
    <t>Call Option</t>
  </si>
  <si>
    <t>[+13%]</t>
  </si>
  <si>
    <t>[-13%]</t>
  </si>
  <si>
    <t>Spot</t>
  </si>
  <si>
    <t>Strike</t>
  </si>
  <si>
    <t>?</t>
  </si>
  <si>
    <t>w_up</t>
  </si>
  <si>
    <t>w_down</t>
  </si>
  <si>
    <t>Put Option</t>
  </si>
  <si>
    <t>Price of Stock</t>
  </si>
  <si>
    <t>Price of Option</t>
  </si>
  <si>
    <t>Time to expiration</t>
  </si>
  <si>
    <t xml:space="preserve"> 6 months</t>
  </si>
  <si>
    <t>Numer of periods</t>
  </si>
  <si>
    <t>t (years)</t>
  </si>
  <si>
    <t>strike price</t>
  </si>
  <si>
    <t>spot price</t>
  </si>
  <si>
    <t>rfr</t>
  </si>
  <si>
    <t>Put call parity?</t>
  </si>
  <si>
    <t>Delta hedging?</t>
  </si>
  <si>
    <t>Exercise 1
Given a binomial model, consider 6 months horizon. Every three months the asset price can go up
of 13% and down of 13%. The strike price is 10$ and the price today is 10$, the annual risk-free
interest rate is 4% (pay attention apply the equivalent interest rate according to the compound
interest rate law):
• What is the price of a Call Option today?
• What is the price of the Put Option today?
• Verify the Put-Call parity (it is on the slides)</t>
  </si>
  <si>
    <t>American Put Option</t>
  </si>
  <si>
    <t>maturity in monthd(t)</t>
  </si>
  <si>
    <t>Spot price</t>
  </si>
  <si>
    <t xml:space="preserve">periods </t>
  </si>
  <si>
    <t>Exercise 3 (non compulsory)
Consider an American Put option with exercise price K=14$, maturity T=3 months, the underlying asset price evolves as a binomial model with S(0)=15$, u=1.4, d=0.78 over three periods (up and down each month); annual risk-free interest rate 1% (pay attention apply the equivalent interest rate according to the compound interest rate law). Compute the price of the derivative contract today.
You can provide comments to the results.</t>
  </si>
  <si>
    <t>rf</t>
  </si>
  <si>
    <t>call will have delta 0 --&gt; 1</t>
  </si>
  <si>
    <t>put will have a delta of 0 --&gt; 1</t>
  </si>
  <si>
    <t xml:space="preserve">if the stock is going up call will go up </t>
  </si>
  <si>
    <t>if the stock is going up put will go down.</t>
  </si>
  <si>
    <t>Y1</t>
  </si>
  <si>
    <t>Y2</t>
  </si>
  <si>
    <t>Y3</t>
  </si>
  <si>
    <t>Y4</t>
  </si>
  <si>
    <t>Pi_up</t>
  </si>
  <si>
    <t>Price of stock</t>
  </si>
  <si>
    <t>y0</t>
  </si>
  <si>
    <t>Decision</t>
  </si>
  <si>
    <t>Pi_down</t>
  </si>
  <si>
    <t>Option price</t>
  </si>
  <si>
    <t>CALL OPTION</t>
  </si>
  <si>
    <t>PUT OPTION</t>
  </si>
  <si>
    <r>
      <t>Exercise 2
Given a binomial model, consider a 4 years horizon. Every year the asset price can go up of 7% and
down of 7%. The strike price is 11$ and the price today is 9$, the annual risk-free interest rate is
3%. Compute the price of a Call Option today. Compute th</t>
    </r>
    <r>
      <rPr>
        <b/>
        <sz val="11"/>
        <color theme="1"/>
        <rFont val="Calibri"/>
        <family val="2"/>
        <scheme val="minor"/>
      </rPr>
      <t>e Delta-hedging startegy</t>
    </r>
    <r>
      <rPr>
        <sz val="11"/>
        <color theme="1"/>
        <rFont val="Calibri"/>
        <family val="2"/>
        <scheme val="minor"/>
      </rPr>
      <t xml:space="preserve"> in t=0.</t>
    </r>
  </si>
  <si>
    <t xml:space="preserve">Delta </t>
  </si>
  <si>
    <t>we will short 0.12 unit of stock to hedge against the risk of 0.12</t>
  </si>
  <si>
    <t>(K) Strike Price</t>
  </si>
  <si>
    <t>Jan</t>
  </si>
  <si>
    <t>Feb</t>
  </si>
  <si>
    <t>Mar</t>
  </si>
  <si>
    <t>PUT Option</t>
  </si>
  <si>
    <t>Apr</t>
  </si>
  <si>
    <t>,</t>
  </si>
  <si>
    <t>Price of Put Option</t>
  </si>
  <si>
    <t>we will  purchase   26 units of stocks to hedge against the rsk of -26.9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</si>
</sst>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9" fontId="0" fillId="0" borderId="0" xfId="0" applyNumberFormat="1"/>
    <xf numFmtId="0" fontId="3" fillId="0" borderId="0" xfId="0" applyFont="1"/>
    <xf numFmtId="0" fontId="0" fillId="4" borderId="0" xfId="0" applyFill="1"/>
    <xf numFmtId="0" fontId="0" fillId="3" borderId="0" xfId="0" applyFill="1"/>
    <xf numFmtId="0" fontId="2" fillId="0" borderId="0" xfId="0" applyFont="1"/>
    <xf numFmtId="0" fontId="0" fillId="2" borderId="0" xfId="0" applyFill="1"/>
    <xf numFmtId="0" fontId="0" fillId="0" borderId="0" xfId="1" applyNumberFormat="1" applyFont="1"/>
    <xf numFmtId="43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5" borderId="0" xfId="0" applyFill="1"/>
    <xf numFmtId="43" fontId="0" fillId="5" borderId="0" xfId="0" applyNumberFormat="1" applyFill="1"/>
    <xf numFmtId="0" fontId="4" fillId="6" borderId="0" xfId="0" applyFont="1" applyFill="1"/>
    <xf numFmtId="0" fontId="0" fillId="6" borderId="0" xfId="0" applyFill="1"/>
    <xf numFmtId="0" fontId="0" fillId="7" borderId="0" xfId="0" applyFill="1"/>
    <xf numFmtId="43" fontId="0" fillId="7" borderId="0" xfId="0" applyNumberFormat="1" applyFill="1"/>
    <xf numFmtId="0" fontId="6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top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C025-B84C-43BA-9378-738811309C8E}">
  <dimension ref="A1:M42"/>
  <sheetViews>
    <sheetView topLeftCell="A18" workbookViewId="0">
      <selection activeCell="K36" sqref="K36"/>
    </sheetView>
  </sheetViews>
  <sheetFormatPr defaultRowHeight="15" x14ac:dyDescent="0.25"/>
  <cols>
    <col min="1" max="1" width="11.28515625" customWidth="1"/>
    <col min="2" max="2" width="18.42578125" customWidth="1"/>
    <col min="12" max="12" width="11.42578125" customWidth="1"/>
  </cols>
  <sheetData>
    <row r="1" spans="1:13" ht="15" customHeight="1" x14ac:dyDescent="0.25">
      <c r="A1" t="s">
        <v>2</v>
      </c>
      <c r="B1" t="s">
        <v>3</v>
      </c>
      <c r="D1" s="22" t="s">
        <v>28</v>
      </c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25">
      <c r="A2" t="s">
        <v>0</v>
      </c>
      <c r="B2">
        <v>1.1299999999999999</v>
      </c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5">
      <c r="A3" t="s">
        <v>1</v>
      </c>
      <c r="B3" s="7">
        <v>0.87</v>
      </c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25">
      <c r="A4" t="s">
        <v>4</v>
      </c>
      <c r="B4" t="s">
        <v>5</v>
      </c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>
      <c r="A5" t="s">
        <v>6</v>
      </c>
      <c r="B5" t="s">
        <v>5</v>
      </c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25">
      <c r="A6" t="s">
        <v>7</v>
      </c>
      <c r="B6">
        <v>1.04</v>
      </c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25">
      <c r="A7" t="s">
        <v>14</v>
      </c>
      <c r="B7">
        <f>((B6^(1/4))-B3)/(B2-B3)</f>
        <v>0.53789771749603421</v>
      </c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25">
      <c r="A8" t="s">
        <v>15</v>
      </c>
      <c r="B8">
        <f>(B2-B6)/(B2-B3)</f>
        <v>0.34615384615384576</v>
      </c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25"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25"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25"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25">
      <c r="E12" s="9"/>
      <c r="F12" s="9"/>
      <c r="G12" s="9"/>
      <c r="H12" s="9"/>
      <c r="I12" s="9"/>
      <c r="J12" s="9"/>
      <c r="K12" s="9"/>
      <c r="L12" s="9"/>
      <c r="M12" s="9"/>
    </row>
    <row r="13" spans="1:13" ht="26.25" x14ac:dyDescent="0.4">
      <c r="D13" s="21" t="s">
        <v>8</v>
      </c>
      <c r="E13" s="21"/>
      <c r="F13" s="21"/>
      <c r="G13" s="21"/>
    </row>
    <row r="15" spans="1:13" x14ac:dyDescent="0.25">
      <c r="A15" t="s">
        <v>26</v>
      </c>
    </row>
    <row r="16" spans="1:13" x14ac:dyDescent="0.25">
      <c r="E16" s="5" t="s">
        <v>17</v>
      </c>
      <c r="H16" s="5" t="s">
        <v>11</v>
      </c>
      <c r="I16" s="5" t="s">
        <v>12</v>
      </c>
      <c r="J16" s="5" t="s">
        <v>13</v>
      </c>
      <c r="L16" s="5" t="s">
        <v>18</v>
      </c>
    </row>
    <row r="18" spans="1:12" x14ac:dyDescent="0.25">
      <c r="G18" s="1" t="s">
        <v>9</v>
      </c>
      <c r="H18" s="3">
        <f>F20*(1+13%)</f>
        <v>12.768999999999998</v>
      </c>
      <c r="I18" s="4">
        <v>10</v>
      </c>
      <c r="J18">
        <f>MAX(H18-10, 0)</f>
        <v>2.7689999999999984</v>
      </c>
    </row>
    <row r="19" spans="1:12" x14ac:dyDescent="0.25">
      <c r="A19" t="s">
        <v>2</v>
      </c>
      <c r="B19" t="s">
        <v>3</v>
      </c>
      <c r="G19" s="1"/>
    </row>
    <row r="20" spans="1:12" x14ac:dyDescent="0.25">
      <c r="A20" t="s">
        <v>0</v>
      </c>
      <c r="B20">
        <v>1.1299999999999999</v>
      </c>
      <c r="E20" s="1" t="s">
        <v>9</v>
      </c>
      <c r="F20">
        <f>D22*(1+13%)</f>
        <v>11.299999999999999</v>
      </c>
      <c r="K20">
        <f>((B7*J18)+(B8*J22))/(B6^(1/4))</f>
        <v>1.4749059319772602</v>
      </c>
    </row>
    <row r="21" spans="1:12" x14ac:dyDescent="0.25">
      <c r="A21" t="s">
        <v>1</v>
      </c>
      <c r="B21" s="7">
        <v>0.87</v>
      </c>
      <c r="E21" s="1"/>
    </row>
    <row r="22" spans="1:12" x14ac:dyDescent="0.25">
      <c r="A22" t="s">
        <v>4</v>
      </c>
      <c r="B22" t="s">
        <v>5</v>
      </c>
      <c r="D22">
        <v>10</v>
      </c>
      <c r="G22" t="s">
        <v>9</v>
      </c>
      <c r="H22" s="4">
        <f>F20*(1-13%)</f>
        <v>9.8309999999999995</v>
      </c>
      <c r="I22" s="3">
        <v>10</v>
      </c>
      <c r="J22">
        <f>MAX(H22-I22,0)</f>
        <v>0</v>
      </c>
      <c r="L22" s="6">
        <f>((B7*K20)+(B8*K24))/(B6^(1/4))</f>
        <v>0.78560762303420428</v>
      </c>
    </row>
    <row r="23" spans="1:12" x14ac:dyDescent="0.25">
      <c r="A23" t="s">
        <v>6</v>
      </c>
      <c r="B23" t="s">
        <v>5</v>
      </c>
    </row>
    <row r="24" spans="1:12" x14ac:dyDescent="0.25">
      <c r="A24" t="s">
        <v>7</v>
      </c>
      <c r="B24">
        <v>1.04</v>
      </c>
      <c r="E24" t="s">
        <v>10</v>
      </c>
      <c r="F24">
        <f>D22*(1-13%)</f>
        <v>8.6999999999999993</v>
      </c>
      <c r="K24">
        <f>((B7*J22)+(B8*J26))/(B6^(1/4))</f>
        <v>0</v>
      </c>
    </row>
    <row r="25" spans="1:12" x14ac:dyDescent="0.25">
      <c r="A25" t="s">
        <v>14</v>
      </c>
      <c r="B25">
        <f>((B24^(1/4))-B21)/(B20-B21)</f>
        <v>0.53789771749603421</v>
      </c>
    </row>
    <row r="26" spans="1:12" x14ac:dyDescent="0.25">
      <c r="A26" t="s">
        <v>15</v>
      </c>
      <c r="B26">
        <f>(B20-B24)/(B20-B21)</f>
        <v>0.34615384615384576</v>
      </c>
      <c r="G26" t="s">
        <v>10</v>
      </c>
      <c r="H26" s="4">
        <f>F24*(1-13%)</f>
        <v>7.5689999999999991</v>
      </c>
      <c r="I26" s="3">
        <v>10</v>
      </c>
      <c r="J26">
        <f>MAX(H26-I26,0)</f>
        <v>0</v>
      </c>
    </row>
    <row r="27" spans="1:12" x14ac:dyDescent="0.25">
      <c r="A27" t="s">
        <v>19</v>
      </c>
      <c r="B27" t="s">
        <v>20</v>
      </c>
    </row>
    <row r="28" spans="1:12" x14ac:dyDescent="0.25">
      <c r="A28" t="s">
        <v>21</v>
      </c>
      <c r="B28">
        <v>2</v>
      </c>
    </row>
    <row r="29" spans="1:12" ht="26.25" x14ac:dyDescent="0.4">
      <c r="E29" s="2" t="s">
        <v>16</v>
      </c>
      <c r="F29" s="2"/>
    </row>
    <row r="32" spans="1:12" x14ac:dyDescent="0.25">
      <c r="E32" s="5" t="s">
        <v>17</v>
      </c>
      <c r="H32" s="5" t="s">
        <v>11</v>
      </c>
      <c r="I32" s="5" t="s">
        <v>12</v>
      </c>
      <c r="L32" s="5" t="s">
        <v>61</v>
      </c>
    </row>
    <row r="34" spans="4:12" x14ac:dyDescent="0.25">
      <c r="G34" s="1" t="s">
        <v>9</v>
      </c>
      <c r="H34" s="4">
        <f>F36*(1+13%)</f>
        <v>12.768999999999998</v>
      </c>
      <c r="I34" s="3">
        <v>10</v>
      </c>
      <c r="J34">
        <f>MAX(I34-H34, 0)</f>
        <v>0</v>
      </c>
    </row>
    <row r="35" spans="4:12" x14ac:dyDescent="0.25">
      <c r="G35" s="1"/>
    </row>
    <row r="36" spans="4:12" x14ac:dyDescent="0.25">
      <c r="E36" s="1" t="s">
        <v>9</v>
      </c>
      <c r="F36">
        <f>D38*(1+13%)</f>
        <v>11.299999999999999</v>
      </c>
      <c r="K36">
        <f>((B25*J34)+(B26*J38))/(B24^(1/4))</f>
        <v>5.7929200040940175E-2</v>
      </c>
    </row>
    <row r="37" spans="4:12" x14ac:dyDescent="0.25">
      <c r="E37" s="1"/>
    </row>
    <row r="38" spans="4:12" x14ac:dyDescent="0.25">
      <c r="D38">
        <v>10</v>
      </c>
      <c r="G38" t="s">
        <v>9</v>
      </c>
      <c r="H38" s="3">
        <f>F36*(1-13%)</f>
        <v>9.8309999999999995</v>
      </c>
      <c r="I38" s="4">
        <v>10</v>
      </c>
      <c r="J38">
        <f>MAX(I38-H38, 0)</f>
        <v>0.16900000000000048</v>
      </c>
      <c r="L38" s="6">
        <f>((B25*K40)+(B26*K36))/(B24^(1/4))</f>
        <v>0.51165559005052419</v>
      </c>
    </row>
    <row r="40" spans="4:12" x14ac:dyDescent="0.25">
      <c r="E40" t="s">
        <v>10</v>
      </c>
      <c r="F40">
        <f>D38*(1-13%)</f>
        <v>8.6999999999999993</v>
      </c>
      <c r="K40">
        <f>((J38*B25)+(B26*J42))/(B24^(1/4))</f>
        <v>0.92330699506494773</v>
      </c>
    </row>
    <row r="42" spans="4:12" x14ac:dyDescent="0.25">
      <c r="G42" t="s">
        <v>10</v>
      </c>
      <c r="H42" s="3">
        <f>F40*(1-13%)</f>
        <v>7.5689999999999991</v>
      </c>
      <c r="I42" s="4">
        <v>10</v>
      </c>
      <c r="J42">
        <f>MAX(I42-H42, 0)</f>
        <v>2.4310000000000009</v>
      </c>
    </row>
  </sheetData>
  <mergeCells count="2">
    <mergeCell ref="D13:G13"/>
    <mergeCell ref="D1:M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1A50-EC2F-4D91-A669-D9F8829EA474}">
  <dimension ref="A1:S47"/>
  <sheetViews>
    <sheetView zoomScale="78" zoomScaleNormal="78" workbookViewId="0">
      <selection activeCell="O19" sqref="O19"/>
    </sheetView>
  </sheetViews>
  <sheetFormatPr defaultRowHeight="15" x14ac:dyDescent="0.25"/>
  <cols>
    <col min="1" max="1" width="16.5703125" customWidth="1"/>
    <col min="3" max="3" width="12.5703125" customWidth="1"/>
    <col min="5" max="5" width="11.85546875" customWidth="1"/>
    <col min="17" max="17" width="9.7109375" customWidth="1"/>
    <col min="18" max="18" width="10.7109375" customWidth="1"/>
    <col min="19" max="19" width="11" customWidth="1"/>
  </cols>
  <sheetData>
    <row r="1" spans="1:19" ht="30" customHeight="1" x14ac:dyDescent="0.25">
      <c r="A1" t="s">
        <v>22</v>
      </c>
      <c r="B1">
        <v>4</v>
      </c>
      <c r="D1" s="23" t="s">
        <v>51</v>
      </c>
      <c r="E1" s="23"/>
      <c r="F1" s="23"/>
      <c r="G1" s="23"/>
      <c r="H1" s="23"/>
      <c r="I1" s="23"/>
      <c r="J1" s="23"/>
      <c r="K1" s="23"/>
      <c r="L1" s="23"/>
      <c r="M1" s="23"/>
    </row>
    <row r="2" spans="1:19" ht="23.25" x14ac:dyDescent="0.35">
      <c r="A2" t="s">
        <v>0</v>
      </c>
      <c r="B2" s="8">
        <v>1.07</v>
      </c>
      <c r="D2" s="23"/>
      <c r="E2" s="23"/>
      <c r="F2" s="23"/>
      <c r="G2" s="23"/>
      <c r="H2" s="23"/>
      <c r="I2" s="23"/>
      <c r="J2" s="23"/>
      <c r="K2" s="23"/>
      <c r="L2" s="23"/>
      <c r="M2" s="23"/>
      <c r="Q2" s="24" t="s">
        <v>49</v>
      </c>
      <c r="R2" s="24"/>
      <c r="S2" s="24"/>
    </row>
    <row r="3" spans="1:19" x14ac:dyDescent="0.25">
      <c r="A3" t="s">
        <v>1</v>
      </c>
      <c r="B3">
        <v>0.93</v>
      </c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9" x14ac:dyDescent="0.25">
      <c r="A4" t="s">
        <v>23</v>
      </c>
      <c r="B4">
        <v>11</v>
      </c>
      <c r="D4" s="23"/>
      <c r="E4" s="23"/>
      <c r="F4" s="23"/>
      <c r="G4" s="23"/>
      <c r="H4" s="23"/>
      <c r="I4" s="23"/>
      <c r="J4" s="23"/>
      <c r="K4" s="23"/>
      <c r="L4" s="23"/>
      <c r="M4" s="23"/>
      <c r="Q4" s="6" t="s">
        <v>42</v>
      </c>
      <c r="R4" s="13" t="s">
        <v>4</v>
      </c>
      <c r="S4" s="15" t="s">
        <v>46</v>
      </c>
    </row>
    <row r="5" spans="1:19" x14ac:dyDescent="0.25">
      <c r="A5" t="s">
        <v>24</v>
      </c>
      <c r="B5">
        <v>9</v>
      </c>
      <c r="D5" s="10"/>
      <c r="E5" s="10"/>
      <c r="F5" s="10"/>
      <c r="G5" s="10"/>
      <c r="H5" s="10"/>
      <c r="I5" s="10"/>
      <c r="J5" s="10"/>
      <c r="K5" s="10"/>
      <c r="L5" s="10"/>
      <c r="M5" s="10"/>
      <c r="O5" s="6" t="s">
        <v>41</v>
      </c>
    </row>
    <row r="6" spans="1:19" x14ac:dyDescent="0.25">
      <c r="A6" t="s">
        <v>25</v>
      </c>
      <c r="B6" s="8">
        <v>1.03</v>
      </c>
      <c r="I6" s="6" t="s">
        <v>45</v>
      </c>
      <c r="K6" s="6" t="s">
        <v>39</v>
      </c>
      <c r="M6" s="6" t="s">
        <v>40</v>
      </c>
      <c r="Q6" s="11">
        <f>O8*B2</f>
        <v>11.797164090000003</v>
      </c>
      <c r="R6" s="14">
        <v>11</v>
      </c>
      <c r="S6" s="15">
        <f>MAX(Q6-R6, 0)</f>
        <v>0.79716409000000255</v>
      </c>
    </row>
    <row r="7" spans="1:19" x14ac:dyDescent="0.25">
      <c r="A7" t="s">
        <v>43</v>
      </c>
      <c r="B7">
        <f>(B6-B3)/(B2-B3)</f>
        <v>0.71428571428571408</v>
      </c>
      <c r="O7" s="16">
        <f>((S6*B7)+(0*B8))/(B6)</f>
        <v>0.55281837031900294</v>
      </c>
    </row>
    <row r="8" spans="1:19" x14ac:dyDescent="0.25">
      <c r="A8" t="s">
        <v>47</v>
      </c>
      <c r="B8">
        <f>(B2-B6)/(B2-B3)</f>
        <v>0.28571428571428592</v>
      </c>
      <c r="O8" s="12">
        <f>M10*B2</f>
        <v>11.025387000000002</v>
      </c>
    </row>
    <row r="9" spans="1:19" x14ac:dyDescent="0.25">
      <c r="E9" s="11" t="s">
        <v>44</v>
      </c>
      <c r="M9" s="15">
        <f>((O7*B7)+(0*B8))/B6</f>
        <v>0.38336918884812954</v>
      </c>
    </row>
    <row r="10" spans="1:19" x14ac:dyDescent="0.25">
      <c r="A10" t="s">
        <v>27</v>
      </c>
      <c r="E10" s="15" t="s">
        <v>48</v>
      </c>
      <c r="L10" s="1"/>
      <c r="M10" s="11">
        <f>K12*B2</f>
        <v>10.304100000000002</v>
      </c>
      <c r="Q10" s="12">
        <f>O8*B3</f>
        <v>10.253609910000003</v>
      </c>
      <c r="R10" s="14">
        <v>11</v>
      </c>
      <c r="S10" s="16">
        <f>MAX(Q10-R10,0)</f>
        <v>0</v>
      </c>
    </row>
    <row r="11" spans="1:19" x14ac:dyDescent="0.25">
      <c r="A11" t="s">
        <v>35</v>
      </c>
      <c r="K11" s="16">
        <f>((M9*B7)+(0*B8))/B6</f>
        <v>0.26585935426361262</v>
      </c>
      <c r="O11" s="16">
        <f>((0*B7)+(0*B8))/B6</f>
        <v>0</v>
      </c>
    </row>
    <row r="12" spans="1:19" x14ac:dyDescent="0.25">
      <c r="A12" t="s">
        <v>36</v>
      </c>
      <c r="J12" s="1"/>
      <c r="K12" s="12">
        <f>B5*(B2)</f>
        <v>9.6300000000000008</v>
      </c>
      <c r="O12" s="11">
        <f>M10*B3</f>
        <v>9.5828130000000016</v>
      </c>
    </row>
    <row r="13" spans="1:19" x14ac:dyDescent="0.25">
      <c r="I13" s="15">
        <f>((K11*B7)+(B8*0))/B6</f>
        <v>0.18436848423274099</v>
      </c>
      <c r="M13" s="16">
        <f>((0*B7)+(0*B8))/B6</f>
        <v>0</v>
      </c>
    </row>
    <row r="14" spans="1:19" x14ac:dyDescent="0.25">
      <c r="I14" s="11">
        <v>9</v>
      </c>
      <c r="M14" s="12">
        <f>K12*B3</f>
        <v>8.9559000000000015</v>
      </c>
      <c r="Q14" s="11">
        <f>O12*B3</f>
        <v>8.9120160900000016</v>
      </c>
      <c r="R14" s="14">
        <v>11</v>
      </c>
      <c r="S14" s="15">
        <f>MAX(Q14-R14,0)</f>
        <v>0</v>
      </c>
    </row>
    <row r="15" spans="1:19" x14ac:dyDescent="0.25">
      <c r="K15" s="16">
        <f>((0*B7)+(0*B8))/B6</f>
        <v>0</v>
      </c>
      <c r="O15" s="16">
        <f>((0*B7)+(B8*0))/B6</f>
        <v>0</v>
      </c>
    </row>
    <row r="16" spans="1:19" x14ac:dyDescent="0.25">
      <c r="J16" s="1"/>
      <c r="K16" s="11">
        <f>B5*B3</f>
        <v>8.370000000000001</v>
      </c>
      <c r="O16" s="12">
        <f>M14*B3</f>
        <v>8.3289870000000015</v>
      </c>
    </row>
    <row r="17" spans="1:19" x14ac:dyDescent="0.25">
      <c r="M17" s="16">
        <f>((0*B7)+(0*B8))/B6</f>
        <v>0</v>
      </c>
    </row>
    <row r="18" spans="1:19" x14ac:dyDescent="0.25">
      <c r="L18" s="1"/>
      <c r="M18" s="11">
        <f>K16*B3</f>
        <v>7.7841000000000014</v>
      </c>
      <c r="Q18" s="12">
        <f>O16*B3</f>
        <v>7.7459579100000013</v>
      </c>
      <c r="R18" s="14">
        <v>11</v>
      </c>
      <c r="S18" s="16">
        <f>MAX(Q18-R18, 0)</f>
        <v>0</v>
      </c>
    </row>
    <row r="19" spans="1:19" x14ac:dyDescent="0.25">
      <c r="O19" s="16">
        <f>((0*B7)+(0*B8))/B6</f>
        <v>0</v>
      </c>
    </row>
    <row r="20" spans="1:19" x14ac:dyDescent="0.25">
      <c r="O20" s="11">
        <f>M18*B3</f>
        <v>7.2392130000000012</v>
      </c>
    </row>
    <row r="21" spans="1:19" x14ac:dyDescent="0.25">
      <c r="I21" t="s">
        <v>52</v>
      </c>
    </row>
    <row r="22" spans="1:19" x14ac:dyDescent="0.25">
      <c r="I22">
        <f>(K11-I13)/(K12-I14)</f>
        <v>0.12935058735058974</v>
      </c>
      <c r="Q22" s="11">
        <f>O20*B3</f>
        <v>6.7324680900000011</v>
      </c>
      <c r="R22" s="14">
        <v>11</v>
      </c>
      <c r="S22" s="15">
        <f>MAX(Q22-R22,0)</f>
        <v>0</v>
      </c>
    </row>
    <row r="24" spans="1:19" x14ac:dyDescent="0.25">
      <c r="A24" t="s">
        <v>37</v>
      </c>
      <c r="H24" t="s">
        <v>53</v>
      </c>
    </row>
    <row r="25" spans="1:19" x14ac:dyDescent="0.25">
      <c r="A25" t="s">
        <v>38</v>
      </c>
    </row>
    <row r="26" spans="1:19" ht="26.25" x14ac:dyDescent="0.4">
      <c r="Q26" s="21" t="s">
        <v>50</v>
      </c>
      <c r="R26" s="21"/>
      <c r="S26" s="21"/>
    </row>
    <row r="29" spans="1:19" x14ac:dyDescent="0.25">
      <c r="C29" t="s">
        <v>22</v>
      </c>
      <c r="D29">
        <v>4</v>
      </c>
      <c r="Q29" s="6" t="s">
        <v>42</v>
      </c>
      <c r="R29" s="13" t="s">
        <v>4</v>
      </c>
      <c r="S29" s="15" t="s">
        <v>46</v>
      </c>
    </row>
    <row r="30" spans="1:19" x14ac:dyDescent="0.25">
      <c r="C30" t="s">
        <v>0</v>
      </c>
      <c r="D30" s="8">
        <v>1.07</v>
      </c>
      <c r="I30" s="10"/>
      <c r="J30" s="10"/>
      <c r="K30" s="10"/>
      <c r="L30" s="10"/>
      <c r="M30" s="10"/>
      <c r="O30" s="6" t="s">
        <v>41</v>
      </c>
    </row>
    <row r="31" spans="1:19" x14ac:dyDescent="0.25">
      <c r="C31" t="s">
        <v>1</v>
      </c>
      <c r="D31">
        <v>0.93</v>
      </c>
      <c r="I31" s="6" t="s">
        <v>39</v>
      </c>
      <c r="K31" s="6" t="s">
        <v>39</v>
      </c>
      <c r="M31" s="6" t="s">
        <v>40</v>
      </c>
      <c r="Q31" s="11">
        <f>O33*D30</f>
        <v>11.797164090000003</v>
      </c>
      <c r="R31" s="14">
        <v>11</v>
      </c>
      <c r="S31" s="15">
        <f>MAX(R31-Q31, 0)</f>
        <v>0</v>
      </c>
    </row>
    <row r="32" spans="1:19" x14ac:dyDescent="0.25">
      <c r="C32" t="s">
        <v>23</v>
      </c>
      <c r="D32">
        <v>11</v>
      </c>
      <c r="O32" s="16">
        <f>((S31*D30)+(S35*D31))/D34</f>
        <v>0.67392503271844362</v>
      </c>
    </row>
    <row r="33" spans="3:19" x14ac:dyDescent="0.25">
      <c r="C33" t="s">
        <v>24</v>
      </c>
      <c r="D33">
        <v>9</v>
      </c>
      <c r="O33" s="12">
        <f>M35*D30</f>
        <v>11.025387000000002</v>
      </c>
    </row>
    <row r="34" spans="3:19" x14ac:dyDescent="0.25">
      <c r="C34" t="s">
        <v>25</v>
      </c>
      <c r="D34" s="8">
        <v>1.03</v>
      </c>
      <c r="M34" s="15">
        <f>((O32*D30)+(O36*D31))/D34</f>
        <v>3.1024251492855051</v>
      </c>
    </row>
    <row r="35" spans="3:19" x14ac:dyDescent="0.25">
      <c r="C35" t="s">
        <v>43</v>
      </c>
      <c r="D35">
        <f>(D34-D31)/(D30-D31)</f>
        <v>0.71428571428571408</v>
      </c>
      <c r="L35" s="1"/>
      <c r="M35" s="11">
        <f>K37*D30</f>
        <v>10.304100000000002</v>
      </c>
      <c r="Q35" s="12">
        <f>O33*D31</f>
        <v>10.253609910000003</v>
      </c>
      <c r="R35" s="14">
        <v>11</v>
      </c>
      <c r="S35" s="16">
        <f>MAX(R35-Q35,0)</f>
        <v>0.74639008999999668</v>
      </c>
    </row>
    <row r="36" spans="3:19" x14ac:dyDescent="0.25">
      <c r="C36" t="s">
        <v>47</v>
      </c>
      <c r="D36">
        <f>(D30-D34)/(D30-D31)</f>
        <v>0.28571428571428592</v>
      </c>
      <c r="K36" s="16">
        <f>((M34*D30)+(M38*D31))/D34</f>
        <v>9.882170051098667</v>
      </c>
      <c r="O36" s="16">
        <f>((S35*D30)+(S39*D31))/D34</f>
        <v>2.6606431384465972</v>
      </c>
    </row>
    <row r="37" spans="3:19" x14ac:dyDescent="0.25">
      <c r="J37" s="1"/>
      <c r="K37" s="12">
        <f>I39*D30</f>
        <v>9.6300000000000008</v>
      </c>
      <c r="O37" s="11">
        <f>M35*D31</f>
        <v>9.5828130000000016</v>
      </c>
    </row>
    <row r="38" spans="3:19" x14ac:dyDescent="0.25">
      <c r="I38" s="15">
        <f>((K36*D30)+(K40*D31))/D34</f>
        <v>26.833825511903473</v>
      </c>
      <c r="M38" s="16">
        <f>((O36*D30)+(O40*D31))/D34</f>
        <v>7.3753120891356323</v>
      </c>
    </row>
    <row r="39" spans="3:19" x14ac:dyDescent="0.25">
      <c r="C39">
        <f>(K36-I38)/(K37-I39)</f>
        <v>-26.907389620325059</v>
      </c>
      <c r="I39" s="11">
        <v>9</v>
      </c>
      <c r="M39" s="12">
        <f>K37*D31</f>
        <v>8.9559000000000015</v>
      </c>
      <c r="Q39" s="11">
        <f>O37*D31</f>
        <v>8.9120160900000016</v>
      </c>
      <c r="R39" s="14">
        <v>11</v>
      </c>
      <c r="S39" s="15">
        <f>MAX(R39-Q39,0)</f>
        <v>2.0879839099999984</v>
      </c>
    </row>
    <row r="40" spans="3:19" x14ac:dyDescent="0.25">
      <c r="K40" s="16">
        <f>((M38*D30)+(M42*D31))/D34</f>
        <v>18.349374540413983</v>
      </c>
      <c r="O40" s="16">
        <f>((S39*D30)+(S43*D31))/D34</f>
        <v>5.1071863372815507</v>
      </c>
    </row>
    <row r="41" spans="3:19" x14ac:dyDescent="0.25">
      <c r="J41" s="1"/>
      <c r="K41" s="11">
        <f>I39*D31</f>
        <v>8.370000000000001</v>
      </c>
      <c r="O41" s="12">
        <f>M39*D31</f>
        <v>8.3289870000000015</v>
      </c>
    </row>
    <row r="42" spans="3:19" x14ac:dyDescent="0.25">
      <c r="M42" s="16">
        <f>((O40*D30)+(O44*D31))/D34</f>
        <v>11.836851442205671</v>
      </c>
    </row>
    <row r="43" spans="3:19" x14ac:dyDescent="0.25">
      <c r="L43" s="1"/>
      <c r="M43" s="11">
        <f>K41*D31</f>
        <v>7.7841000000000014</v>
      </c>
      <c r="Q43" s="12">
        <f>O41*D31</f>
        <v>7.7459579100000013</v>
      </c>
      <c r="R43" s="14">
        <v>11</v>
      </c>
      <c r="S43" s="16">
        <f>MAX(R43-Q43,0)</f>
        <v>3.2540420899999987</v>
      </c>
    </row>
    <row r="44" spans="3:19" x14ac:dyDescent="0.25">
      <c r="H44" t="s">
        <v>52</v>
      </c>
      <c r="O44" s="16">
        <f>((S43*D30)+(S47*D31))/D34</f>
        <v>7.2336210801941725</v>
      </c>
    </row>
    <row r="45" spans="3:19" x14ac:dyDescent="0.25">
      <c r="H45">
        <f>(K36-I38)/(K37-I39)</f>
        <v>-26.907389620325059</v>
      </c>
      <c r="O45" s="11">
        <f>M43*D31</f>
        <v>7.2392130000000012</v>
      </c>
    </row>
    <row r="47" spans="3:19" x14ac:dyDescent="0.25">
      <c r="H47" t="s">
        <v>62</v>
      </c>
      <c r="Q47" s="11">
        <f>O45*D31</f>
        <v>6.7324680900000011</v>
      </c>
      <c r="R47" s="14">
        <v>11</v>
      </c>
      <c r="S47" s="15">
        <f>MAX(R47-Q47,0)</f>
        <v>4.2675319099999989</v>
      </c>
    </row>
  </sheetData>
  <mergeCells count="3">
    <mergeCell ref="D1:M4"/>
    <mergeCell ref="Q2:S2"/>
    <mergeCell ref="Q26:S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FE12B-5D30-464F-A15D-ED5E95D13AD6}">
  <dimension ref="A1:M23"/>
  <sheetViews>
    <sheetView tabSelected="1" zoomScale="78" zoomScaleNormal="78" workbookViewId="0">
      <selection activeCell="D10" sqref="D10:L23"/>
    </sheetView>
  </sheetViews>
  <sheetFormatPr defaultRowHeight="15" x14ac:dyDescent="0.25"/>
  <cols>
    <col min="1" max="1" width="21.7109375" customWidth="1"/>
    <col min="9" max="9" width="10.7109375" customWidth="1"/>
  </cols>
  <sheetData>
    <row r="1" spans="1:13" ht="15" customHeight="1" x14ac:dyDescent="0.35">
      <c r="A1" s="26" t="s">
        <v>29</v>
      </c>
      <c r="B1" s="26"/>
      <c r="D1" s="25" t="s">
        <v>33</v>
      </c>
      <c r="E1" s="25"/>
      <c r="F1" s="25"/>
      <c r="G1" s="25"/>
      <c r="H1" s="25"/>
      <c r="I1" s="25"/>
      <c r="J1" s="25"/>
      <c r="K1" s="25"/>
    </row>
    <row r="2" spans="1:13" x14ac:dyDescent="0.25">
      <c r="D2" s="25"/>
      <c r="E2" s="25"/>
      <c r="F2" s="25"/>
      <c r="G2" s="25"/>
      <c r="H2" s="25"/>
      <c r="I2" s="25"/>
      <c r="J2" s="25"/>
      <c r="K2" s="25"/>
    </row>
    <row r="3" spans="1:13" x14ac:dyDescent="0.25">
      <c r="A3" t="s">
        <v>54</v>
      </c>
      <c r="B3">
        <v>14</v>
      </c>
      <c r="D3" s="25"/>
      <c r="E3" s="25"/>
      <c r="F3" s="25"/>
      <c r="G3" s="25"/>
      <c r="H3" s="25"/>
      <c r="I3" s="25"/>
      <c r="J3" s="25"/>
      <c r="K3" s="25"/>
    </row>
    <row r="4" spans="1:13" x14ac:dyDescent="0.25">
      <c r="A4" t="s">
        <v>30</v>
      </c>
      <c r="B4">
        <v>3</v>
      </c>
      <c r="D4" s="25"/>
      <c r="E4" s="25"/>
      <c r="F4" s="25"/>
      <c r="G4" s="25"/>
      <c r="H4" s="25"/>
      <c r="I4" s="25"/>
      <c r="J4" s="25"/>
      <c r="K4" s="25"/>
    </row>
    <row r="5" spans="1:13" ht="23.25" x14ac:dyDescent="0.35">
      <c r="A5" t="s">
        <v>31</v>
      </c>
      <c r="B5">
        <v>15</v>
      </c>
      <c r="D5" s="25"/>
      <c r="E5" s="25"/>
      <c r="F5" s="25"/>
      <c r="G5" s="25"/>
      <c r="H5" s="25"/>
      <c r="I5" s="25"/>
      <c r="J5" s="25"/>
      <c r="K5" s="25"/>
      <c r="M5" s="17" t="s">
        <v>58</v>
      </c>
    </row>
    <row r="6" spans="1:13" x14ac:dyDescent="0.25">
      <c r="A6" t="s">
        <v>0</v>
      </c>
      <c r="B6">
        <v>1.4</v>
      </c>
      <c r="D6" s="25"/>
      <c r="E6" s="25"/>
      <c r="F6" s="25"/>
      <c r="G6" s="25"/>
      <c r="H6" s="25"/>
      <c r="I6" s="25"/>
      <c r="J6" s="25"/>
      <c r="K6" s="25"/>
    </row>
    <row r="7" spans="1:13" x14ac:dyDescent="0.25">
      <c r="A7" t="s">
        <v>1</v>
      </c>
      <c r="B7">
        <v>0.78</v>
      </c>
      <c r="D7" s="25"/>
      <c r="E7" s="25"/>
      <c r="F7" s="25"/>
      <c r="G7" s="25"/>
      <c r="H7" s="25"/>
      <c r="I7" s="25"/>
      <c r="J7" s="25"/>
      <c r="K7" s="25"/>
    </row>
    <row r="8" spans="1:13" x14ac:dyDescent="0.25">
      <c r="A8" t="s">
        <v>32</v>
      </c>
      <c r="B8">
        <v>3</v>
      </c>
      <c r="D8" s="25"/>
      <c r="E8" s="25"/>
      <c r="F8" s="25"/>
      <c r="G8" s="25"/>
      <c r="H8" s="25"/>
      <c r="I8" s="25"/>
      <c r="J8" s="25"/>
      <c r="K8" s="25"/>
    </row>
    <row r="9" spans="1:13" x14ac:dyDescent="0.25">
      <c r="A9" t="s">
        <v>34</v>
      </c>
      <c r="B9">
        <v>1.01</v>
      </c>
      <c r="D9" s="25"/>
      <c r="E9" s="25"/>
      <c r="F9" s="25"/>
      <c r="G9" s="25"/>
      <c r="H9" s="25"/>
      <c r="I9" s="25"/>
      <c r="J9" s="25"/>
      <c r="K9" s="25"/>
    </row>
    <row r="10" spans="1:13" x14ac:dyDescent="0.25">
      <c r="A10" t="s">
        <v>14</v>
      </c>
      <c r="B10">
        <f>(B9^(1/12)-B7)/(B6-B7)</f>
        <v>0.35617667437797773</v>
      </c>
      <c r="D10" s="5" t="s">
        <v>55</v>
      </c>
      <c r="E10" s="5"/>
      <c r="F10" s="5" t="s">
        <v>56</v>
      </c>
      <c r="G10" s="5"/>
      <c r="H10" s="5" t="s">
        <v>57</v>
      </c>
      <c r="J10" s="5" t="s">
        <v>59</v>
      </c>
      <c r="K10" s="5" t="s">
        <v>4</v>
      </c>
      <c r="L10" s="5" t="s">
        <v>46</v>
      </c>
    </row>
    <row r="11" spans="1:13" x14ac:dyDescent="0.25">
      <c r="A11" t="s">
        <v>15</v>
      </c>
      <c r="B11">
        <f>(B6-B9^(1/12))/(B6-B7)</f>
        <v>0.64382332562202227</v>
      </c>
      <c r="J11" s="18">
        <f>H13*B6</f>
        <v>41.16</v>
      </c>
      <c r="K11" s="19">
        <v>14</v>
      </c>
      <c r="L11" s="20">
        <f>MAX(K11-J11,0)</f>
        <v>0</v>
      </c>
    </row>
    <row r="12" spans="1:13" x14ac:dyDescent="0.25">
      <c r="J12" s="5"/>
    </row>
    <row r="13" spans="1:13" x14ac:dyDescent="0.25">
      <c r="H13" s="18">
        <f>F15*B6</f>
        <v>29.4</v>
      </c>
      <c r="I13" s="20">
        <f>MAX(H14,I14)</f>
        <v>0</v>
      </c>
    </row>
    <row r="14" spans="1:13" x14ac:dyDescent="0.25">
      <c r="H14">
        <f>MAX(B3-H13,0)</f>
        <v>0</v>
      </c>
      <c r="I14">
        <f>((L11*B10)+(L15*B11))/B9^(1/12)</f>
        <v>0</v>
      </c>
    </row>
    <row r="15" spans="1:13" x14ac:dyDescent="0.25">
      <c r="A15" s="18" t="s">
        <v>17</v>
      </c>
      <c r="F15" s="18">
        <f>D17*B6</f>
        <v>21</v>
      </c>
      <c r="G15" s="20">
        <f>MAX(F16,G16)</f>
        <v>0.506352144295103</v>
      </c>
      <c r="J15" s="18">
        <f>H13*B7</f>
        <v>22.931999999999999</v>
      </c>
      <c r="K15" s="19">
        <v>14</v>
      </c>
      <c r="L15" s="20">
        <f>MAX(K15-J15,0)</f>
        <v>0</v>
      </c>
    </row>
    <row r="16" spans="1:13" x14ac:dyDescent="0.25">
      <c r="A16" s="20" t="s">
        <v>46</v>
      </c>
      <c r="F16">
        <f>MAX(B3-F15,0)</f>
        <v>0</v>
      </c>
      <c r="G16">
        <f>((I13*B10)+(I17*B11))/B9^(1/12)</f>
        <v>0.506352144295103</v>
      </c>
    </row>
    <row r="17" spans="4:12" x14ac:dyDescent="0.25">
      <c r="D17" s="18">
        <v>15</v>
      </c>
      <c r="H17" s="18">
        <f>F15*B7</f>
        <v>16.38</v>
      </c>
      <c r="I17" s="20">
        <f>MAX(I18,H18)</f>
        <v>0.78712926750279621</v>
      </c>
    </row>
    <row r="18" spans="4:12" x14ac:dyDescent="0.25">
      <c r="E18">
        <f>((G15*B10)+(G19*B11))/B9^(1/12)</f>
        <v>2.3773692938451974</v>
      </c>
      <c r="H18">
        <f>MAX(B3-H17,0)</f>
        <v>0</v>
      </c>
      <c r="I18">
        <f>((L15*B10)+(L19*B11))/B9^(1/12)</f>
        <v>0.78712926750279621</v>
      </c>
    </row>
    <row r="19" spans="4:12" x14ac:dyDescent="0.25">
      <c r="F19" s="18">
        <f>D17*B7</f>
        <v>11.700000000000001</v>
      </c>
      <c r="G19" s="20">
        <f>MAX(G20,F20)</f>
        <v>3.415518670968626</v>
      </c>
      <c r="J19" s="18">
        <f>H17*B7</f>
        <v>12.776399999999999</v>
      </c>
      <c r="K19" s="19">
        <v>14</v>
      </c>
      <c r="L19" s="20">
        <f>MAX(K19-J19,0)</f>
        <v>1.2236000000000011</v>
      </c>
    </row>
    <row r="20" spans="4:12" x14ac:dyDescent="0.25">
      <c r="F20">
        <f>MAX(B3-F19,0)</f>
        <v>2.2999999999999989</v>
      </c>
      <c r="G20">
        <f>((I17*B10)+(I21*B11))/B9^(1/12)</f>
        <v>3.415518670968626</v>
      </c>
      <c r="I20" t="s">
        <v>60</v>
      </c>
    </row>
    <row r="21" spans="4:12" x14ac:dyDescent="0.25">
      <c r="H21" s="18">
        <f>F19*B7</f>
        <v>9.1260000000000012</v>
      </c>
      <c r="I21" s="20">
        <f>MAX(H22,I22)</f>
        <v>4.8739999999999988</v>
      </c>
    </row>
    <row r="22" spans="4:12" x14ac:dyDescent="0.25">
      <c r="H22">
        <f>MAX(B3-H21,0)</f>
        <v>4.8739999999999988</v>
      </c>
      <c r="I22">
        <f>((L19*B10)+(L23*B11))/B9^(1/12)</f>
        <v>4.8623960922828795</v>
      </c>
    </row>
    <row r="23" spans="4:12" x14ac:dyDescent="0.25">
      <c r="J23" s="18">
        <f>H21*B7</f>
        <v>7.1182800000000013</v>
      </c>
      <c r="K23" s="19">
        <v>14</v>
      </c>
      <c r="L23" s="20">
        <f>MAX(K23-J23,0)</f>
        <v>6.8817199999999987</v>
      </c>
    </row>
  </sheetData>
  <mergeCells count="2">
    <mergeCell ref="D1:K9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</vt:lpstr>
      <vt:lpstr>Exercise3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Muzammil Babar</dc:creator>
  <cp:lastModifiedBy>Muzammil Babar</cp:lastModifiedBy>
  <dcterms:created xsi:type="dcterms:W3CDTF">2015-06-05T18:17:20Z</dcterms:created>
  <dcterms:modified xsi:type="dcterms:W3CDTF">2023-12-15T13:01:16Z</dcterms:modified>
</cp:coreProperties>
</file>