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.vanvleet/Documents/research/collaborations/platinum/pyridonate/"/>
    </mc:Choice>
  </mc:AlternateContent>
  <xr:revisionPtr revIDLastSave="0" documentId="13_ncr:1_{7C1EC577-682E-6E4E-8B83-07F98F1C4A7E}" xr6:coauthVersionLast="47" xr6:coauthVersionMax="47" xr10:uidLastSave="{00000000-0000-0000-0000-000000000000}"/>
  <bookViews>
    <workbookView xWindow="0" yWindow="640" windowWidth="30240" windowHeight="19000" activeTab="2" xr2:uid="{6B0EA1D4-EDF0-468A-9EC1-C76B8C62B3D4}"/>
  </bookViews>
  <sheets>
    <sheet name="Benchmark Tests, Geometries" sheetId="1" r:id="rId1"/>
    <sheet name="Benchmark Tests, SPE" sheetId="2" r:id="rId2"/>
    <sheet name="Free Energies (Final)" sheetId="5" r:id="rId3"/>
    <sheet name="Goldman Analysis" sheetId="6" r:id="rId4"/>
    <sheet name="MBIS Analys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6" l="1"/>
  <c r="E15" i="6"/>
  <c r="O11" i="6"/>
  <c r="W11" i="6"/>
  <c r="W9" i="6"/>
  <c r="I26" i="6"/>
  <c r="I25" i="6"/>
  <c r="I24" i="6"/>
  <c r="O13" i="6"/>
  <c r="O12" i="6"/>
  <c r="E11" i="6"/>
  <c r="O10" i="6"/>
  <c r="N7" i="6"/>
  <c r="O8" i="6"/>
  <c r="H39" i="5"/>
  <c r="H32" i="5"/>
  <c r="H19" i="5"/>
  <c r="H26" i="5"/>
  <c r="L57" i="5"/>
  <c r="G57" i="5"/>
  <c r="E10" i="6"/>
  <c r="E9" i="6"/>
  <c r="E8" i="6"/>
  <c r="L47" i="5"/>
  <c r="L46" i="5"/>
  <c r="L48" i="5"/>
  <c r="L67" i="5"/>
  <c r="L55" i="5"/>
  <c r="L53" i="5"/>
  <c r="L52" i="5"/>
  <c r="G61" i="5"/>
  <c r="G52" i="5"/>
  <c r="G68" i="5"/>
  <c r="G56" i="5"/>
  <c r="G65" i="5"/>
  <c r="G66" i="5"/>
  <c r="G67" i="5"/>
  <c r="L65" i="5" s="1"/>
  <c r="G55" i="5"/>
  <c r="G53" i="5"/>
  <c r="G59" i="5"/>
  <c r="G62" i="5"/>
  <c r="G60" i="5"/>
  <c r="G54" i="5"/>
  <c r="G43" i="5"/>
  <c r="G42" i="5"/>
  <c r="G37" i="5"/>
  <c r="G36" i="5"/>
  <c r="G30" i="5"/>
  <c r="L30" i="5" s="1"/>
  <c r="G29" i="5"/>
  <c r="L29" i="5" s="1"/>
  <c r="G24" i="5"/>
  <c r="G23" i="5"/>
  <c r="G41" i="5"/>
  <c r="G40" i="5"/>
  <c r="G39" i="5"/>
  <c r="G35" i="5"/>
  <c r="G34" i="5"/>
  <c r="L34" i="5" s="1"/>
  <c r="G33" i="5"/>
  <c r="G32" i="5"/>
  <c r="G22" i="5"/>
  <c r="G28" i="5"/>
  <c r="G27" i="5"/>
  <c r="G26" i="5"/>
  <c r="G20" i="5"/>
  <c r="G19" i="5"/>
  <c r="L19" i="5" s="1"/>
  <c r="G21" i="5"/>
  <c r="G16" i="5"/>
  <c r="G15" i="5"/>
  <c r="L14" i="5" s="1"/>
  <c r="G14" i="5"/>
  <c r="G10" i="5"/>
  <c r="G9" i="5"/>
  <c r="G8" i="5"/>
  <c r="G7" i="5"/>
  <c r="G6" i="5"/>
  <c r="G5" i="5"/>
  <c r="D4" i="4"/>
  <c r="D3" i="4"/>
  <c r="D2" i="4"/>
  <c r="H31" i="2"/>
  <c r="H30" i="2"/>
  <c r="H13" i="2"/>
  <c r="H12" i="2"/>
  <c r="L37" i="5" l="1"/>
  <c r="L42" i="5"/>
  <c r="L23" i="5"/>
  <c r="L36" i="5"/>
  <c r="L26" i="5"/>
  <c r="L43" i="5"/>
  <c r="L6" i="5"/>
  <c r="L21" i="5"/>
  <c r="L24" i="5"/>
  <c r="L7" i="5"/>
  <c r="L39" i="5"/>
  <c r="L32" i="5"/>
  <c r="L49" i="5" s="1"/>
  <c r="L5" i="5"/>
  <c r="H4" i="2"/>
  <c r="H5" i="2"/>
  <c r="H6" i="2"/>
  <c r="D3" i="2"/>
  <c r="E33" i="1"/>
  <c r="F38" i="2"/>
  <c r="F37" i="2"/>
  <c r="D36" i="2"/>
  <c r="H39" i="2" s="1"/>
  <c r="F30" i="2"/>
  <c r="F29" i="2"/>
  <c r="D28" i="2"/>
  <c r="F36" i="2" l="1"/>
  <c r="H36" i="2"/>
  <c r="H38" i="2"/>
  <c r="H37" i="2"/>
  <c r="F28" i="2"/>
  <c r="H28" i="2"/>
  <c r="H29" i="2"/>
  <c r="H20" i="2" l="1"/>
  <c r="H21" i="2"/>
  <c r="F4" i="2"/>
  <c r="F22" i="2"/>
  <c r="F21" i="2"/>
  <c r="F20" i="2"/>
  <c r="F14" i="2"/>
  <c r="F13" i="2"/>
  <c r="F5" i="2"/>
  <c r="H3" i="2"/>
  <c r="D20" i="2"/>
  <c r="H23" i="2" s="1"/>
  <c r="D12" i="2"/>
  <c r="F12" i="2" s="1"/>
  <c r="H15" i="2" l="1"/>
  <c r="F3" i="2"/>
  <c r="H22" i="2"/>
  <c r="H14" i="2"/>
  <c r="H17" i="1"/>
  <c r="I17" i="1"/>
  <c r="I16" i="1"/>
  <c r="I15" i="1"/>
  <c r="I14" i="1"/>
  <c r="I13" i="1"/>
  <c r="I19" i="1" l="1"/>
  <c r="B44" i="1" l="1"/>
  <c r="B17" i="1"/>
  <c r="C17" i="1"/>
  <c r="C16" i="1"/>
  <c r="C15" i="1"/>
  <c r="C14" i="1"/>
  <c r="C13" i="1"/>
  <c r="D17" i="1"/>
  <c r="E17" i="1" s="1"/>
  <c r="E16" i="1"/>
  <c r="E15" i="1"/>
  <c r="E14" i="1"/>
  <c r="E13" i="1"/>
  <c r="E19" i="1" s="1"/>
  <c r="J31" i="1"/>
  <c r="K31" i="1" s="1"/>
  <c r="K30" i="1"/>
  <c r="K29" i="1"/>
  <c r="K28" i="1"/>
  <c r="K27" i="1"/>
  <c r="L31" i="1"/>
  <c r="M31" i="1"/>
  <c r="M30" i="1"/>
  <c r="M29" i="1"/>
  <c r="M28" i="1"/>
  <c r="M27" i="1"/>
  <c r="M33" i="1" s="1"/>
  <c r="D31" i="1"/>
  <c r="E31" i="1" s="1"/>
  <c r="E30" i="1"/>
  <c r="E29" i="1"/>
  <c r="E28" i="1"/>
  <c r="E27" i="1"/>
  <c r="J17" i="1"/>
  <c r="K16" i="1"/>
  <c r="K14" i="1"/>
  <c r="K13" i="1"/>
  <c r="C19" i="1" l="1"/>
  <c r="K33" i="1"/>
  <c r="C30" i="1" l="1"/>
  <c r="C28" i="1"/>
  <c r="C27" i="1"/>
  <c r="B31" i="1"/>
  <c r="Q31" i="1"/>
  <c r="Q29" i="1"/>
  <c r="G29" i="1" s="1"/>
  <c r="I33" i="1"/>
  <c r="F31" i="1"/>
  <c r="G30" i="1"/>
  <c r="G28" i="1"/>
  <c r="G27" i="1"/>
  <c r="F17" i="1"/>
  <c r="Q17" i="1"/>
  <c r="K17" i="1" s="1"/>
  <c r="Q15" i="1"/>
  <c r="K15" i="1" s="1"/>
  <c r="G16" i="1"/>
  <c r="G14" i="1"/>
  <c r="G13" i="1"/>
  <c r="N6" i="1"/>
  <c r="O5" i="1"/>
  <c r="O3" i="1"/>
  <c r="O2" i="1"/>
  <c r="C31" i="1" l="1"/>
  <c r="C29" i="1"/>
  <c r="C33" i="1" s="1"/>
  <c r="G31" i="1"/>
  <c r="G33" i="1"/>
  <c r="K19" i="1"/>
  <c r="G15" i="1"/>
  <c r="G17" i="1"/>
  <c r="L6" i="1"/>
  <c r="M5" i="1"/>
  <c r="M3" i="1"/>
  <c r="M2" i="1"/>
  <c r="G19" i="1" l="1"/>
  <c r="J6" i="1"/>
  <c r="K5" i="1"/>
  <c r="K3" i="1"/>
  <c r="K2" i="1"/>
  <c r="I5" i="1" l="1"/>
  <c r="I3" i="1"/>
  <c r="I2" i="1"/>
  <c r="G5" i="1"/>
  <c r="G3" i="1"/>
  <c r="G2" i="1"/>
  <c r="F6" i="1"/>
  <c r="H6" i="1"/>
  <c r="E5" i="1" l="1"/>
  <c r="E3" i="1"/>
  <c r="E2" i="1"/>
  <c r="C3" i="1"/>
  <c r="C5" i="1"/>
  <c r="C2" i="1"/>
  <c r="Q6" i="1" l="1"/>
  <c r="Q4" i="1"/>
  <c r="D6" i="1"/>
  <c r="E6" i="1" s="1"/>
  <c r="B6" i="1"/>
  <c r="O4" i="1" l="1"/>
  <c r="O8" i="1" s="1"/>
  <c r="M4" i="1"/>
  <c r="M8" i="1" s="1"/>
  <c r="K4" i="1"/>
  <c r="K8" i="1" s="1"/>
  <c r="G4" i="1"/>
  <c r="G8" i="1" s="1"/>
  <c r="I4" i="1"/>
  <c r="I8" i="1" s="1"/>
  <c r="O6" i="1"/>
  <c r="M6" i="1"/>
  <c r="K6" i="1"/>
  <c r="G6" i="1"/>
  <c r="I6" i="1"/>
  <c r="C4" i="1"/>
  <c r="C8" i="1" s="1"/>
  <c r="E4" i="1"/>
  <c r="E8" i="1" s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tc={D37D32DA-97E7-5B43-B954-538ADDF866B4}</author>
  </authors>
  <commentList>
    <comment ref="H25" authorId="0" shapeId="0" xr:uid="{D37D32DA-97E7-5B43-B954-538ADDF866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Orca only allows this functional for single-point energies, not geometry optimizations</t>
      </text>
    </comment>
  </commentList>
</comments>
</file>

<file path=xl/sharedStrings.xml><?xml version="1.0" encoding="utf-8"?>
<sst xmlns="http://schemas.openxmlformats.org/spreadsheetml/2006/main" count="370" uniqueCount="191">
  <si>
    <t>M06</t>
  </si>
  <si>
    <t>Pt-Pyr</t>
  </si>
  <si>
    <t>Pt-Me</t>
  </si>
  <si>
    <t>Pt-N</t>
  </si>
  <si>
    <t>B3LYP</t>
  </si>
  <si>
    <t>Xtal</t>
  </si>
  <si>
    <t>Pt-pyrN-ring angle</t>
  </si>
  <si>
    <t>N-Pt-NPyr</t>
  </si>
  <si>
    <t>M06 Err</t>
  </si>
  <si>
    <t>B3LYP Err</t>
  </si>
  <si>
    <t>B3LYP /d2svp</t>
  </si>
  <si>
    <t>B3LYP/d2stzvp</t>
  </si>
  <si>
    <t>B3/d2t Err</t>
  </si>
  <si>
    <t>B3/d2s Err</t>
  </si>
  <si>
    <t>MN15L/Def2TZVP</t>
  </si>
  <si>
    <t>MN15L/Def2TZVP Err</t>
  </si>
  <si>
    <t>Et MN15L/Def2TZVP</t>
  </si>
  <si>
    <t>Et MN15L/Def2TZVP Err</t>
  </si>
  <si>
    <t>MN15/Def2TZVP</t>
  </si>
  <si>
    <t>MN15/Def2TZVP Err</t>
  </si>
  <si>
    <t>Basis Convergence</t>
  </si>
  <si>
    <t>WB97M-D3BJ</t>
  </si>
  <si>
    <t>WB97X</t>
  </si>
  <si>
    <t>def2TZVPP</t>
  </si>
  <si>
    <t>wB97-D4</t>
  </si>
  <si>
    <t>wB97M-V</t>
  </si>
  <si>
    <t>n/a</t>
  </si>
  <si>
    <t>Method Tests</t>
  </si>
  <si>
    <t>Gaussian</t>
  </si>
  <si>
    <t>WB97XD</t>
  </si>
  <si>
    <t>MN15L</t>
  </si>
  <si>
    <t>B2K-PLYP</t>
  </si>
  <si>
    <t>Orca</t>
  </si>
  <si>
    <t>Def2TZVP</t>
  </si>
  <si>
    <t>Def2TZVPP</t>
  </si>
  <si>
    <t>Def2QZVPP</t>
  </si>
  <si>
    <t>Def2TZVPD</t>
  </si>
  <si>
    <t>Def2-SVP</t>
  </si>
  <si>
    <t>MN15-L</t>
  </si>
  <si>
    <t>In DCM Solvent</t>
  </si>
  <si>
    <t>ch4.log	Energy:</t>
  </si>
  <si>
    <t>TS_ZPtMeH_ZPtMeHsigma.log	Energy:</t>
  </si>
  <si>
    <t>ZHPtMe.log	Energy:</t>
  </si>
  <si>
    <t>ZPtMeH_sigma.log	Energy:</t>
  </si>
  <si>
    <t>ZPtMeH.log	Energy:</t>
  </si>
  <si>
    <t>ZPt.log	Energy:</t>
  </si>
  <si>
    <t>wb97xd_def2tzvpp/xyz/</t>
  </si>
  <si>
    <t>wb97x_def2tzvpp/xyz/</t>
  </si>
  <si>
    <t>mn15l_def2tzvpp/xyz/</t>
  </si>
  <si>
    <t>CH4 + ZPt</t>
  </si>
  <si>
    <t>1 -&gt; 2</t>
  </si>
  <si>
    <t>2 -&gt; 3</t>
  </si>
  <si>
    <t>3 -&gt; 4</t>
  </si>
  <si>
    <t>Internal Energy (kcal/mol)</t>
  </si>
  <si>
    <t>∆E (kcal/mol)</t>
  </si>
  <si>
    <t>Note: Transitions are as in Figure 3 (schematic shown below)</t>
  </si>
  <si>
    <t>Transition</t>
  </si>
  <si>
    <t>E (w/ ZPt + Me reference energy set to 0)</t>
  </si>
  <si>
    <t>mn15l_def2svp/xyz/</t>
  </si>
  <si>
    <t>ch4.log</t>
  </si>
  <si>
    <t>TS_ZPtMeH_ZPtMeHsigma.log</t>
  </si>
  <si>
    <t>ZHPtMe.log</t>
  </si>
  <si>
    <t>ZPtMeH_sigma.log</t>
  </si>
  <si>
    <t>ZPtMeH.log</t>
  </si>
  <si>
    <t>ZPt.log</t>
  </si>
  <si>
    <t>mn15l_def2tzvp/xyz/</t>
  </si>
  <si>
    <t>mn15l_def2sv/xyz/</t>
  </si>
  <si>
    <t>Energy:  -25356.0095397</t>
  </si>
  <si>
    <t>Energy: -519136.5306496</t>
  </si>
  <si>
    <t>Energy: -519152.7453958</t>
  </si>
  <si>
    <t>Energy: -519152.5160003</t>
  </si>
  <si>
    <t>Energy: -519136.9856806</t>
  </si>
  <si>
    <t>Energy: -493782.1617142</t>
  </si>
  <si>
    <t>HZPtMe</t>
  </si>
  <si>
    <t>GS</t>
  </si>
  <si>
    <t>G (a.u.)</t>
  </si>
  <si>
    <t>G (kcal/mol)</t>
  </si>
  <si>
    <t>delta G (kcal/mol)</t>
  </si>
  <si>
    <t>kcal/mol</t>
  </si>
  <si>
    <t>ZPtMeH_sigma</t>
  </si>
  <si>
    <t>ZHPtMe</t>
  </si>
  <si>
    <t>vs. simga</t>
  </si>
  <si>
    <t>vs. ZHPtMe</t>
  </si>
  <si>
    <t>ZPtMeH (TS)</t>
  </si>
  <si>
    <t>ch4</t>
  </si>
  <si>
    <t>ZPt</t>
  </si>
  <si>
    <t>YIr</t>
  </si>
  <si>
    <t>IR</t>
  </si>
  <si>
    <t>YPt</t>
  </si>
  <si>
    <t>PT</t>
  </si>
  <si>
    <t>YRh</t>
  </si>
  <si>
    <t>RH</t>
  </si>
  <si>
    <t>ZIr</t>
  </si>
  <si>
    <t>ZRh</t>
  </si>
  <si>
    <t>Compound</t>
  </si>
  <si>
    <t>Atom</t>
  </si>
  <si>
    <t>q</t>
  </si>
  <si>
    <t>∆q (Y - Z)</t>
  </si>
  <si>
    <t>HZIrMe</t>
  </si>
  <si>
    <t>ZIrMeH</t>
  </si>
  <si>
    <t>Zir</t>
  </si>
  <si>
    <t>ZRhMeH</t>
  </si>
  <si>
    <t>Calc Type</t>
  </si>
  <si>
    <t>Compound # (in paper)</t>
  </si>
  <si>
    <t>Notes</t>
  </si>
  <si>
    <t>Category</t>
  </si>
  <si>
    <t>9'</t>
  </si>
  <si>
    <t>11'</t>
  </si>
  <si>
    <t>TS</t>
  </si>
  <si>
    <t>TS_ZPtMeH_ZPtMeHsigma</t>
  </si>
  <si>
    <t>vs. ZPtMeH</t>
  </si>
  <si>
    <t>4'</t>
  </si>
  <si>
    <t>Figure 2</t>
  </si>
  <si>
    <t>HZPt</t>
  </si>
  <si>
    <t>HZPtMeH</t>
  </si>
  <si>
    <t>14'</t>
  </si>
  <si>
    <t>HZPtMeH_sigma</t>
  </si>
  <si>
    <t>15'</t>
  </si>
  <si>
    <t>vs. sigma</t>
  </si>
  <si>
    <t>Figure 3</t>
  </si>
  <si>
    <t>CH4</t>
  </si>
  <si>
    <t>18'Ir</t>
  </si>
  <si>
    <t>18'Ir(CH3)(H)</t>
  </si>
  <si>
    <t>vs. Zir+CH4</t>
  </si>
  <si>
    <t>Yir</t>
  </si>
  <si>
    <t>YIrMeH</t>
  </si>
  <si>
    <t>17'Ir</t>
  </si>
  <si>
    <t>17'Ir(CH3)(H)</t>
  </si>
  <si>
    <t>vs. Yir+CH4</t>
  </si>
  <si>
    <t>133.3° H-Ir-Me angle</t>
  </si>
  <si>
    <t>88.6° H-Ir-Me angle</t>
  </si>
  <si>
    <t>vs. HZIrMe</t>
  </si>
  <si>
    <t>18'Rh</t>
  </si>
  <si>
    <t>18'Rh(CH3)(H)</t>
  </si>
  <si>
    <t>HZRhMe</t>
  </si>
  <si>
    <t>17'Rh</t>
  </si>
  <si>
    <t>17'Rh(CH3)(H)</t>
  </si>
  <si>
    <t>YRhMeH</t>
  </si>
  <si>
    <t>∆∆G (Yir vs. Yrh)</t>
  </si>
  <si>
    <t>∆∆G (Zir vs. Zrh)</t>
  </si>
  <si>
    <t>vs. HZRhMe</t>
  </si>
  <si>
    <t>vs. ZRh+CH4</t>
  </si>
  <si>
    <t>vs. YRh+CH4</t>
  </si>
  <si>
    <t>ZIrMeH_sigma</t>
  </si>
  <si>
    <t>YIrMeH_sigma</t>
  </si>
  <si>
    <t>ZRhMeH_sigma</t>
  </si>
  <si>
    <t>YRhMeH_sigma</t>
  </si>
  <si>
    <t>MeZPt</t>
  </si>
  <si>
    <t>MeZPtMeMe</t>
  </si>
  <si>
    <t>ethane</t>
  </si>
  <si>
    <t>Methylation Systems</t>
  </si>
  <si>
    <t>Ypt</t>
  </si>
  <si>
    <t>YPtMeMe</t>
  </si>
  <si>
    <t>YPtMeMe_sigma</t>
  </si>
  <si>
    <t>MeZPtMeMe_sigma</t>
  </si>
  <si>
    <t>ZPtMeMe</t>
  </si>
  <si>
    <t>vs. ZPt + C2H6</t>
  </si>
  <si>
    <t>MeZPtMe</t>
  </si>
  <si>
    <t>7'</t>
  </si>
  <si>
    <t>12'</t>
  </si>
  <si>
    <t>13'</t>
  </si>
  <si>
    <t>ZPtMeMe_sigma</t>
  </si>
  <si>
    <t>https://pubs.acs.org/doi/epdf/10.1021/jacs.5b09522</t>
  </si>
  <si>
    <t>1-H</t>
  </si>
  <si>
    <t>1-F</t>
  </si>
  <si>
    <t>Ir-N bond distance</t>
  </si>
  <si>
    <t>sigma</t>
  </si>
  <si>
    <t>vs. ZPtMeMe</t>
  </si>
  <si>
    <t>∆∆G (Yir vs. ZIr)</t>
  </si>
  <si>
    <t>∆∆G (YRh vs. ZRh)</t>
  </si>
  <si>
    <t>2-H</t>
  </si>
  <si>
    <t>2-F</t>
  </si>
  <si>
    <t>CO π* occupancy</t>
  </si>
  <si>
    <t>pi</t>
  </si>
  <si>
    <t>1-Z (non-pincer, perpendicular to plane)</t>
  </si>
  <si>
    <t>1-Z (non-pincer, kept in plane)</t>
  </si>
  <si>
    <t>literature pi</t>
  </si>
  <si>
    <t>2-Z (non-pincer, parallel)</t>
  </si>
  <si>
    <t>1-Y (non-pincer)</t>
  </si>
  <si>
    <t>2-Y (non-pincer, titled)</t>
  </si>
  <si>
    <t>1-Y (non-pincer, titled)</t>
  </si>
  <si>
    <t>2-Ph (perp)</t>
  </si>
  <si>
    <t>Natural Charge Analysis</t>
  </si>
  <si>
    <t>Ir charge</t>
  </si>
  <si>
    <t>C (CO) charge</t>
  </si>
  <si>
    <t>O (CO Charge)</t>
  </si>
  <si>
    <t>2-pyridine</t>
  </si>
  <si>
    <t>1-pyridine</t>
  </si>
  <si>
    <t>2-Y (non-pincer, coplanar)</t>
  </si>
  <si>
    <t>occupancy (prior literature)</t>
  </si>
  <si>
    <t>Figure #s and Compound names with respect to Main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</si>
</sst>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Single-Point Energy</a:t>
            </a:r>
            <a:r>
              <a:rPr lang="en-US" baseline="0"/>
              <a:t> Transitions (Methods 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'Benchmark Tests, SPE'!$A$2</c:f>
              <c:strCache>
                <c:ptCount val="1"/>
                <c:pt idx="0">
                  <c:v>mn15l_def2tzvpp/xyz/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'Benchmark Tests, SPE'!$F$3:$F$6</c:f>
              <c:numCache>
                <c:formatCode>General</c:formatCode>
                <c:ptCount val="4"/>
                <c:pt idx="0">
                  <c:v>-15.30112499993993</c:v>
                </c:pt>
                <c:pt idx="1">
                  <c:v>12.446100000001024</c:v>
                </c:pt>
                <c:pt idx="2">
                  <c:v>-4.4526799989398569E-2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934B-87BD-85CE8A54FD70}"/>
            </c:ext>
          </c:extLst>
        </c:ser>
        <c:ser>
          <c:idx val="1"/>
          <c:order val="1"/>
          <c:tx>
            <c:strRef>
              <c:f>'Benchmark Tests, SPE'!$A$11</c:f>
              <c:strCache>
                <c:ptCount val="1"/>
                <c:pt idx="0">
                  <c:v>wb97xd_def2tzvpp/xyz/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'Benchmark Tests, SPE'!$F$12:$F$14</c:f>
              <c:numCache>
                <c:formatCode>General</c:formatCode>
                <c:ptCount val="3"/>
                <c:pt idx="0">
                  <c:v>-17.844850599998608</c:v>
                </c:pt>
                <c:pt idx="1">
                  <c:v>14.726648200012278</c:v>
                </c:pt>
                <c:pt idx="2">
                  <c:v>0.81986190000316128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0-934B-87BD-85CE8A54FD70}"/>
            </c:ext>
          </c:extLst>
        </c:ser>
        <c:ser>
          <c:idx val="2"/>
          <c:order val="2"/>
          <c:tx>
            <c:strRef>
              <c:f>'Benchmark Tests, SPE'!$A$19</c:f>
              <c:strCache>
                <c:ptCount val="1"/>
                <c:pt idx="0">
                  <c:v>wb97x_def2tzvpp/xyz/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'Benchmark Tests, SPE'!$F$20:$F$22</c:f>
              <c:numCache>
                <c:formatCode>General</c:formatCode>
                <c:ptCount val="3"/>
                <c:pt idx="0">
                  <c:v>-16.857903399970382</c:v>
                </c:pt>
                <c:pt idx="1">
                  <c:v>16.115029299980961</c:v>
                </c:pt>
                <c:pt idx="2">
                  <c:v>1.0529119000420906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0-934B-87BD-85CE8A54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29424"/>
        <c:axId val="2046931424"/>
      </c:lineChart>
      <c:catAx>
        <c:axId val="204692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31424"/>
        <c:crosses val="autoZero"/>
        <c:auto val="1"/>
        <c:lblAlgn val="ctr"/>
        <c:lblOffset val="100"/>
        <c:noMultiLvlLbl val="0"/>
      </c:catAx>
      <c:valAx>
        <c:axId val="20469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Methods Comparison (Single-Point Energy Calcs)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 Tests, SPE'!$A$2</c:f>
              <c:strCache>
                <c:ptCount val="1"/>
                <c:pt idx="0">
                  <c:v>mn15l_def2tzvpp/xyz/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 Tests, SPE'!$G$3:$G$6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'Benchmark Tests, SPE'!$H$3:$H$6</c:f>
              <c:numCache>
                <c:formatCode>General</c:formatCode>
                <c:ptCount val="4"/>
                <c:pt idx="0">
                  <c:v>0</c:v>
                </c:pt>
                <c:pt idx="1">
                  <c:v>-15.30112499993993</c:v>
                </c:pt>
                <c:pt idx="2">
                  <c:v>-2.8550249999389052</c:v>
                </c:pt>
                <c:pt idx="3">
                  <c:v>-2.8995517999283038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3943-8489-A97FA1ECCF54}"/>
            </c:ext>
          </c:extLst>
        </c:ser>
        <c:ser>
          <c:idx val="1"/>
          <c:order val="1"/>
          <c:tx>
            <c:strRef>
              <c:f>'Benchmark Tests, SPE'!$A$11</c:f>
              <c:strCache>
                <c:ptCount val="1"/>
                <c:pt idx="0">
                  <c:v>wb97xd_def2tzvpp/xyz/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 Tests, SPE'!$G$12:$G$15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'Benchmark Tests, SPE'!$H$12:$H$15</c:f>
              <c:numCache>
                <c:formatCode>General</c:formatCode>
                <c:ptCount val="4"/>
                <c:pt idx="0">
                  <c:v>0</c:v>
                </c:pt>
                <c:pt idx="1">
                  <c:v>-17.844850599998608</c:v>
                </c:pt>
                <c:pt idx="2">
                  <c:v>-3.1182023999863304</c:v>
                </c:pt>
                <c:pt idx="3">
                  <c:v>-2.2983404999831691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7-3943-8489-A97FA1ECCF54}"/>
            </c:ext>
          </c:extLst>
        </c:ser>
        <c:ser>
          <c:idx val="2"/>
          <c:order val="2"/>
          <c:tx>
            <c:strRef>
              <c:f>'Benchmark Tests, SPE'!$A$19</c:f>
              <c:strCache>
                <c:ptCount val="1"/>
                <c:pt idx="0">
                  <c:v>wb97x_def2tzvpp/xyz/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 Tests, SPE'!$G$20:$G$23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'Benchmark Tests, SPE'!$H$20:$H$23</c:f>
              <c:numCache>
                <c:formatCode>General</c:formatCode>
                <c:ptCount val="4"/>
                <c:pt idx="0">
                  <c:v>0</c:v>
                </c:pt>
                <c:pt idx="1">
                  <c:v>-16.857903399970382</c:v>
                </c:pt>
                <c:pt idx="2">
                  <c:v>-0.74287409998942167</c:v>
                </c:pt>
                <c:pt idx="3">
                  <c:v>0.3100378000526689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7-3943-8489-A97FA1EC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44240"/>
        <c:axId val="2047346240"/>
      </c:scatterChart>
      <c:valAx>
        <c:axId val="204734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46240"/>
        <c:crosses val="autoZero"/>
        <c:crossBetween val="midCat"/>
      </c:valAx>
      <c:valAx>
        <c:axId val="204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</xdr:row>
      <xdr:rowOff>177799</xdr:rowOff>
    </xdr:from>
    <xdr:to>
      <xdr:col>26</xdr:col>
      <xdr:colOff>812800</xdr:colOff>
      <xdr:row>29</xdr:row>
      <xdr:rowOff>108750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CB6E6-1260-2B3F-2A78-7FA6D237F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8800" y="749299"/>
          <a:ext cx="6477000" cy="488395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9</xdr:col>
      <xdr:colOff>101600</xdr:colOff>
      <xdr:row>26</xdr:row>
      <xdr:rowOff>50800</xdr:rowOff>
    </xdr:from>
    <xdr:to>
      <xdr:col>17</xdr:col>
      <xdr:colOff>0</xdr:colOff>
      <xdr:row>50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8CC1-822F-1D98-4A6A-65A5E2C3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7</xdr:row>
      <xdr:rowOff>165100</xdr:rowOff>
    </xdr:from>
    <xdr:to>
      <xdr:col>17</xdr:col>
      <xdr:colOff>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D8CD0-7504-2774-1640-C7415945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y Van Vleet" id="{EF9721CF-8688-3E4A-A12D-3A2D9C1D31EA}" userId="S::mary.vanvleet@spelman.edu::3e5e344a-f2d3-408c-b2f1-36b2c37f4bf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5" dT="2023-06-06T16:51:07.88" personId="{EF9721CF-8688-3E4A-A12D-3A2D9C1D31EA}" id="{D37D32DA-97E7-5B43-B954-538ADDF866B4}">
    <text>Orca only allows this functional for single-point energies, not geometry optimizations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09FB-7C32-4121-B0EE-EDCD17B07B49}">
  <dimension ref="A1:Q44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20.5" style="4" customWidth="1"/>
    <col min="2" max="5" width="8.6640625" style="2"/>
    <col min="6" max="6" width="16.83203125" style="2" customWidth="1"/>
    <col min="7" max="7" width="9.83203125" style="2" customWidth="1"/>
    <col min="8" max="8" width="14.5" style="2" customWidth="1"/>
    <col min="9" max="9" width="10" style="2" customWidth="1"/>
    <col min="10" max="10" width="18.33203125" style="2" customWidth="1"/>
    <col min="11" max="11" width="18.33203125" customWidth="1"/>
    <col min="12" max="12" width="19.1640625" customWidth="1"/>
    <col min="13" max="13" width="23.1640625" customWidth="1"/>
    <col min="14" max="14" width="18.33203125" style="2" customWidth="1"/>
    <col min="15" max="15" width="18.33203125" customWidth="1"/>
  </cols>
  <sheetData>
    <row r="1" spans="1:17" x14ac:dyDescent="0.2">
      <c r="B1" s="1" t="s">
        <v>0</v>
      </c>
      <c r="C1" s="1" t="s">
        <v>8</v>
      </c>
      <c r="D1" s="1" t="s">
        <v>4</v>
      </c>
      <c r="E1" s="1" t="s">
        <v>9</v>
      </c>
      <c r="F1" s="1" t="s">
        <v>10</v>
      </c>
      <c r="G1" s="1" t="s">
        <v>13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Q1" s="1" t="s">
        <v>5</v>
      </c>
    </row>
    <row r="2" spans="1:17" x14ac:dyDescent="0.2">
      <c r="A2" s="4" t="s">
        <v>2</v>
      </c>
      <c r="B2" s="7">
        <v>2.0760000000000001</v>
      </c>
      <c r="C2" s="6">
        <f>ABS(B2-$Q2)/$Q2</f>
        <v>5.8139534883720981E-3</v>
      </c>
      <c r="D2" s="7">
        <v>2.0880000000000001</v>
      </c>
      <c r="E2" s="6">
        <f>ABS(D2-$Q2)/$Q2</f>
        <v>1.1627906976744196E-2</v>
      </c>
      <c r="F2" s="7">
        <v>2.0880000000000001</v>
      </c>
      <c r="G2" s="6">
        <f>ABS(F2-$Q2)/$Q2</f>
        <v>1.1627906976744196E-2</v>
      </c>
      <c r="H2" s="7">
        <v>2.0870000000000002</v>
      </c>
      <c r="I2" s="6">
        <f>ABS(H2-$Q2)/$Q2</f>
        <v>1.1143410852713241E-2</v>
      </c>
      <c r="J2" s="7">
        <v>2.0667</v>
      </c>
      <c r="K2" s="6">
        <f>ABS(J2-$Q2)/$Q2</f>
        <v>1.3081395348836845E-3</v>
      </c>
      <c r="L2" s="7">
        <v>2.0716999999999999</v>
      </c>
      <c r="M2" s="6">
        <f>ABS(L2-$Q2)/$Q2</f>
        <v>3.7306201550386716E-3</v>
      </c>
      <c r="N2" s="7">
        <v>2.0662099999999999</v>
      </c>
      <c r="O2" s="6">
        <f>ABS(N2-$Q2)/$Q2</f>
        <v>1.0707364341084416E-3</v>
      </c>
      <c r="Q2" s="7">
        <v>2.0640000000000001</v>
      </c>
    </row>
    <row r="3" spans="1:17" x14ac:dyDescent="0.2">
      <c r="A3" s="4" t="s">
        <v>1</v>
      </c>
      <c r="B3" s="7">
        <v>2.0619999999999998</v>
      </c>
      <c r="C3" s="6">
        <f>ABS(B3-$Q3)/$Q3</f>
        <v>4.0363269424823336E-2</v>
      </c>
      <c r="D3" s="7">
        <v>2.052</v>
      </c>
      <c r="E3" s="6">
        <f>ABS(D3-$Q3)/$Q3</f>
        <v>3.5317860746720518E-2</v>
      </c>
      <c r="F3" s="7">
        <v>2.0569999999999999</v>
      </c>
      <c r="G3" s="6">
        <f>ABS(F3-$Q3)/$Q3</f>
        <v>3.7840565085771924E-2</v>
      </c>
      <c r="H3" s="7">
        <v>2.0409999999999999</v>
      </c>
      <c r="I3" s="6">
        <f>ABS(H3-$Q3)/$Q3</f>
        <v>2.9767911200807236E-2</v>
      </c>
      <c r="J3" s="7">
        <v>2.0327500000000001</v>
      </c>
      <c r="K3" s="6">
        <f>ABS(J3-$Q3)/$Q3</f>
        <v>2.5605449041372387E-2</v>
      </c>
      <c r="L3" s="7">
        <v>2.0216599999999998</v>
      </c>
      <c r="M3" s="6">
        <f>ABS(L3-$Q3)/$Q3</f>
        <v>2.0010090817356108E-2</v>
      </c>
      <c r="N3" s="7">
        <v>2.0172300000000001</v>
      </c>
      <c r="O3" s="6">
        <f>ABS(N3-$Q3)/$Q3</f>
        <v>1.7774974772956656E-2</v>
      </c>
      <c r="Q3" s="7">
        <v>1.982</v>
      </c>
    </row>
    <row r="4" spans="1:17" x14ac:dyDescent="0.2">
      <c r="A4" s="4" t="s">
        <v>3</v>
      </c>
      <c r="B4" s="7">
        <v>2.1379999999999999</v>
      </c>
      <c r="C4" s="6">
        <f>ABS(B4-$Q4)/$Q4</f>
        <v>1.8822968787228909E-2</v>
      </c>
      <c r="D4" s="7">
        <v>2.1419999999999999</v>
      </c>
      <c r="E4" s="6">
        <f>ABS(D4-$Q4)/$Q4</f>
        <v>2.0729092208720452E-2</v>
      </c>
      <c r="F4" s="7">
        <v>2.145</v>
      </c>
      <c r="G4" s="6">
        <f>ABS(F4-$Q4)/$Q4</f>
        <v>2.2158684774839163E-2</v>
      </c>
      <c r="H4" s="7">
        <v>2.1259999999999999</v>
      </c>
      <c r="I4" s="6">
        <f>ABS(H4-$Q4)/$Q4</f>
        <v>1.3104598522754281E-2</v>
      </c>
      <c r="J4" s="7">
        <v>2.0884399999999999</v>
      </c>
      <c r="K4" s="6">
        <f>ABS(J4-$Q4)/$Q4</f>
        <v>4.793900405051313E-3</v>
      </c>
      <c r="L4" s="7">
        <v>2.1110199999999999</v>
      </c>
      <c r="M4" s="6">
        <f>ABS(L4-$Q4)/$Q4</f>
        <v>5.9661663092684608E-3</v>
      </c>
      <c r="N4" s="7">
        <v>2.0785</v>
      </c>
      <c r="O4" s="6">
        <f>ABS(N4-$Q4)/$Q4</f>
        <v>9.5306171074577162E-3</v>
      </c>
      <c r="Q4" s="7">
        <f>0.5*(2.108+2.089)</f>
        <v>2.0985</v>
      </c>
    </row>
    <row r="5" spans="1:17" x14ac:dyDescent="0.2">
      <c r="A5" s="4" t="s">
        <v>7</v>
      </c>
      <c r="B5" s="8">
        <v>81.144000000000005</v>
      </c>
      <c r="C5" s="6">
        <f>ABS(B5-$Q5)/$Q5</f>
        <v>4.2337002540220013E-3</v>
      </c>
      <c r="D5" s="8">
        <v>81.323999999999998</v>
      </c>
      <c r="E5" s="6">
        <f>ABS(D5-$Q5)/$Q5</f>
        <v>2.0248131649671275E-3</v>
      </c>
      <c r="F5" s="8">
        <v>81.37</v>
      </c>
      <c r="G5" s="6">
        <f>ABS(F5-$Q5)/$Q5</f>
        <v>1.4603197977641124E-3</v>
      </c>
      <c r="H5" s="8">
        <v>81.641000000000005</v>
      </c>
      <c r="I5" s="6">
        <f>ABS(H5-$Q5)/$Q5</f>
        <v>1.8652824307575379E-3</v>
      </c>
      <c r="J5" s="8">
        <v>82.608639999999994</v>
      </c>
      <c r="K5" s="6">
        <f>ABS(J5-$Q5)/$Q5</f>
        <v>1.373976855771932E-2</v>
      </c>
      <c r="L5" s="8">
        <v>82.662319999999994</v>
      </c>
      <c r="M5" s="6">
        <f>ABS(L5-$Q5)/$Q5</f>
        <v>1.4398507774055267E-2</v>
      </c>
      <c r="N5" s="8">
        <v>82.318820000000002</v>
      </c>
      <c r="O5" s="6">
        <f>ABS(N5-$Q5)/$Q5</f>
        <v>1.0183214912442146E-2</v>
      </c>
      <c r="Q5" s="8">
        <v>81.489000000000004</v>
      </c>
    </row>
    <row r="6" spans="1:17" x14ac:dyDescent="0.2">
      <c r="A6" s="4" t="s">
        <v>6</v>
      </c>
      <c r="B6" s="8">
        <f>180-154.194</f>
        <v>25.806000000000012</v>
      </c>
      <c r="C6" s="3">
        <f>ABS(B6-$Q6)/$Q6</f>
        <v>163.36942675158124</v>
      </c>
      <c r="D6" s="8">
        <f>180-157.87</f>
        <v>22.129999999999995</v>
      </c>
      <c r="E6" s="3">
        <f>ABS(D6-$Q6)/$Q6</f>
        <v>139.95541401272922</v>
      </c>
      <c r="F6" s="8">
        <f>180-154.715</f>
        <v>25.284999999999997</v>
      </c>
      <c r="G6" s="3">
        <f>ABS(F6-$Q6)/$Q6</f>
        <v>160.05095541400175</v>
      </c>
      <c r="H6" s="8">
        <f>180-155.349</f>
        <v>24.65100000000001</v>
      </c>
      <c r="I6" s="3">
        <f>ABS(H6-$Q6)/$Q6</f>
        <v>156.01273885349255</v>
      </c>
      <c r="J6" s="8">
        <f>180-147.88965</f>
        <v>32.110350000000011</v>
      </c>
      <c r="K6" s="3">
        <f>ABS(J6-$Q6)/$Q6</f>
        <v>203.52452229297978</v>
      </c>
      <c r="L6" s="8">
        <f>180-149.88188</f>
        <v>30.118120000000005</v>
      </c>
      <c r="M6" s="3">
        <f>ABS(L6-$Q6)/$Q6</f>
        <v>190.83515923565577</v>
      </c>
      <c r="N6" s="8">
        <f>180-151.94529</f>
        <v>28.05471</v>
      </c>
      <c r="O6" s="3">
        <f>ABS(N6-$Q6)/$Q6</f>
        <v>177.69242038215344</v>
      </c>
      <c r="Q6" s="8">
        <f>180-179.843</f>
        <v>0.15700000000001069</v>
      </c>
    </row>
    <row r="8" spans="1:17" x14ac:dyDescent="0.2">
      <c r="C8" s="5">
        <f>SUM(C2:C5)</f>
        <v>6.9233891954446347E-2</v>
      </c>
      <c r="D8" s="5"/>
      <c r="E8" s="5">
        <f>SUM(E2:E5)</f>
        <v>6.969967309715229E-2</v>
      </c>
      <c r="F8" s="5"/>
      <c r="G8" s="5">
        <f>SUM(G2:G5)</f>
        <v>7.3087476635119386E-2</v>
      </c>
      <c r="H8" s="5"/>
      <c r="I8" s="5">
        <f>SUM(I2:I5)</f>
        <v>5.5881203007032296E-2</v>
      </c>
      <c r="K8" s="5">
        <f>SUM(K2:K5)</f>
        <v>4.544725753902671E-2</v>
      </c>
      <c r="M8" s="5">
        <f>SUM(M2:M5)</f>
        <v>4.410538505571851E-2</v>
      </c>
      <c r="O8" s="5">
        <f>SUM(O2:O5)</f>
        <v>3.8559543226964962E-2</v>
      </c>
    </row>
    <row r="11" spans="1:17" x14ac:dyDescent="0.2">
      <c r="A11" s="9" t="s">
        <v>20</v>
      </c>
      <c r="B11" s="14" t="s">
        <v>38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7" x14ac:dyDescent="0.2">
      <c r="B12" s="1" t="s">
        <v>37</v>
      </c>
      <c r="C12" s="1"/>
      <c r="D12" s="1" t="s">
        <v>33</v>
      </c>
      <c r="E12" s="1"/>
      <c r="F12" s="1" t="s">
        <v>34</v>
      </c>
      <c r="G12" s="1"/>
      <c r="H12" s="1" t="s">
        <v>36</v>
      </c>
      <c r="J12" s="1" t="s">
        <v>35</v>
      </c>
      <c r="K12" s="1"/>
      <c r="Q12" s="1" t="s">
        <v>5</v>
      </c>
    </row>
    <row r="13" spans="1:17" x14ac:dyDescent="0.2">
      <c r="A13" s="4" t="s">
        <v>2</v>
      </c>
      <c r="B13" s="7">
        <v>2.0710000000000002</v>
      </c>
      <c r="C13" s="6">
        <f>ABS(B13-$Q13)/$Q13</f>
        <v>3.391472868217111E-3</v>
      </c>
      <c r="D13" s="10">
        <v>2.0667</v>
      </c>
      <c r="E13" s="6">
        <f>ABS(D13-$Q13)/$Q13</f>
        <v>1.3081395348836845E-3</v>
      </c>
      <c r="F13" s="10">
        <v>2.0649999999999999</v>
      </c>
      <c r="G13" s="6">
        <f>ABS(F13-$Q13)/$Q13</f>
        <v>4.844961240309544E-4</v>
      </c>
      <c r="H13" s="2">
        <v>2.0659999999999998</v>
      </c>
      <c r="I13" s="6">
        <f>ABS(H13-$Q13)/$Q13</f>
        <v>9.689922480619088E-4</v>
      </c>
      <c r="J13" s="10">
        <v>2.0640000000000001</v>
      </c>
      <c r="K13" s="6">
        <f>ABS(J13-$Q13)/$Q13</f>
        <v>0</v>
      </c>
      <c r="Q13" s="7">
        <v>2.0640000000000001</v>
      </c>
    </row>
    <row r="14" spans="1:17" x14ac:dyDescent="0.2">
      <c r="A14" s="4" t="s">
        <v>1</v>
      </c>
      <c r="B14" s="7">
        <v>2.044</v>
      </c>
      <c r="C14" s="6">
        <f>ABS(B14-$Q14)/$Q14</f>
        <v>3.1281533804238169E-2</v>
      </c>
      <c r="D14" s="10">
        <v>2.0327500000000001</v>
      </c>
      <c r="E14" s="6">
        <f>ABS(D14-$Q14)/$Q14</f>
        <v>2.5605449041372387E-2</v>
      </c>
      <c r="F14" s="10">
        <v>2.0310000000000001</v>
      </c>
      <c r="G14" s="6">
        <f>ABS(F14-$Q14)/$Q14</f>
        <v>2.4722502522704418E-2</v>
      </c>
      <c r="H14" s="2">
        <v>2.0310000000000001</v>
      </c>
      <c r="I14" s="6">
        <f>ABS(H14-$Q14)/$Q14</f>
        <v>2.4722502522704418E-2</v>
      </c>
      <c r="J14" s="10">
        <v>2.0299999999999998</v>
      </c>
      <c r="K14" s="6">
        <f>ABS(J14-$Q14)/$Q14</f>
        <v>2.4217961654893955E-2</v>
      </c>
      <c r="Q14" s="7">
        <v>1.982</v>
      </c>
    </row>
    <row r="15" spans="1:17" x14ac:dyDescent="0.2">
      <c r="A15" s="4" t="s">
        <v>3</v>
      </c>
      <c r="B15" s="7">
        <v>2.1070000000000002</v>
      </c>
      <c r="C15" s="6">
        <f>ABS(B15-$Q15)/$Q15</f>
        <v>4.0505122706696092E-3</v>
      </c>
      <c r="D15" s="10">
        <v>2.0884399999999999</v>
      </c>
      <c r="E15" s="6">
        <f>ABS(D15-$Q15)/$Q15</f>
        <v>4.793900405051313E-3</v>
      </c>
      <c r="F15" s="10">
        <v>2.0870000000000002</v>
      </c>
      <c r="G15" s="6">
        <f>ABS(F15-$Q15)/$Q15</f>
        <v>5.4801048367881071E-3</v>
      </c>
      <c r="H15" s="2">
        <v>2.089</v>
      </c>
      <c r="I15" s="6">
        <f>ABS(H15-$Q15)/$Q15</f>
        <v>4.5270431260424418E-3</v>
      </c>
      <c r="J15" s="10">
        <v>2.0880000000000001</v>
      </c>
      <c r="K15" s="6">
        <f>ABS(J15-$Q15)/$Q15</f>
        <v>5.0035739814152744E-3</v>
      </c>
      <c r="Q15" s="7">
        <f>0.5*(2.108+2.089)</f>
        <v>2.0985</v>
      </c>
    </row>
    <row r="16" spans="1:17" x14ac:dyDescent="0.2">
      <c r="A16" s="4" t="s">
        <v>7</v>
      </c>
      <c r="B16" s="8">
        <v>82.1</v>
      </c>
      <c r="C16" s="6">
        <f>ABS(B16-$Q16)/$Q16</f>
        <v>7.4979445078475621E-3</v>
      </c>
      <c r="D16" s="7">
        <v>82.608639999999994</v>
      </c>
      <c r="E16" s="6">
        <f>ABS(D16-$Q16)/$Q16</f>
        <v>1.373976855771932E-2</v>
      </c>
      <c r="F16" s="7">
        <v>82.6</v>
      </c>
      <c r="G16" s="6">
        <f>ABS(F16-$Q16)/$Q16</f>
        <v>1.3633741977444686E-2</v>
      </c>
      <c r="H16" s="2">
        <v>82.6</v>
      </c>
      <c r="I16" s="6">
        <f>ABS(H16-$Q16)/$Q16</f>
        <v>1.3633741977444686E-2</v>
      </c>
      <c r="J16" s="7">
        <v>82.6</v>
      </c>
      <c r="K16" s="6">
        <f>ABS(J16-$Q16)/$Q16</f>
        <v>1.3633741977444686E-2</v>
      </c>
      <c r="Q16" s="8">
        <v>81.489000000000004</v>
      </c>
    </row>
    <row r="17" spans="1:17" x14ac:dyDescent="0.2">
      <c r="A17" s="4" t="s">
        <v>6</v>
      </c>
      <c r="B17" s="8">
        <f>180-150.1</f>
        <v>29.900000000000006</v>
      </c>
      <c r="C17" s="3">
        <f>ABS(B17-$Q17)/$Q17</f>
        <v>189.44585987259853</v>
      </c>
      <c r="D17" s="7">
        <f>180-147.88965</f>
        <v>32.110350000000011</v>
      </c>
      <c r="E17" s="3">
        <f>ABS(D17-$Q17)/$Q17</f>
        <v>203.52452229297978</v>
      </c>
      <c r="F17" s="7">
        <f>180-147.9</f>
        <v>32.099999999999994</v>
      </c>
      <c r="G17" s="3">
        <f>ABS(F17-$Q17)/$Q17</f>
        <v>203.45859872610069</v>
      </c>
      <c r="H17" s="2">
        <f>180-148.6</f>
        <v>31.400000000000006</v>
      </c>
      <c r="I17" s="3">
        <f>ABS(H17-$Q17)/$Q17</f>
        <v>198.99999999998641</v>
      </c>
      <c r="J17" s="7">
        <f>180-148.9</f>
        <v>31.099999999999994</v>
      </c>
      <c r="K17" s="3">
        <f>ABS(J17-$Q17)/$Q17</f>
        <v>197.08917197450879</v>
      </c>
      <c r="Q17" s="8">
        <f>180-179.843</f>
        <v>0.15700000000001069</v>
      </c>
    </row>
    <row r="18" spans="1:17" x14ac:dyDescent="0.2">
      <c r="C18"/>
      <c r="E18"/>
      <c r="K18" s="2"/>
    </row>
    <row r="19" spans="1:17" x14ac:dyDescent="0.2">
      <c r="C19" s="5">
        <f>SUM(C13:C16)</f>
        <v>4.6221463450972451E-2</v>
      </c>
      <c r="E19" s="5">
        <f>SUM(E13:E16)</f>
        <v>4.544725753902671E-2</v>
      </c>
      <c r="F19" s="5"/>
      <c r="G19" s="5">
        <f>SUM(G13:G16)</f>
        <v>4.4320845460968164E-2</v>
      </c>
      <c r="I19" s="5">
        <f>SUM(I13:I16)</f>
        <v>4.3852279874253455E-2</v>
      </c>
      <c r="J19" s="5"/>
      <c r="K19" s="5">
        <f>SUM(K13:K16)</f>
        <v>4.2855277613753913E-2</v>
      </c>
    </row>
    <row r="23" spans="1:17" x14ac:dyDescent="0.2">
      <c r="A23" s="9" t="s">
        <v>27</v>
      </c>
    </row>
    <row r="24" spans="1:17" x14ac:dyDescent="0.2">
      <c r="A24" s="9"/>
      <c r="B24" s="12" t="s">
        <v>28</v>
      </c>
      <c r="C24" s="12"/>
      <c r="D24" s="12"/>
      <c r="E24" s="12"/>
      <c r="F24" s="12"/>
      <c r="G24" s="12"/>
      <c r="H24" s="13" t="s">
        <v>32</v>
      </c>
      <c r="I24" s="13"/>
      <c r="J24" s="13"/>
      <c r="K24" s="13"/>
      <c r="L24" s="13"/>
      <c r="M24" s="13"/>
      <c r="N24" s="13"/>
      <c r="O24" s="13"/>
    </row>
    <row r="25" spans="1:17" x14ac:dyDescent="0.2">
      <c r="A25" s="9"/>
      <c r="B25" s="2" t="s">
        <v>22</v>
      </c>
      <c r="D25" s="1" t="s">
        <v>29</v>
      </c>
      <c r="F25" s="2" t="s">
        <v>30</v>
      </c>
      <c r="G25"/>
      <c r="H25" s="2" t="s">
        <v>25</v>
      </c>
      <c r="J25" s="1" t="s">
        <v>21</v>
      </c>
      <c r="L25" s="2" t="s">
        <v>24</v>
      </c>
      <c r="M25" s="2"/>
      <c r="N25" s="2" t="s">
        <v>31</v>
      </c>
    </row>
    <row r="26" spans="1:17" x14ac:dyDescent="0.2">
      <c r="B26" s="1" t="s">
        <v>23</v>
      </c>
      <c r="C26" s="1"/>
      <c r="D26" s="1" t="s">
        <v>23</v>
      </c>
      <c r="E26" s="1"/>
      <c r="F26" s="1" t="s">
        <v>23</v>
      </c>
      <c r="G26" s="1"/>
      <c r="H26" s="1"/>
      <c r="I26" s="1"/>
      <c r="J26" s="1" t="s">
        <v>23</v>
      </c>
      <c r="L26" s="1" t="s">
        <v>23</v>
      </c>
      <c r="M26" s="1"/>
      <c r="N26" s="1" t="s">
        <v>23</v>
      </c>
      <c r="Q26" s="1" t="s">
        <v>5</v>
      </c>
    </row>
    <row r="27" spans="1:17" x14ac:dyDescent="0.2">
      <c r="A27" s="4" t="s">
        <v>2</v>
      </c>
      <c r="B27" s="7">
        <v>2.073</v>
      </c>
      <c r="C27" s="6">
        <f>ABS(B27-$Q27)/$Q27</f>
        <v>4.3604651162790194E-3</v>
      </c>
      <c r="D27" s="7">
        <v>2.0739999999999998</v>
      </c>
      <c r="E27" s="6">
        <f>ABS(D27-$Q27)/$Q27</f>
        <v>4.8449612403099742E-3</v>
      </c>
      <c r="F27" s="7">
        <v>2.0649999999999999</v>
      </c>
      <c r="G27" s="6">
        <f>ABS(F27-$Q27)/$Q27</f>
        <v>4.844961240309544E-4</v>
      </c>
      <c r="H27" s="7" t="s">
        <v>26</v>
      </c>
      <c r="I27" s="7" t="s">
        <v>26</v>
      </c>
      <c r="J27">
        <v>2.0670000000000002</v>
      </c>
      <c r="K27" s="6">
        <f>ABS(J27-$Q27)/$Q27</f>
        <v>1.4534883720930783E-3</v>
      </c>
      <c r="L27" s="7">
        <v>2.0670000000000002</v>
      </c>
      <c r="M27" s="6">
        <f>ABS(L27-$Q27)/$Q27</f>
        <v>1.4534883720930783E-3</v>
      </c>
      <c r="Q27" s="7">
        <v>2.0640000000000001</v>
      </c>
    </row>
    <row r="28" spans="1:17" x14ac:dyDescent="0.2">
      <c r="A28" s="4" t="s">
        <v>1</v>
      </c>
      <c r="B28" s="7">
        <v>2.0249999999999999</v>
      </c>
      <c r="C28" s="6">
        <f>ABS(B28-$Q28)/$Q28</f>
        <v>2.1695257315842546E-2</v>
      </c>
      <c r="D28" s="7">
        <v>2.0209999999999999</v>
      </c>
      <c r="E28" s="6">
        <f>ABS(D28-$Q28)/$Q28</f>
        <v>1.9677093844601375E-2</v>
      </c>
      <c r="F28" s="7">
        <v>2.0310000000000001</v>
      </c>
      <c r="G28" s="6">
        <f>ABS(F28-$Q28)/$Q28</f>
        <v>2.4722502522704418E-2</v>
      </c>
      <c r="H28" s="7" t="s">
        <v>26</v>
      </c>
      <c r="I28" s="7" t="s">
        <v>26</v>
      </c>
      <c r="J28">
        <v>2.0329999999999999</v>
      </c>
      <c r="K28" s="6">
        <f>ABS(J28-$Q28)/$Q28</f>
        <v>2.5731584258324891E-2</v>
      </c>
      <c r="L28" s="7">
        <v>2.0329999999999999</v>
      </c>
      <c r="M28" s="6">
        <f>ABS(L28-$Q28)/$Q28</f>
        <v>2.5731584258324891E-2</v>
      </c>
      <c r="Q28" s="7">
        <v>1.982</v>
      </c>
    </row>
    <row r="29" spans="1:17" x14ac:dyDescent="0.2">
      <c r="A29" s="4" t="s">
        <v>3</v>
      </c>
      <c r="B29" s="7">
        <v>2.1120000000000001</v>
      </c>
      <c r="C29" s="6">
        <f>ABS(B29-$Q29)/$Q29</f>
        <v>6.4331665475339849E-3</v>
      </c>
      <c r="D29" s="7">
        <v>2.1080000000000001</v>
      </c>
      <c r="E29" s="6">
        <f>ABS(D29-$Q29)/$Q29</f>
        <v>4.5270431260424418E-3</v>
      </c>
      <c r="F29" s="7">
        <v>2.0870000000000002</v>
      </c>
      <c r="G29" s="6">
        <f>ABS(F29-$Q29)/$Q29</f>
        <v>5.4801048367881071E-3</v>
      </c>
      <c r="H29" s="7" t="s">
        <v>26</v>
      </c>
      <c r="I29" s="7" t="s">
        <v>26</v>
      </c>
      <c r="J29">
        <v>2.0880000000000001</v>
      </c>
      <c r="K29" s="6">
        <f>ABS(J29-$Q29)/$Q29</f>
        <v>5.0035739814152744E-3</v>
      </c>
      <c r="L29" s="7">
        <v>2.0880000000000001</v>
      </c>
      <c r="M29" s="6">
        <f>ABS(L29-$Q29)/$Q29</f>
        <v>5.0035739814152744E-3</v>
      </c>
      <c r="Q29" s="7">
        <f>0.5*(2.108+2.089)</f>
        <v>2.0985</v>
      </c>
    </row>
    <row r="30" spans="1:17" x14ac:dyDescent="0.2">
      <c r="A30" s="4" t="s">
        <v>7</v>
      </c>
      <c r="B30" s="8">
        <v>81.7</v>
      </c>
      <c r="C30" s="6">
        <f>ABS(B30-$Q30)/$Q30</f>
        <v>2.5893065321699678E-3</v>
      </c>
      <c r="D30" s="8">
        <v>81.8</v>
      </c>
      <c r="E30" s="6">
        <f>ABS(D30-$Q30)/$Q30</f>
        <v>3.8164660260893227E-3</v>
      </c>
      <c r="F30" s="8">
        <v>82.6</v>
      </c>
      <c r="G30" s="6">
        <f>ABS(F30-$Q30)/$Q30</f>
        <v>1.3633741977444686E-2</v>
      </c>
      <c r="H30" s="7" t="s">
        <v>26</v>
      </c>
      <c r="I30" s="7" t="s">
        <v>26</v>
      </c>
      <c r="J30">
        <v>82.6</v>
      </c>
      <c r="K30" s="6">
        <f>ABS(J30-$Q30)/$Q30</f>
        <v>1.3633741977444686E-2</v>
      </c>
      <c r="L30" s="8">
        <v>82.6</v>
      </c>
      <c r="M30" s="6">
        <f>ABS(L30-$Q30)/$Q30</f>
        <v>1.3633741977444686E-2</v>
      </c>
      <c r="Q30" s="8">
        <v>81.489000000000004</v>
      </c>
    </row>
    <row r="31" spans="1:17" x14ac:dyDescent="0.2">
      <c r="A31" s="4" t="s">
        <v>6</v>
      </c>
      <c r="B31" s="8">
        <f>180-156.8</f>
        <v>23.199999999999989</v>
      </c>
      <c r="C31" s="3">
        <f>ABS(B31-$Q31)/$Q31</f>
        <v>146.77070063693253</v>
      </c>
      <c r="D31" s="8">
        <f>180-156</f>
        <v>24</v>
      </c>
      <c r="E31" s="3">
        <f>ABS(D31-$Q31)/$Q31</f>
        <v>151.86624203820617</v>
      </c>
      <c r="F31" s="8">
        <f>180-147.9</f>
        <v>32.099999999999994</v>
      </c>
      <c r="G31" s="3">
        <f>ABS(F31-$Q31)/$Q31</f>
        <v>203.45859872610069</v>
      </c>
      <c r="H31" s="7" t="s">
        <v>26</v>
      </c>
      <c r="I31" s="7" t="s">
        <v>26</v>
      </c>
      <c r="J31">
        <f>180-147.9</f>
        <v>32.099999999999994</v>
      </c>
      <c r="K31" s="3">
        <f>ABS(J31-$Q31)/$Q31</f>
        <v>203.45859872610069</v>
      </c>
      <c r="L31" s="8">
        <f>180-147.9</f>
        <v>32.099999999999994</v>
      </c>
      <c r="M31" s="3">
        <f>ABS(L31-$Q31)/$Q31</f>
        <v>203.45859872610069</v>
      </c>
      <c r="Q31" s="8">
        <f>180-179.843</f>
        <v>0.15700000000001069</v>
      </c>
    </row>
    <row r="32" spans="1:17" x14ac:dyDescent="0.2">
      <c r="G32"/>
      <c r="J32"/>
      <c r="K32" s="2"/>
      <c r="L32" s="2"/>
      <c r="M32" s="2"/>
    </row>
    <row r="33" spans="1:13" x14ac:dyDescent="0.2">
      <c r="C33" s="5">
        <f>SUM(C27:C30)</f>
        <v>3.5078195511825519E-2</v>
      </c>
      <c r="D33" s="5"/>
      <c r="E33" s="5">
        <f>SUM(E27:E30)</f>
        <v>3.2865564237043114E-2</v>
      </c>
      <c r="G33" s="5">
        <f>SUM(G27:G30)</f>
        <v>4.4320845460968164E-2</v>
      </c>
      <c r="H33" s="5"/>
      <c r="I33" s="5">
        <f>SUM(I27:I30)</f>
        <v>0</v>
      </c>
      <c r="J33"/>
      <c r="K33" s="5">
        <f>SUM(K27:K30)</f>
        <v>4.5822388589277931E-2</v>
      </c>
      <c r="L33" s="5"/>
      <c r="M33" s="5">
        <f>SUM(M27:M30)</f>
        <v>4.5822388589277931E-2</v>
      </c>
    </row>
    <row r="37" spans="1:13" x14ac:dyDescent="0.2">
      <c r="A37" s="9" t="s">
        <v>39</v>
      </c>
    </row>
    <row r="38" spans="1:13" x14ac:dyDescent="0.2">
      <c r="B38" s="1" t="s">
        <v>38</v>
      </c>
    </row>
    <row r="39" spans="1:13" x14ac:dyDescent="0.2">
      <c r="B39" s="1" t="s">
        <v>23</v>
      </c>
    </row>
    <row r="40" spans="1:13" x14ac:dyDescent="0.2">
      <c r="A40" s="4" t="s">
        <v>2</v>
      </c>
      <c r="B40" s="2">
        <v>2.0659999999999998</v>
      </c>
    </row>
    <row r="41" spans="1:13" x14ac:dyDescent="0.2">
      <c r="A41" s="4" t="s">
        <v>1</v>
      </c>
      <c r="B41" s="2">
        <v>2.02</v>
      </c>
    </row>
    <row r="42" spans="1:13" x14ac:dyDescent="0.2">
      <c r="A42" s="4" t="s">
        <v>3</v>
      </c>
      <c r="B42" s="2">
        <v>2.0920000000000001</v>
      </c>
    </row>
    <row r="43" spans="1:13" x14ac:dyDescent="0.2">
      <c r="A43" s="4" t="s">
        <v>7</v>
      </c>
      <c r="B43" s="2">
        <v>82.3</v>
      </c>
    </row>
    <row r="44" spans="1:13" x14ac:dyDescent="0.2">
      <c r="A44" s="4" t="s">
        <v>6</v>
      </c>
      <c r="B44" s="2">
        <f>180-155.3</f>
        <v>24.699999999999989</v>
      </c>
    </row>
  </sheetData>
  <mergeCells count="3">
    <mergeCell ref="B24:G24"/>
    <mergeCell ref="H24:O24"/>
    <mergeCell ref="B11:K11"/>
  </mergeCells>
  <pageMargins left="0.7" right="0.7" top="0.75" bottom="0.75" header="0.3" footer="0.3"/>
  <pageSetup orientation="portrait" horizontalDpi="1200" verticalDpi="1200" r:id="rId1"/>
  <ignoredErrors>
    <ignoredError sqref="D6 F6 H6 J6:L6 N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9CC-B6D7-094E-B317-5C5CCFAE30FD}">
  <dimension ref="A1:Q49"/>
  <sheetViews>
    <sheetView workbookViewId="0">
      <selection activeCell="H32" sqref="H32"/>
    </sheetView>
  </sheetViews>
  <sheetFormatPr baseColWidth="10" defaultRowHeight="15" x14ac:dyDescent="0.2"/>
  <sheetData>
    <row r="1" spans="1:15" x14ac:dyDescent="0.2">
      <c r="B1" s="4" t="s">
        <v>53</v>
      </c>
      <c r="E1" s="4" t="s">
        <v>56</v>
      </c>
      <c r="F1" s="4" t="s">
        <v>54</v>
      </c>
      <c r="G1" s="4" t="s">
        <v>57</v>
      </c>
      <c r="M1" t="s">
        <v>55</v>
      </c>
    </row>
    <row r="2" spans="1:15" x14ac:dyDescent="0.2">
      <c r="A2" t="s">
        <v>48</v>
      </c>
      <c r="D2" t="s">
        <v>49</v>
      </c>
    </row>
    <row r="3" spans="1:15" x14ac:dyDescent="0.2">
      <c r="A3" t="s">
        <v>40</v>
      </c>
      <c r="B3">
        <v>-25398.8783515</v>
      </c>
      <c r="D3">
        <f>B3+B8</f>
        <v>-519772.39675380004</v>
      </c>
      <c r="E3" t="s">
        <v>50</v>
      </c>
      <c r="F3">
        <f>B6-D3</f>
        <v>-15.30112499993993</v>
      </c>
      <c r="G3">
        <v>1</v>
      </c>
      <c r="H3">
        <f>D3-D3</f>
        <v>0</v>
      </c>
      <c r="K3" s="11"/>
      <c r="O3" s="11"/>
    </row>
    <row r="4" spans="1:15" x14ac:dyDescent="0.2">
      <c r="A4" t="s">
        <v>41</v>
      </c>
      <c r="B4">
        <v>-519775.25177879998</v>
      </c>
      <c r="E4" t="s">
        <v>51</v>
      </c>
      <c r="F4">
        <f>B4-B6</f>
        <v>12.446100000001024</v>
      </c>
      <c r="G4">
        <v>2</v>
      </c>
      <c r="H4">
        <f>B6-D3</f>
        <v>-15.30112499993993</v>
      </c>
    </row>
    <row r="5" spans="1:15" x14ac:dyDescent="0.2">
      <c r="A5" t="s">
        <v>42</v>
      </c>
      <c r="B5">
        <v>-519786.80276539997</v>
      </c>
      <c r="E5" t="s">
        <v>52</v>
      </c>
      <c r="F5">
        <f>B7-B4</f>
        <v>-4.4526799989398569E-2</v>
      </c>
      <c r="G5">
        <v>3</v>
      </c>
      <c r="H5">
        <f>B4-D3</f>
        <v>-2.8550249999389052</v>
      </c>
    </row>
    <row r="6" spans="1:15" x14ac:dyDescent="0.2">
      <c r="A6" t="s">
        <v>43</v>
      </c>
      <c r="B6">
        <v>-519787.69787879998</v>
      </c>
      <c r="G6">
        <v>4</v>
      </c>
      <c r="H6">
        <f>B7-D3</f>
        <v>-2.8995517999283038</v>
      </c>
    </row>
    <row r="7" spans="1:15" x14ac:dyDescent="0.2">
      <c r="A7" t="s">
        <v>44</v>
      </c>
      <c r="B7">
        <v>-519775.29630559997</v>
      </c>
    </row>
    <row r="8" spans="1:15" x14ac:dyDescent="0.2">
      <c r="A8" t="s">
        <v>45</v>
      </c>
      <c r="B8">
        <v>-494373.51840230002</v>
      </c>
    </row>
    <row r="11" spans="1:15" x14ac:dyDescent="0.2">
      <c r="A11" t="s">
        <v>46</v>
      </c>
      <c r="D11" t="s">
        <v>49</v>
      </c>
    </row>
    <row r="12" spans="1:15" x14ac:dyDescent="0.2">
      <c r="A12" t="s">
        <v>40</v>
      </c>
      <c r="B12">
        <v>-25427.1115852</v>
      </c>
      <c r="D12">
        <f>B12+B17</f>
        <v>-520351.35706720001</v>
      </c>
      <c r="E12" t="s">
        <v>50</v>
      </c>
      <c r="F12">
        <f>B15-D12</f>
        <v>-17.844850599998608</v>
      </c>
      <c r="G12">
        <v>1</v>
      </c>
      <c r="H12">
        <f>D12-D12</f>
        <v>0</v>
      </c>
    </row>
    <row r="13" spans="1:15" x14ac:dyDescent="0.2">
      <c r="A13" t="s">
        <v>41</v>
      </c>
      <c r="B13">
        <v>-520354.47526959999</v>
      </c>
      <c r="E13" t="s">
        <v>51</v>
      </c>
      <c r="F13">
        <f>B13-B15</f>
        <v>14.726648200012278</v>
      </c>
      <c r="G13">
        <v>2</v>
      </c>
      <c r="H13">
        <f>B15-D12</f>
        <v>-17.844850599998608</v>
      </c>
    </row>
    <row r="14" spans="1:15" x14ac:dyDescent="0.2">
      <c r="A14" t="s">
        <v>42</v>
      </c>
      <c r="B14">
        <v>-520368.92939290003</v>
      </c>
      <c r="E14" t="s">
        <v>52</v>
      </c>
      <c r="F14">
        <f>B16-B13</f>
        <v>0.81986190000316128</v>
      </c>
      <c r="G14">
        <v>3</v>
      </c>
      <c r="H14">
        <f>B13-D12</f>
        <v>-3.1182023999863304</v>
      </c>
    </row>
    <row r="15" spans="1:15" x14ac:dyDescent="0.2">
      <c r="A15" t="s">
        <v>43</v>
      </c>
      <c r="B15">
        <v>-520369.2019178</v>
      </c>
      <c r="G15">
        <v>4</v>
      </c>
      <c r="H15">
        <f>B16-D12</f>
        <v>-2.2983404999831691</v>
      </c>
    </row>
    <row r="16" spans="1:15" x14ac:dyDescent="0.2">
      <c r="A16" t="s">
        <v>44</v>
      </c>
      <c r="B16">
        <v>-520353.65540769999</v>
      </c>
    </row>
    <row r="17" spans="1:17" x14ac:dyDescent="0.2">
      <c r="A17" t="s">
        <v>45</v>
      </c>
      <c r="B17">
        <v>-494924.245482</v>
      </c>
    </row>
    <row r="19" spans="1:17" x14ac:dyDescent="0.2">
      <c r="A19" t="s">
        <v>47</v>
      </c>
      <c r="D19" t="s">
        <v>49</v>
      </c>
    </row>
    <row r="20" spans="1:17" x14ac:dyDescent="0.2">
      <c r="A20" t="s">
        <v>40</v>
      </c>
      <c r="B20">
        <v>-25425.735514399999</v>
      </c>
      <c r="D20">
        <f>B20+B25</f>
        <v>-520351.23005210003</v>
      </c>
      <c r="E20" t="s">
        <v>50</v>
      </c>
      <c r="F20">
        <f>B23-D20</f>
        <v>-16.857903399970382</v>
      </c>
      <c r="G20">
        <v>1</v>
      </c>
      <c r="H20">
        <f>D20-D20</f>
        <v>0</v>
      </c>
    </row>
    <row r="21" spans="1:17" x14ac:dyDescent="0.2">
      <c r="A21" t="s">
        <v>41</v>
      </c>
      <c r="B21">
        <v>-520351.97292620002</v>
      </c>
      <c r="E21" t="s">
        <v>51</v>
      </c>
      <c r="F21">
        <f>B21-B23</f>
        <v>16.115029299980961</v>
      </c>
      <c r="G21">
        <v>2</v>
      </c>
      <c r="H21">
        <f>B23-D20</f>
        <v>-16.857903399970382</v>
      </c>
    </row>
    <row r="22" spans="1:17" x14ac:dyDescent="0.2">
      <c r="A22" t="s">
        <v>42</v>
      </c>
      <c r="B22">
        <v>-520367.47516989999</v>
      </c>
      <c r="E22" t="s">
        <v>52</v>
      </c>
      <c r="F22">
        <f>B24-B21</f>
        <v>1.0529119000420906</v>
      </c>
      <c r="G22">
        <v>3</v>
      </c>
      <c r="H22">
        <f>B21-D20</f>
        <v>-0.74287409998942167</v>
      </c>
    </row>
    <row r="23" spans="1:17" x14ac:dyDescent="0.2">
      <c r="A23" t="s">
        <v>43</v>
      </c>
      <c r="B23">
        <v>-520368.0879555</v>
      </c>
      <c r="G23">
        <v>4</v>
      </c>
      <c r="H23">
        <f>B24-D20</f>
        <v>0.3100378000526689</v>
      </c>
    </row>
    <row r="24" spans="1:17" x14ac:dyDescent="0.2">
      <c r="A24" t="s">
        <v>44</v>
      </c>
      <c r="B24">
        <v>-520350.92001429998</v>
      </c>
    </row>
    <row r="25" spans="1:17" x14ac:dyDescent="0.2">
      <c r="A25" t="s">
        <v>45</v>
      </c>
      <c r="B25">
        <v>-494925.49453770003</v>
      </c>
    </row>
    <row r="27" spans="1:17" x14ac:dyDescent="0.2">
      <c r="A27" t="s">
        <v>58</v>
      </c>
      <c r="D27" t="s">
        <v>49</v>
      </c>
    </row>
    <row r="28" spans="1:17" x14ac:dyDescent="0.2">
      <c r="A28" t="s">
        <v>40</v>
      </c>
      <c r="B28">
        <v>-25364.946893799999</v>
      </c>
      <c r="D28">
        <f>B28+B33</f>
        <v>-519187.04162759997</v>
      </c>
      <c r="E28" t="s">
        <v>50</v>
      </c>
      <c r="F28">
        <f>B31-D28</f>
        <v>-15.234006100043189</v>
      </c>
      <c r="G28">
        <v>1</v>
      </c>
      <c r="H28">
        <f>D28-D28</f>
        <v>0</v>
      </c>
    </row>
    <row r="29" spans="1:17" x14ac:dyDescent="0.2">
      <c r="A29" t="s">
        <v>41</v>
      </c>
      <c r="B29">
        <v>-519187.18700159999</v>
      </c>
      <c r="E29" t="s">
        <v>51</v>
      </c>
      <c r="F29">
        <f>B29-B31</f>
        <v>15.088632100028917</v>
      </c>
      <c r="G29">
        <v>2</v>
      </c>
      <c r="H29">
        <f>B31-D28</f>
        <v>-15.234006100043189</v>
      </c>
    </row>
    <row r="30" spans="1:17" x14ac:dyDescent="0.2">
      <c r="A30" t="s">
        <v>42</v>
      </c>
      <c r="B30">
        <v>-519201.67615319998</v>
      </c>
      <c r="E30" t="s">
        <v>52</v>
      </c>
      <c r="F30">
        <f>B32-B29</f>
        <v>0.1030200999812223</v>
      </c>
      <c r="G30">
        <v>3</v>
      </c>
      <c r="H30">
        <f>B29-D28</f>
        <v>-0.14537400001427159</v>
      </c>
      <c r="J30">
        <v>1</v>
      </c>
      <c r="L30">
        <v>2</v>
      </c>
      <c r="O30">
        <v>3</v>
      </c>
      <c r="Q30">
        <v>4</v>
      </c>
    </row>
    <row r="31" spans="1:17" x14ac:dyDescent="0.2">
      <c r="A31" t="s">
        <v>43</v>
      </c>
      <c r="B31">
        <v>-519202.27563370002</v>
      </c>
      <c r="G31">
        <v>4</v>
      </c>
      <c r="H31">
        <f>B32-D28</f>
        <v>-4.2353900033049285E-2</v>
      </c>
    </row>
    <row r="32" spans="1:17" x14ac:dyDescent="0.2">
      <c r="A32" t="s">
        <v>44</v>
      </c>
      <c r="B32">
        <v>-519187.08398150001</v>
      </c>
    </row>
    <row r="33" spans="1:8" x14ac:dyDescent="0.2">
      <c r="A33" t="s">
        <v>45</v>
      </c>
      <c r="B33">
        <v>-493822.09473379998</v>
      </c>
    </row>
    <row r="35" spans="1:8" x14ac:dyDescent="0.2">
      <c r="A35" t="s">
        <v>65</v>
      </c>
      <c r="D35" t="s">
        <v>49</v>
      </c>
    </row>
    <row r="36" spans="1:8" x14ac:dyDescent="0.2">
      <c r="A36" t="s">
        <v>40</v>
      </c>
      <c r="B36">
        <v>-25398.095147799999</v>
      </c>
      <c r="D36">
        <f>B36+B41</f>
        <v>-519765.84169600002</v>
      </c>
      <c r="E36" t="s">
        <v>50</v>
      </c>
      <c r="F36">
        <f>B39-D36</f>
        <v>-15.072530000004917</v>
      </c>
      <c r="G36">
        <v>1</v>
      </c>
      <c r="H36">
        <f>D36-D36</f>
        <v>0</v>
      </c>
    </row>
    <row r="37" spans="1:8" x14ac:dyDescent="0.2">
      <c r="A37" t="s">
        <v>41</v>
      </c>
      <c r="B37">
        <v>-519768.50312780001</v>
      </c>
      <c r="E37" t="s">
        <v>51</v>
      </c>
      <c r="F37">
        <f>B37-B39</f>
        <v>12.41109820001293</v>
      </c>
      <c r="G37">
        <v>2</v>
      </c>
      <c r="H37">
        <f>B39-D36</f>
        <v>-15.072530000004917</v>
      </c>
    </row>
    <row r="38" spans="1:8" x14ac:dyDescent="0.2">
      <c r="A38" t="s">
        <v>42</v>
      </c>
      <c r="B38">
        <v>-519779.86928400001</v>
      </c>
      <c r="E38" t="s">
        <v>52</v>
      </c>
      <c r="F38">
        <f>B40-B37</f>
        <v>-0.1564432000159286</v>
      </c>
      <c r="G38">
        <v>3</v>
      </c>
      <c r="H38">
        <f>B37-D36</f>
        <v>-2.6614317999919876</v>
      </c>
    </row>
    <row r="39" spans="1:8" x14ac:dyDescent="0.2">
      <c r="A39" t="s">
        <v>43</v>
      </c>
      <c r="B39">
        <v>-519780.91422600002</v>
      </c>
      <c r="G39">
        <v>4</v>
      </c>
      <c r="H39">
        <f>B40-D36</f>
        <v>-2.8178750000079162</v>
      </c>
    </row>
    <row r="40" spans="1:8" x14ac:dyDescent="0.2">
      <c r="A40" t="s">
        <v>44</v>
      </c>
      <c r="B40">
        <v>-519768.65957100003</v>
      </c>
    </row>
    <row r="41" spans="1:8" x14ac:dyDescent="0.2">
      <c r="A41" t="s">
        <v>45</v>
      </c>
      <c r="B41">
        <v>-494367.74654820003</v>
      </c>
    </row>
    <row r="43" spans="1:8" x14ac:dyDescent="0.2">
      <c r="A43" t="s">
        <v>66</v>
      </c>
    </row>
    <row r="44" spans="1:8" x14ac:dyDescent="0.2">
      <c r="A44" t="s">
        <v>59</v>
      </c>
      <c r="B44" t="s">
        <v>67</v>
      </c>
    </row>
    <row r="45" spans="1:8" x14ac:dyDescent="0.2">
      <c r="A45" t="s">
        <v>60</v>
      </c>
      <c r="B45" t="s">
        <v>68</v>
      </c>
    </row>
    <row r="46" spans="1:8" x14ac:dyDescent="0.2">
      <c r="A46" t="s">
        <v>61</v>
      </c>
      <c r="B46" t="s">
        <v>69</v>
      </c>
    </row>
    <row r="47" spans="1:8" x14ac:dyDescent="0.2">
      <c r="A47" t="s">
        <v>62</v>
      </c>
      <c r="B47" t="s">
        <v>70</v>
      </c>
    </row>
    <row r="48" spans="1:8" x14ac:dyDescent="0.2">
      <c r="A48" t="s">
        <v>63</v>
      </c>
      <c r="B48" t="s">
        <v>71</v>
      </c>
    </row>
    <row r="49" spans="1:2" x14ac:dyDescent="0.2">
      <c r="A49" t="s">
        <v>64</v>
      </c>
      <c r="B49" t="s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349E-59F6-EE43-9642-3BA6E0966914}">
  <dimension ref="A1:N68"/>
  <sheetViews>
    <sheetView tabSelected="1" zoomScale="150" workbookViewId="0">
      <selection activeCell="E11" sqref="E11"/>
    </sheetView>
  </sheetViews>
  <sheetFormatPr baseColWidth="10" defaultRowHeight="15" x14ac:dyDescent="0.2"/>
  <cols>
    <col min="5" max="5" width="23.1640625" customWidth="1"/>
    <col min="9" max="9" width="11.83203125" bestFit="1" customWidth="1"/>
  </cols>
  <sheetData>
    <row r="1" spans="1:14" ht="26" x14ac:dyDescent="0.3">
      <c r="B1" t="s">
        <v>78</v>
      </c>
      <c r="C1">
        <v>627.5</v>
      </c>
      <c r="E1" s="17" t="s">
        <v>190</v>
      </c>
    </row>
    <row r="4" spans="1:14" ht="32" x14ac:dyDescent="0.2">
      <c r="A4" s="4" t="s">
        <v>105</v>
      </c>
      <c r="B4" s="4" t="s">
        <v>94</v>
      </c>
      <c r="C4" s="4" t="s">
        <v>102</v>
      </c>
      <c r="D4" s="16" t="s">
        <v>103</v>
      </c>
      <c r="E4" s="4" t="s">
        <v>104</v>
      </c>
      <c r="F4" s="4" t="s">
        <v>75</v>
      </c>
      <c r="G4" s="4" t="s">
        <v>76</v>
      </c>
      <c r="L4" s="4" t="s">
        <v>77</v>
      </c>
    </row>
    <row r="5" spans="1:14" x14ac:dyDescent="0.2">
      <c r="A5" s="14" t="s">
        <v>85</v>
      </c>
      <c r="B5" t="s">
        <v>73</v>
      </c>
      <c r="C5" t="s">
        <v>74</v>
      </c>
      <c r="D5" t="s">
        <v>106</v>
      </c>
      <c r="F5">
        <v>-829.07832440000004</v>
      </c>
      <c r="G5">
        <f t="shared" ref="G5:G10" si="0">F5*$C$1</f>
        <v>-520246.64856100001</v>
      </c>
      <c r="J5" t="s">
        <v>73</v>
      </c>
      <c r="K5" t="s">
        <v>81</v>
      </c>
      <c r="L5" s="4">
        <f>G5-G6</f>
        <v>-14.943787000025623</v>
      </c>
      <c r="N5" t="s">
        <v>112</v>
      </c>
    </row>
    <row r="6" spans="1:14" x14ac:dyDescent="0.2">
      <c r="A6" s="14"/>
      <c r="B6" t="s">
        <v>79</v>
      </c>
      <c r="C6" t="s">
        <v>74</v>
      </c>
      <c r="D6" t="s">
        <v>107</v>
      </c>
      <c r="F6">
        <v>-829.05450959999996</v>
      </c>
      <c r="G6">
        <f t="shared" si="0"/>
        <v>-520231.70477399998</v>
      </c>
      <c r="K6" t="s">
        <v>82</v>
      </c>
      <c r="L6">
        <f>G5-G7</f>
        <v>-23.931218500016257</v>
      </c>
    </row>
    <row r="7" spans="1:14" x14ac:dyDescent="0.2">
      <c r="A7" s="14"/>
      <c r="B7" t="s">
        <v>80</v>
      </c>
      <c r="C7" t="s">
        <v>74</v>
      </c>
      <c r="F7">
        <v>-829.04018699999995</v>
      </c>
      <c r="G7">
        <f t="shared" si="0"/>
        <v>-520222.71734249999</v>
      </c>
      <c r="K7" t="s">
        <v>110</v>
      </c>
      <c r="L7" s="4">
        <f>G5-G8</f>
        <v>-34.307370249996893</v>
      </c>
      <c r="N7" t="s">
        <v>112</v>
      </c>
    </row>
    <row r="8" spans="1:14" x14ac:dyDescent="0.2">
      <c r="A8" s="14"/>
      <c r="B8" t="s">
        <v>83</v>
      </c>
      <c r="C8" t="s">
        <v>108</v>
      </c>
      <c r="D8" t="s">
        <v>111</v>
      </c>
      <c r="E8" t="s">
        <v>109</v>
      </c>
      <c r="F8">
        <v>-829.02365129999998</v>
      </c>
      <c r="G8">
        <f t="shared" si="0"/>
        <v>-520212.34119075001</v>
      </c>
    </row>
    <row r="9" spans="1:14" x14ac:dyDescent="0.2">
      <c r="A9" s="14"/>
      <c r="B9" t="s">
        <v>84</v>
      </c>
      <c r="F9">
        <v>-40.493693999999998</v>
      </c>
      <c r="G9">
        <f t="shared" si="0"/>
        <v>-25409.792985</v>
      </c>
    </row>
    <row r="10" spans="1:14" x14ac:dyDescent="0.2">
      <c r="A10" s="14"/>
      <c r="B10" t="s">
        <v>85</v>
      </c>
      <c r="F10">
        <v>-788.57151009999995</v>
      </c>
      <c r="G10">
        <f t="shared" si="0"/>
        <v>-494828.62258774997</v>
      </c>
    </row>
    <row r="14" spans="1:14" x14ac:dyDescent="0.2">
      <c r="A14" t="s">
        <v>113</v>
      </c>
      <c r="B14" t="s">
        <v>73</v>
      </c>
      <c r="C14" t="s">
        <v>74</v>
      </c>
      <c r="D14" t="s">
        <v>106</v>
      </c>
      <c r="F14">
        <v>-829.07832440000004</v>
      </c>
      <c r="G14">
        <f t="shared" ref="G14:G16" si="1">F14*$C$1</f>
        <v>-520246.64856100001</v>
      </c>
      <c r="J14" t="s">
        <v>114</v>
      </c>
      <c r="K14" t="s">
        <v>118</v>
      </c>
      <c r="L14" s="4">
        <f>G15-G16</f>
        <v>17.039448750030715</v>
      </c>
      <c r="N14" t="s">
        <v>119</v>
      </c>
    </row>
    <row r="15" spans="1:14" x14ac:dyDescent="0.2">
      <c r="B15" t="s">
        <v>114</v>
      </c>
      <c r="C15" t="s">
        <v>74</v>
      </c>
      <c r="D15" t="s">
        <v>115</v>
      </c>
      <c r="F15">
        <v>-829.45311579999998</v>
      </c>
      <c r="G15">
        <f t="shared" si="1"/>
        <v>-520481.83016449999</v>
      </c>
    </row>
    <row r="16" spans="1:14" x14ac:dyDescent="0.2">
      <c r="B16" t="s">
        <v>116</v>
      </c>
      <c r="C16" t="s">
        <v>74</v>
      </c>
      <c r="D16" t="s">
        <v>117</v>
      </c>
      <c r="F16">
        <v>-829.48027030000003</v>
      </c>
      <c r="G16">
        <f t="shared" si="1"/>
        <v>-520498.86961325002</v>
      </c>
    </row>
    <row r="19" spans="1:12" x14ac:dyDescent="0.2">
      <c r="A19" t="s">
        <v>100</v>
      </c>
      <c r="B19" t="s">
        <v>100</v>
      </c>
      <c r="C19" t="s">
        <v>74</v>
      </c>
      <c r="D19" t="s">
        <v>121</v>
      </c>
      <c r="F19">
        <v>-773.70348879999995</v>
      </c>
      <c r="G19">
        <f t="shared" ref="G19:G20" si="2">F19*$C$1</f>
        <v>-485498.93922199996</v>
      </c>
      <c r="H19">
        <f>G19+G20</f>
        <v>-510908.73220699996</v>
      </c>
      <c r="J19" t="s">
        <v>99</v>
      </c>
      <c r="K19" t="s">
        <v>123</v>
      </c>
      <c r="L19" s="4">
        <f>G21-(G19+G20)</f>
        <v>-12.382645750069059</v>
      </c>
    </row>
    <row r="20" spans="1:12" x14ac:dyDescent="0.2">
      <c r="B20" t="s">
        <v>120</v>
      </c>
      <c r="C20" t="s">
        <v>74</v>
      </c>
      <c r="F20">
        <v>-40.493693999999998</v>
      </c>
      <c r="G20">
        <f t="shared" si="2"/>
        <v>-25409.792985</v>
      </c>
    </row>
    <row r="21" spans="1:12" x14ac:dyDescent="0.2">
      <c r="B21" t="s">
        <v>99</v>
      </c>
      <c r="C21" t="s">
        <v>74</v>
      </c>
      <c r="D21" t="s">
        <v>122</v>
      </c>
      <c r="E21" t="s">
        <v>130</v>
      </c>
      <c r="F21">
        <v>-814.21691610000005</v>
      </c>
      <c r="G21">
        <f t="shared" ref="G21:G24" si="3">F21*$C$1</f>
        <v>-510921.11485275003</v>
      </c>
      <c r="J21" t="s">
        <v>99</v>
      </c>
      <c r="K21" t="s">
        <v>131</v>
      </c>
      <c r="L21">
        <f>G21-G22</f>
        <v>-25.97429575008573</v>
      </c>
    </row>
    <row r="22" spans="1:12" x14ac:dyDescent="0.2">
      <c r="B22" t="s">
        <v>98</v>
      </c>
      <c r="C22" t="s">
        <v>74</v>
      </c>
      <c r="F22">
        <v>-814.17552279999995</v>
      </c>
      <c r="G22">
        <f t="shared" si="3"/>
        <v>-510895.14055699995</v>
      </c>
    </row>
    <row r="23" spans="1:12" x14ac:dyDescent="0.2">
      <c r="B23" t="s">
        <v>143</v>
      </c>
      <c r="C23" t="s">
        <v>74</v>
      </c>
      <c r="F23">
        <v>-814.19982719999996</v>
      </c>
      <c r="G23">
        <f t="shared" si="3"/>
        <v>-510910.39156799996</v>
      </c>
      <c r="J23" t="s">
        <v>143</v>
      </c>
      <c r="K23" t="s">
        <v>123</v>
      </c>
      <c r="L23">
        <f>G23-(G19+G20)</f>
        <v>-1.6593609999981709</v>
      </c>
    </row>
    <row r="24" spans="1:12" x14ac:dyDescent="0.2">
      <c r="C24" t="s">
        <v>108</v>
      </c>
      <c r="F24">
        <v>-814.19931640000004</v>
      </c>
      <c r="G24">
        <f t="shared" si="3"/>
        <v>-510910.07104100002</v>
      </c>
      <c r="J24" t="s">
        <v>108</v>
      </c>
      <c r="K24" t="s">
        <v>123</v>
      </c>
      <c r="L24">
        <f>G24-(G19+G20)</f>
        <v>-1.3388340000528842</v>
      </c>
    </row>
    <row r="26" spans="1:12" x14ac:dyDescent="0.2">
      <c r="A26" t="s">
        <v>124</v>
      </c>
      <c r="B26" t="s">
        <v>124</v>
      </c>
      <c r="C26" t="s">
        <v>74</v>
      </c>
      <c r="D26" t="s">
        <v>126</v>
      </c>
      <c r="F26">
        <v>-682.39695429999995</v>
      </c>
      <c r="G26">
        <f t="shared" ref="G26:G30" si="4">F26*$C$1</f>
        <v>-428204.08882324997</v>
      </c>
      <c r="H26">
        <f>G26+G27</f>
        <v>-453613.88180824998</v>
      </c>
      <c r="J26" t="s">
        <v>125</v>
      </c>
      <c r="K26" t="s">
        <v>128</v>
      </c>
      <c r="L26" s="4">
        <f>G28-(G26+G27)</f>
        <v>4.1308952499530278</v>
      </c>
    </row>
    <row r="27" spans="1:12" x14ac:dyDescent="0.2">
      <c r="B27" t="s">
        <v>120</v>
      </c>
      <c r="C27" t="s">
        <v>74</v>
      </c>
      <c r="F27">
        <v>-40.493693999999998</v>
      </c>
      <c r="G27">
        <f t="shared" si="4"/>
        <v>-25409.792985</v>
      </c>
    </row>
    <row r="28" spans="1:12" x14ac:dyDescent="0.2">
      <c r="B28" t="s">
        <v>125</v>
      </c>
      <c r="C28" t="s">
        <v>74</v>
      </c>
      <c r="D28" t="s">
        <v>127</v>
      </c>
      <c r="E28" t="s">
        <v>129</v>
      </c>
      <c r="F28">
        <v>-722.88406520000001</v>
      </c>
      <c r="G28">
        <f t="shared" si="4"/>
        <v>-453609.75091300003</v>
      </c>
    </row>
    <row r="29" spans="1:12" x14ac:dyDescent="0.2">
      <c r="B29" t="s">
        <v>144</v>
      </c>
      <c r="C29" t="s">
        <v>74</v>
      </c>
      <c r="F29">
        <v>-722.88397869999994</v>
      </c>
      <c r="G29">
        <f t="shared" si="4"/>
        <v>-453609.69663424994</v>
      </c>
      <c r="J29" t="s">
        <v>144</v>
      </c>
      <c r="K29" t="s">
        <v>128</v>
      </c>
      <c r="L29">
        <f>G29-(G26+G27)</f>
        <v>4.185174000042025</v>
      </c>
    </row>
    <row r="30" spans="1:12" x14ac:dyDescent="0.2">
      <c r="C30" t="s">
        <v>108</v>
      </c>
      <c r="F30">
        <v>-722.8678003</v>
      </c>
      <c r="G30">
        <f t="shared" si="4"/>
        <v>-453599.54468825</v>
      </c>
      <c r="J30" t="s">
        <v>108</v>
      </c>
      <c r="K30" t="s">
        <v>128</v>
      </c>
      <c r="L30">
        <f>G30-(G26+G27)</f>
        <v>14.337119999981951</v>
      </c>
    </row>
    <row r="32" spans="1:12" x14ac:dyDescent="0.2">
      <c r="A32" t="s">
        <v>93</v>
      </c>
      <c r="B32" t="s">
        <v>93</v>
      </c>
      <c r="C32" t="s">
        <v>74</v>
      </c>
      <c r="D32" t="s">
        <v>132</v>
      </c>
      <c r="F32">
        <v>-779.90738520000002</v>
      </c>
      <c r="G32">
        <f t="shared" ref="G32:G37" si="5">F32*$C$1</f>
        <v>-489391.88421300001</v>
      </c>
      <c r="H32">
        <f>G32+G33</f>
        <v>-514801.67719800002</v>
      </c>
      <c r="J32" t="s">
        <v>101</v>
      </c>
      <c r="K32" t="s">
        <v>141</v>
      </c>
      <c r="L32" s="4">
        <f>G34-(G32+G33)</f>
        <v>6.1805612499592826</v>
      </c>
    </row>
    <row r="33" spans="1:12" x14ac:dyDescent="0.2">
      <c r="B33" t="s">
        <v>120</v>
      </c>
      <c r="C33" t="s">
        <v>74</v>
      </c>
      <c r="F33">
        <v>-40.493693999999998</v>
      </c>
      <c r="G33">
        <f t="shared" si="5"/>
        <v>-25409.792985</v>
      </c>
    </row>
    <row r="34" spans="1:12" x14ac:dyDescent="0.2">
      <c r="B34" t="s">
        <v>101</v>
      </c>
      <c r="C34" t="s">
        <v>74</v>
      </c>
      <c r="D34" t="s">
        <v>133</v>
      </c>
      <c r="F34">
        <v>-820.39122970000005</v>
      </c>
      <c r="G34">
        <f t="shared" si="5"/>
        <v>-514795.49663675006</v>
      </c>
      <c r="J34" t="s">
        <v>101</v>
      </c>
      <c r="K34" t="s">
        <v>140</v>
      </c>
      <c r="L34">
        <f>G34-G35</f>
        <v>-15.324177500093356</v>
      </c>
    </row>
    <row r="35" spans="1:12" x14ac:dyDescent="0.2">
      <c r="B35" t="s">
        <v>134</v>
      </c>
      <c r="C35" t="s">
        <v>74</v>
      </c>
      <c r="F35">
        <v>-820.36680869999998</v>
      </c>
      <c r="G35">
        <f t="shared" si="5"/>
        <v>-514780.17245924997</v>
      </c>
    </row>
    <row r="36" spans="1:12" x14ac:dyDescent="0.2">
      <c r="B36" t="s">
        <v>145</v>
      </c>
      <c r="C36" t="s">
        <v>74</v>
      </c>
      <c r="F36">
        <v>-820.40158670000005</v>
      </c>
      <c r="G36">
        <f t="shared" si="5"/>
        <v>-514801.99565425003</v>
      </c>
      <c r="J36" t="s">
        <v>145</v>
      </c>
      <c r="K36" t="s">
        <v>141</v>
      </c>
      <c r="L36">
        <f>G36-(G32+G33)</f>
        <v>-0.31845625001005828</v>
      </c>
    </row>
    <row r="37" spans="1:12" x14ac:dyDescent="0.2">
      <c r="C37" t="s">
        <v>108</v>
      </c>
      <c r="F37">
        <v>-820.38678319999997</v>
      </c>
      <c r="G37">
        <f t="shared" si="5"/>
        <v>-514792.706458</v>
      </c>
      <c r="J37" t="s">
        <v>108</v>
      </c>
      <c r="K37" t="s">
        <v>141</v>
      </c>
      <c r="L37">
        <f>G37-(G32+G33)</f>
        <v>8.97074000001885</v>
      </c>
    </row>
    <row r="39" spans="1:12" x14ac:dyDescent="0.2">
      <c r="A39" t="s">
        <v>90</v>
      </c>
      <c r="B39" t="s">
        <v>90</v>
      </c>
      <c r="C39" t="s">
        <v>74</v>
      </c>
      <c r="D39" t="s">
        <v>135</v>
      </c>
      <c r="F39">
        <v>-688.58890610000003</v>
      </c>
      <c r="G39">
        <f t="shared" ref="G39:G43" si="6">F39*$C$1</f>
        <v>-432089.53857775003</v>
      </c>
      <c r="H39">
        <f>G39+G40</f>
        <v>-457499.33156275004</v>
      </c>
      <c r="J39" t="s">
        <v>137</v>
      </c>
      <c r="K39" t="s">
        <v>142</v>
      </c>
      <c r="L39" s="4">
        <f>G41-(G39+G40)</f>
        <v>18.083232250064611</v>
      </c>
    </row>
    <row r="40" spans="1:12" x14ac:dyDescent="0.2">
      <c r="B40" t="s">
        <v>120</v>
      </c>
      <c r="C40" t="s">
        <v>74</v>
      </c>
      <c r="F40">
        <v>-40.493693999999998</v>
      </c>
      <c r="G40">
        <f t="shared" si="6"/>
        <v>-25409.792985</v>
      </c>
    </row>
    <row r="41" spans="1:12" x14ac:dyDescent="0.2">
      <c r="B41" t="s">
        <v>137</v>
      </c>
      <c r="C41" t="s">
        <v>74</v>
      </c>
      <c r="D41" t="s">
        <v>136</v>
      </c>
      <c r="F41">
        <v>-729.0537822</v>
      </c>
      <c r="G41">
        <f t="shared" si="6"/>
        <v>-457481.24833049998</v>
      </c>
    </row>
    <row r="42" spans="1:12" x14ac:dyDescent="0.2">
      <c r="B42" t="s">
        <v>144</v>
      </c>
      <c r="C42" t="s">
        <v>74</v>
      </c>
      <c r="F42">
        <v>-729.0771403</v>
      </c>
      <c r="G42">
        <f t="shared" si="6"/>
        <v>-457495.90553824999</v>
      </c>
      <c r="J42" t="s">
        <v>146</v>
      </c>
      <c r="K42" t="s">
        <v>142</v>
      </c>
      <c r="L42">
        <f>G42-(G39+G40)</f>
        <v>3.426024500047788</v>
      </c>
    </row>
    <row r="43" spans="1:12" x14ac:dyDescent="0.2">
      <c r="C43" t="s">
        <v>108</v>
      </c>
      <c r="F43">
        <v>-729.04722140000001</v>
      </c>
      <c r="G43">
        <f t="shared" si="6"/>
        <v>-457477.1314285</v>
      </c>
      <c r="J43" t="s">
        <v>108</v>
      </c>
      <c r="K43" t="s">
        <v>142</v>
      </c>
      <c r="L43">
        <f>G43-(G39+G40)</f>
        <v>22.200134250044357</v>
      </c>
    </row>
    <row r="46" spans="1:12" x14ac:dyDescent="0.2">
      <c r="J46" t="s">
        <v>168</v>
      </c>
      <c r="L46">
        <f>L26-L19</f>
        <v>16.513541000022087</v>
      </c>
    </row>
    <row r="47" spans="1:12" x14ac:dyDescent="0.2">
      <c r="J47" t="s">
        <v>169</v>
      </c>
      <c r="L47">
        <f>L39-L32</f>
        <v>11.902671000105329</v>
      </c>
    </row>
    <row r="48" spans="1:12" x14ac:dyDescent="0.2">
      <c r="J48" t="s">
        <v>138</v>
      </c>
      <c r="L48">
        <f>L26-L39</f>
        <v>-13.952337000111584</v>
      </c>
    </row>
    <row r="49" spans="1:12" x14ac:dyDescent="0.2">
      <c r="J49" t="s">
        <v>139</v>
      </c>
      <c r="L49">
        <f>L19-L32</f>
        <v>-18.563207000028342</v>
      </c>
    </row>
    <row r="51" spans="1:12" x14ac:dyDescent="0.2">
      <c r="A51" s="4" t="s">
        <v>150</v>
      </c>
    </row>
    <row r="52" spans="1:12" x14ac:dyDescent="0.2">
      <c r="A52" t="s">
        <v>147</v>
      </c>
      <c r="B52" t="s">
        <v>147</v>
      </c>
      <c r="D52" t="s">
        <v>160</v>
      </c>
      <c r="F52">
        <v>-828.27438659999996</v>
      </c>
      <c r="G52">
        <f t="shared" ref="G52:G53" si="7">F52*$C$1</f>
        <v>-519742.17759149999</v>
      </c>
      <c r="J52" t="s">
        <v>155</v>
      </c>
      <c r="K52" t="s">
        <v>156</v>
      </c>
      <c r="L52" s="4">
        <f>G54-(G52+G53)</f>
        <v>29.990546749904752</v>
      </c>
    </row>
    <row r="53" spans="1:12" x14ac:dyDescent="0.2">
      <c r="B53" t="s">
        <v>149</v>
      </c>
      <c r="F53">
        <v>-79.783580200000003</v>
      </c>
      <c r="G53">
        <f t="shared" si="7"/>
        <v>-50064.196575499998</v>
      </c>
      <c r="J53" t="s">
        <v>161</v>
      </c>
      <c r="K53" t="s">
        <v>167</v>
      </c>
      <c r="L53">
        <f>G55-G54</f>
        <v>-18.64070324995555</v>
      </c>
    </row>
    <row r="54" spans="1:12" x14ac:dyDescent="0.2">
      <c r="B54" t="s">
        <v>148</v>
      </c>
      <c r="C54" t="s">
        <v>74</v>
      </c>
      <c r="D54" t="s">
        <v>159</v>
      </c>
      <c r="F54">
        <v>-908.01017309999997</v>
      </c>
      <c r="G54">
        <f t="shared" ref="G54:G57" si="8">F54*$C$1</f>
        <v>-569776.38362025004</v>
      </c>
    </row>
    <row r="55" spans="1:12" x14ac:dyDescent="0.2">
      <c r="B55" t="s">
        <v>154</v>
      </c>
      <c r="C55" t="s">
        <v>74</v>
      </c>
      <c r="F55">
        <v>-908.03987940000002</v>
      </c>
      <c r="G55">
        <f t="shared" si="8"/>
        <v>-569795.02432349999</v>
      </c>
      <c r="J55" t="s">
        <v>161</v>
      </c>
      <c r="K55" t="s">
        <v>156</v>
      </c>
      <c r="L55">
        <f>G55-(G52+G53)</f>
        <v>11.349843499949202</v>
      </c>
    </row>
    <row r="56" spans="1:12" x14ac:dyDescent="0.2">
      <c r="B56" t="s">
        <v>157</v>
      </c>
      <c r="C56" t="s">
        <v>74</v>
      </c>
      <c r="D56" t="s">
        <v>158</v>
      </c>
      <c r="F56">
        <v>-868.35086320000005</v>
      </c>
      <c r="G56">
        <f t="shared" si="8"/>
        <v>-544890.16665799997</v>
      </c>
    </row>
    <row r="57" spans="1:12" x14ac:dyDescent="0.2">
      <c r="C57" t="s">
        <v>108</v>
      </c>
      <c r="F57">
        <v>-907.98595049999994</v>
      </c>
      <c r="G57">
        <f t="shared" si="8"/>
        <v>-569761.18393874995</v>
      </c>
      <c r="J57" t="s">
        <v>108</v>
      </c>
      <c r="K57" t="s">
        <v>167</v>
      </c>
      <c r="L57">
        <f>G57-G54</f>
        <v>15.199681500089355</v>
      </c>
    </row>
    <row r="59" spans="1:12" x14ac:dyDescent="0.2">
      <c r="A59" t="s">
        <v>151</v>
      </c>
      <c r="B59" t="s">
        <v>151</v>
      </c>
      <c r="F59">
        <v>-697.29119590000005</v>
      </c>
      <c r="G59">
        <f t="shared" ref="G59:G62" si="9">F59*$C$1</f>
        <v>-437550.22542725003</v>
      </c>
    </row>
    <row r="60" spans="1:12" x14ac:dyDescent="0.2">
      <c r="B60" t="s">
        <v>149</v>
      </c>
      <c r="F60">
        <v>-79.783580200000003</v>
      </c>
      <c r="G60">
        <f t="shared" si="9"/>
        <v>-50064.196575499998</v>
      </c>
    </row>
    <row r="61" spans="1:12" x14ac:dyDescent="0.2">
      <c r="B61" t="s">
        <v>152</v>
      </c>
      <c r="F61">
        <v>-776.99575259999995</v>
      </c>
      <c r="G61">
        <f t="shared" si="9"/>
        <v>-487564.83475649997</v>
      </c>
    </row>
    <row r="62" spans="1:12" x14ac:dyDescent="0.2">
      <c r="B62" t="s">
        <v>153</v>
      </c>
      <c r="F62">
        <v>-777.05633290000003</v>
      </c>
      <c r="G62">
        <f t="shared" si="9"/>
        <v>-487602.84889475</v>
      </c>
    </row>
    <row r="65" spans="1:12" x14ac:dyDescent="0.2">
      <c r="A65" t="s">
        <v>85</v>
      </c>
      <c r="B65" t="s">
        <v>85</v>
      </c>
      <c r="F65">
        <v>-788.57151009999995</v>
      </c>
      <c r="G65">
        <f t="shared" ref="G65:G66" si="10">F65*$C$1</f>
        <v>-494828.62258774997</v>
      </c>
      <c r="J65" t="s">
        <v>155</v>
      </c>
      <c r="K65" t="s">
        <v>156</v>
      </c>
      <c r="L65" s="4">
        <f>G67-(G65+G66)</f>
        <v>29.448010249994695</v>
      </c>
    </row>
    <row r="66" spans="1:12" x14ac:dyDescent="0.2">
      <c r="B66" t="s">
        <v>149</v>
      </c>
      <c r="F66">
        <v>-79.783580200000003</v>
      </c>
      <c r="G66">
        <f t="shared" si="10"/>
        <v>-50064.196575499998</v>
      </c>
    </row>
    <row r="67" spans="1:12" x14ac:dyDescent="0.2">
      <c r="B67" t="s">
        <v>155</v>
      </c>
      <c r="F67">
        <v>-868.30816119999997</v>
      </c>
      <c r="G67">
        <f t="shared" ref="G67:G68" si="11">F67*$C$1</f>
        <v>-544863.37115299993</v>
      </c>
      <c r="J67" t="s">
        <v>157</v>
      </c>
      <c r="K67" t="s">
        <v>167</v>
      </c>
      <c r="L67">
        <f>G56-G67</f>
        <v>-26.795505000045523</v>
      </c>
    </row>
    <row r="68" spans="1:12" x14ac:dyDescent="0.2">
      <c r="B68" t="s">
        <v>161</v>
      </c>
      <c r="F68">
        <v>-868.34012129999996</v>
      </c>
      <c r="G68">
        <f t="shared" si="11"/>
        <v>-544883.42611574999</v>
      </c>
    </row>
  </sheetData>
  <mergeCells count="1">
    <mergeCell ref="A5:A10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FC07-8440-6A4D-9D5E-2402E84DD06E}">
  <dimension ref="A1:W29"/>
  <sheetViews>
    <sheetView zoomScale="125" workbookViewId="0">
      <selection activeCell="F11" sqref="F11"/>
    </sheetView>
  </sheetViews>
  <sheetFormatPr baseColWidth="10" defaultRowHeight="15" x14ac:dyDescent="0.2"/>
  <sheetData>
    <row r="1" spans="1:23" x14ac:dyDescent="0.2">
      <c r="A1" t="s">
        <v>162</v>
      </c>
    </row>
    <row r="6" spans="1:23" x14ac:dyDescent="0.2">
      <c r="A6" s="4" t="s">
        <v>94</v>
      </c>
      <c r="B6" t="s">
        <v>165</v>
      </c>
      <c r="E6" t="s">
        <v>166</v>
      </c>
      <c r="K6" t="s">
        <v>172</v>
      </c>
      <c r="N6" t="s">
        <v>189</v>
      </c>
      <c r="O6" t="s">
        <v>173</v>
      </c>
      <c r="P6" t="s">
        <v>176</v>
      </c>
      <c r="S6" s="4" t="s">
        <v>182</v>
      </c>
      <c r="T6" t="s">
        <v>183</v>
      </c>
      <c r="U6" t="s">
        <v>184</v>
      </c>
      <c r="V6" t="s">
        <v>185</v>
      </c>
    </row>
    <row r="7" spans="1:23" x14ac:dyDescent="0.2">
      <c r="A7" t="s">
        <v>163</v>
      </c>
      <c r="B7">
        <v>2.2759999999999998</v>
      </c>
      <c r="J7" t="s">
        <v>170</v>
      </c>
      <c r="K7">
        <v>0.29022999999999999</v>
      </c>
      <c r="L7">
        <v>0.2059</v>
      </c>
      <c r="M7">
        <v>1.056E-2</v>
      </c>
      <c r="N7">
        <f>-P8+N8</f>
        <v>0.29100000000000004</v>
      </c>
    </row>
    <row r="8" spans="1:23" x14ac:dyDescent="0.2">
      <c r="A8" t="s">
        <v>164</v>
      </c>
      <c r="B8">
        <v>2.1339999999999999</v>
      </c>
      <c r="E8">
        <f>B8-B$7</f>
        <v>-0.1419999999999999</v>
      </c>
      <c r="J8" t="s">
        <v>171</v>
      </c>
      <c r="K8">
        <v>0.33613999999999999</v>
      </c>
      <c r="L8">
        <v>0.23626</v>
      </c>
      <c r="M8">
        <v>5.3400000000000001E-3</v>
      </c>
      <c r="N8">
        <v>0.33700000000000002</v>
      </c>
      <c r="O8">
        <f>K8-K$7</f>
        <v>4.5910000000000006E-2</v>
      </c>
      <c r="P8">
        <v>4.5999999999999999E-2</v>
      </c>
    </row>
    <row r="9" spans="1:23" x14ac:dyDescent="0.2">
      <c r="A9" t="s">
        <v>174</v>
      </c>
      <c r="B9">
        <v>2.161</v>
      </c>
      <c r="E9">
        <f>B9-B$7</f>
        <v>-0.11499999999999977</v>
      </c>
      <c r="T9">
        <v>-0.16297</v>
      </c>
      <c r="U9">
        <v>0.45960000000000001</v>
      </c>
      <c r="V9">
        <v>-0.48993999999999999</v>
      </c>
      <c r="W9">
        <f>SUM(U9:V9)</f>
        <v>-3.0339999999999978E-2</v>
      </c>
    </row>
    <row r="10" spans="1:23" x14ac:dyDescent="0.2">
      <c r="A10" t="s">
        <v>175</v>
      </c>
      <c r="B10">
        <v>2.1469999999999998</v>
      </c>
      <c r="E10" s="4">
        <f>B10-B$7</f>
        <v>-0.129</v>
      </c>
      <c r="J10" t="s">
        <v>177</v>
      </c>
      <c r="K10" s="4">
        <v>0.32095000000000001</v>
      </c>
      <c r="L10">
        <v>0.19478999999999999</v>
      </c>
      <c r="M10">
        <v>6.0499999999999998E-3</v>
      </c>
      <c r="O10" s="4">
        <f>K10-K$7</f>
        <v>3.0720000000000025E-2</v>
      </c>
    </row>
    <row r="11" spans="1:23" x14ac:dyDescent="0.2">
      <c r="A11" t="s">
        <v>178</v>
      </c>
      <c r="B11" s="18">
        <v>2.2480000000000002</v>
      </c>
      <c r="E11" s="4">
        <f>B11-B$7</f>
        <v>-2.7999999999999581E-2</v>
      </c>
      <c r="J11" t="s">
        <v>188</v>
      </c>
      <c r="K11">
        <v>0.20294999999999999</v>
      </c>
      <c r="L11" s="4">
        <v>0.29965000000000003</v>
      </c>
      <c r="M11">
        <v>1.0359999999999999E-2</v>
      </c>
      <c r="O11" s="19">
        <f>L11-K$7</f>
        <v>9.4200000000000395E-3</v>
      </c>
      <c r="Q11" s="4"/>
      <c r="T11">
        <v>-0.25109999999999999</v>
      </c>
      <c r="U11">
        <v>0.45548</v>
      </c>
      <c r="V11">
        <v>-0.46234999999999998</v>
      </c>
      <c r="W11">
        <f>SUM(U11:V11)</f>
        <v>-6.8699999999999872E-3</v>
      </c>
    </row>
    <row r="12" spans="1:23" x14ac:dyDescent="0.2">
      <c r="A12" t="s">
        <v>180</v>
      </c>
      <c r="J12" t="s">
        <v>179</v>
      </c>
      <c r="K12">
        <v>0.28232000000000002</v>
      </c>
      <c r="L12">
        <v>0.22086</v>
      </c>
      <c r="M12">
        <v>1.274E-2</v>
      </c>
      <c r="O12">
        <f>K12-K$7</f>
        <v>-7.9099999999999726E-3</v>
      </c>
    </row>
    <row r="13" spans="1:23" x14ac:dyDescent="0.2">
      <c r="J13" t="s">
        <v>181</v>
      </c>
      <c r="K13">
        <v>0.28743999999999997</v>
      </c>
      <c r="L13">
        <v>1.0240000000000001E-2</v>
      </c>
      <c r="M13">
        <v>0.21049000000000001</v>
      </c>
      <c r="O13">
        <f>K13-K$7</f>
        <v>-2.7900000000000147E-3</v>
      </c>
      <c r="P13">
        <v>-3.0000000000000001E-3</v>
      </c>
    </row>
    <row r="14" spans="1:23" x14ac:dyDescent="0.2">
      <c r="K14">
        <v>0.28743999999999997</v>
      </c>
    </row>
    <row r="15" spans="1:23" x14ac:dyDescent="0.2">
      <c r="A15" t="s">
        <v>187</v>
      </c>
      <c r="B15">
        <v>2.125</v>
      </c>
      <c r="E15" s="15">
        <f>B15-B$7</f>
        <v>-0.1509999999999998</v>
      </c>
      <c r="J15" t="s">
        <v>186</v>
      </c>
      <c r="K15" s="4">
        <v>0.24909999999999999</v>
      </c>
      <c r="L15">
        <v>4.62E-3</v>
      </c>
      <c r="M15">
        <v>4.1869999999999997E-2</v>
      </c>
      <c r="O15" s="4">
        <f>K15-K$7</f>
        <v>-4.113E-2</v>
      </c>
    </row>
    <row r="16" spans="1:23" x14ac:dyDescent="0.2">
      <c r="L16" s="4"/>
      <c r="O16" s="19"/>
    </row>
    <row r="23" spans="6:9" x14ac:dyDescent="0.2">
      <c r="F23" t="s">
        <v>94</v>
      </c>
      <c r="G23" t="s">
        <v>95</v>
      </c>
      <c r="H23" t="s">
        <v>96</v>
      </c>
      <c r="I23" t="s">
        <v>97</v>
      </c>
    </row>
    <row r="24" spans="6:9" x14ac:dyDescent="0.2">
      <c r="F24" t="s">
        <v>86</v>
      </c>
      <c r="G24" t="s">
        <v>87</v>
      </c>
      <c r="H24" s="4">
        <v>-0.58462499999999995</v>
      </c>
      <c r="I24">
        <f>H24-H27</f>
        <v>-0.11998199999999998</v>
      </c>
    </row>
    <row r="25" spans="6:9" x14ac:dyDescent="0.2">
      <c r="F25" t="s">
        <v>88</v>
      </c>
      <c r="G25" t="s">
        <v>89</v>
      </c>
      <c r="H25">
        <v>-0.111148</v>
      </c>
      <c r="I25">
        <f>H25-H28</f>
        <v>-0.16363</v>
      </c>
    </row>
    <row r="26" spans="6:9" x14ac:dyDescent="0.2">
      <c r="F26" t="s">
        <v>90</v>
      </c>
      <c r="G26" t="s">
        <v>91</v>
      </c>
      <c r="H26">
        <v>-0.29968699999999998</v>
      </c>
      <c r="I26">
        <f>H26-H29</f>
        <v>-0.14248299999999997</v>
      </c>
    </row>
    <row r="27" spans="6:9" x14ac:dyDescent="0.2">
      <c r="F27" t="s">
        <v>92</v>
      </c>
      <c r="G27" t="s">
        <v>87</v>
      </c>
      <c r="H27" s="4">
        <v>-0.46464299999999997</v>
      </c>
    </row>
    <row r="28" spans="6:9" x14ac:dyDescent="0.2">
      <c r="F28" t="s">
        <v>85</v>
      </c>
      <c r="G28" t="s">
        <v>89</v>
      </c>
      <c r="H28">
        <v>5.2482000000000001E-2</v>
      </c>
    </row>
    <row r="29" spans="6:9" x14ac:dyDescent="0.2">
      <c r="F29" t="s">
        <v>93</v>
      </c>
      <c r="G29" t="s">
        <v>91</v>
      </c>
      <c r="H29">
        <v>-0.15720400000000001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0257-FBA7-A146-A41C-0367D95DA014}">
  <dimension ref="A1:D7"/>
  <sheetViews>
    <sheetView workbookViewId="0">
      <selection activeCell="J36" sqref="J36"/>
    </sheetView>
  </sheetViews>
  <sheetFormatPr baseColWidth="10" defaultRowHeight="15" x14ac:dyDescent="0.2"/>
  <sheetData>
    <row r="1" spans="1:4" x14ac:dyDescent="0.2">
      <c r="A1" t="s">
        <v>94</v>
      </c>
      <c r="B1" t="s">
        <v>95</v>
      </c>
      <c r="C1" t="s">
        <v>96</v>
      </c>
      <c r="D1" t="s">
        <v>97</v>
      </c>
    </row>
    <row r="2" spans="1:4" x14ac:dyDescent="0.2">
      <c r="A2" t="s">
        <v>86</v>
      </c>
      <c r="B2" t="s">
        <v>87</v>
      </c>
      <c r="C2" s="4">
        <v>-0.58462499999999995</v>
      </c>
      <c r="D2">
        <f>C2-C5</f>
        <v>-0.11998199999999998</v>
      </c>
    </row>
    <row r="3" spans="1:4" x14ac:dyDescent="0.2">
      <c r="A3" t="s">
        <v>88</v>
      </c>
      <c r="B3" t="s">
        <v>89</v>
      </c>
      <c r="C3">
        <v>-0.111148</v>
      </c>
      <c r="D3">
        <f>C3-C6</f>
        <v>-0.16363</v>
      </c>
    </row>
    <row r="4" spans="1:4" x14ac:dyDescent="0.2">
      <c r="A4" t="s">
        <v>90</v>
      </c>
      <c r="B4" t="s">
        <v>91</v>
      </c>
      <c r="C4">
        <v>-0.29968699999999998</v>
      </c>
      <c r="D4">
        <f>C4-C7</f>
        <v>-0.14248299999999997</v>
      </c>
    </row>
    <row r="5" spans="1:4" x14ac:dyDescent="0.2">
      <c r="A5" t="s">
        <v>92</v>
      </c>
      <c r="B5" t="s">
        <v>87</v>
      </c>
      <c r="C5" s="4">
        <v>-0.46464299999999997</v>
      </c>
    </row>
    <row r="6" spans="1:4" x14ac:dyDescent="0.2">
      <c r="A6" t="s">
        <v>85</v>
      </c>
      <c r="B6" t="s">
        <v>89</v>
      </c>
      <c r="C6">
        <v>5.2482000000000001E-2</v>
      </c>
    </row>
    <row r="7" spans="1:4" x14ac:dyDescent="0.2">
      <c r="A7" t="s">
        <v>93</v>
      </c>
      <c r="B7" t="s">
        <v>91</v>
      </c>
      <c r="C7">
        <v>-0.15720400000000001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 Tests, Geometries</vt:lpstr>
      <vt:lpstr>Benchmark Tests, SPE</vt:lpstr>
      <vt:lpstr>Free Energies (Final)</vt:lpstr>
      <vt:lpstr>Goldman Analysis</vt:lpstr>
      <vt:lpstr>MBIS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S.B. Williams</dc:creator>
  <cp:lastModifiedBy>Mary Van Vleet</cp:lastModifiedBy>
  <dcterms:created xsi:type="dcterms:W3CDTF">2022-12-14T23:14:44Z</dcterms:created>
  <dcterms:modified xsi:type="dcterms:W3CDTF">2024-06-11T17:56:25Z</dcterms:modified>
</cp:coreProperties>
</file>