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de\Documents\"/>
    </mc:Choice>
  </mc:AlternateContent>
  <xr:revisionPtr revIDLastSave="0" documentId="8_{B94B08D6-30BF-485C-BA77-61079FAFEFF1}" xr6:coauthVersionLast="47" xr6:coauthVersionMax="47" xr10:uidLastSave="{00000000-0000-0000-0000-000000000000}"/>
  <bookViews>
    <workbookView xWindow="-120" yWindow="-120" windowWidth="20730" windowHeight="11160"/>
  </bookViews>
  <sheets>
    <sheet name="FUNDAMENTUS" sheetId="5" r:id="rId1"/>
    <sheet name="LPA" sheetId="6" r:id="rId2"/>
    <sheet name="ROIC" sheetId="7" r:id="rId3"/>
    <sheet name="ROE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5" l="1"/>
  <c r="F18" i="5"/>
  <c r="F10" i="5"/>
  <c r="C10" i="5"/>
  <c r="E4" i="8"/>
  <c r="C5" i="8"/>
  <c r="E3" i="7"/>
  <c r="F3" i="7"/>
  <c r="E7" i="7"/>
  <c r="E4" i="7"/>
  <c r="D5" i="6"/>
  <c r="D10" i="6"/>
  <c r="D6" i="6"/>
  <c r="I6" i="6"/>
  <c r="D7" i="6"/>
  <c r="I7" i="6"/>
  <c r="D8" i="6"/>
  <c r="I8" i="6"/>
  <c r="D9" i="6"/>
  <c r="I9" i="6"/>
  <c r="D15" i="6"/>
  <c r="J5" i="6"/>
  <c r="D16" i="6"/>
  <c r="J6" i="6"/>
  <c r="D17" i="6"/>
  <c r="J7" i="6"/>
  <c r="D18" i="6"/>
  <c r="J8" i="6"/>
  <c r="D19" i="6"/>
  <c r="J9" i="6"/>
  <c r="D25" i="6"/>
  <c r="K5" i="6"/>
  <c r="D26" i="6"/>
  <c r="K6" i="6"/>
  <c r="D27" i="6"/>
  <c r="K7" i="6"/>
  <c r="D28" i="6"/>
  <c r="K8" i="6"/>
  <c r="D29" i="6"/>
  <c r="K9" i="6"/>
  <c r="F3" i="5"/>
  <c r="C6" i="5"/>
  <c r="C11" i="5"/>
  <c r="F11" i="5"/>
  <c r="F12" i="5"/>
  <c r="F13" i="5"/>
  <c r="C14" i="5"/>
  <c r="H14" i="5"/>
  <c r="H18" i="5"/>
  <c r="H19" i="5"/>
  <c r="C19" i="5"/>
  <c r="F19" i="5"/>
  <c r="F20" i="5"/>
  <c r="C22" i="5"/>
  <c r="F24" i="5"/>
  <c r="C25" i="5"/>
  <c r="F25" i="5"/>
  <c r="C28" i="5"/>
  <c r="C31" i="5"/>
  <c r="C36" i="5"/>
  <c r="F16" i="5"/>
  <c r="F4" i="8"/>
  <c r="H20" i="5"/>
  <c r="H15" i="5"/>
  <c r="F4" i="5"/>
  <c r="F14" i="5"/>
  <c r="H6" i="5"/>
  <c r="F6" i="5"/>
  <c r="K10" i="6"/>
  <c r="J10" i="6"/>
  <c r="F8" i="5"/>
  <c r="H11" i="5"/>
  <c r="H12" i="5"/>
  <c r="D20" i="6"/>
  <c r="I5" i="6"/>
  <c r="I10" i="6"/>
  <c r="D30" i="6"/>
  <c r="H13" i="5"/>
  <c r="H7" i="5"/>
  <c r="F7" i="5"/>
  <c r="F15" i="5"/>
  <c r="H16" i="5"/>
  <c r="H10" i="5"/>
  <c r="H8" i="5"/>
  <c r="H9" i="5"/>
  <c r="F9" i="5"/>
</calcChain>
</file>

<file path=xl/comments1.xml><?xml version="1.0" encoding="utf-8"?>
<comments xmlns="http://schemas.openxmlformats.org/spreadsheetml/2006/main">
  <authors>
    <author>User</author>
  </authors>
  <commentList>
    <comment ref="J2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Preço da ação dividido pelo lucro por ação</t>
        </r>
      </text>
    </comment>
    <comment ref="E3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Preço da Ação multiplicado pelo número de ações</t>
        </r>
      </text>
    </comment>
    <comment ref="J3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Preço da ação dividido pelo Valor patrimonial por ação</t>
        </r>
      </text>
    </comment>
    <comment ref="E4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Soma do valor de mercado mais a dívida líquida da empresa.</t>
        </r>
      </text>
    </comment>
    <comment ref="J4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Preço / Ebit por ação</t>
        </r>
      </text>
    </comment>
    <comment ref="J5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Preço da ação / Receita Liq por Ação</t>
        </r>
      </text>
    </comment>
    <comment ref="E6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Preço da ação dividido pelo lucro por ação</t>
        </r>
      </text>
    </comment>
    <comment ref="G6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Lucro Por Ação</t>
        </r>
      </text>
    </comment>
    <comment ref="J6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Preço da ação / Ativo por ação</t>
        </r>
      </text>
    </comment>
    <comment ref="E7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Preço da ação dividido pelo Valor patrimonial por ação</t>
        </r>
      </text>
    </comment>
    <comment ref="G7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Patrimonial Por Ação</t>
        </r>
      </text>
    </comment>
    <comment ref="J7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Preço da ação / Cap. Giro por ação</t>
        </r>
      </text>
    </comment>
    <comment ref="E8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Preço / Ebit por ação</t>
        </r>
      </text>
    </comment>
    <comment ref="G8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Lucro bruto / Receita liquida
</t>
        </r>
      </text>
    </comment>
    <comment ref="E9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Preço da ação / Receita Liq por Ação</t>
        </r>
      </text>
    </comment>
    <comment ref="G9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Ebit / Receita Liq.</t>
        </r>
      </text>
    </comment>
    <comment ref="J9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Dividendos pago por ação nos últimos doze meses / Preço da ação</t>
        </r>
      </text>
    </comment>
    <comment ref="E10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Preço da ação / Ativo por ação</t>
        </r>
      </text>
    </comment>
    <comment ref="G10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Lucro Liq. / Receita Liq.</t>
        </r>
      </text>
    </comment>
    <comment ref="J10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da firma / Ebit</t>
        </r>
      </text>
    </comment>
    <comment ref="E11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Preço da ação / Cap. Giro por ação</t>
        </r>
      </text>
    </comment>
    <comment ref="G11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Ebit / Ativos Totais</t>
        </r>
      </text>
    </comment>
    <comment ref="J11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da firma / Ebit</t>
        </r>
      </text>
    </comment>
    <comment ref="G12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Retorno sobre o capital investido: Calculado dividindo-se o Ebit por (Ativos - Fornecedores - Caixa). Informa o retorno que a empresa consegue sobre o capital total aplicado.</t>
        </r>
      </text>
    </comment>
    <comment ref="E13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Dividendos pago por ação nos últimos doze meses / Preço da ação</t>
        </r>
      </text>
    </comment>
    <comment ref="G13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Retorno sobre o Patrimônio Líquido: Lucro líquido / Patrimônio Líquido.</t>
        </r>
      </text>
    </comment>
    <comment ref="J13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Lucro Por Ação</t>
        </r>
      </text>
    </comment>
    <comment ref="E14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da firma / Ebit</t>
        </r>
      </text>
    </comment>
    <comment ref="G14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Ativo Circulante / Passivo Circulante.
Reflete a capacidade de pagamento da empresa no prazo de um ano.</t>
        </r>
      </text>
    </comment>
    <comment ref="J14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Patrimonial Por Ação</t>
        </r>
      </text>
    </comment>
    <comment ref="E15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da firma / Ebit</t>
        </r>
      </text>
    </comment>
    <comment ref="G15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Divida Bruta / Patrimônio Líquido</t>
        </r>
      </text>
    </comment>
    <comment ref="J15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Lucro bruto / Receita liquida
</t>
        </r>
      </text>
    </comment>
    <comment ref="J16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Ebit / Receita Liq.</t>
        </r>
      </text>
    </comment>
    <comment ref="J17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Lucro Liq. / Receita Liq.</t>
        </r>
      </text>
    </comment>
    <comment ref="E18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Todos os bens, direitos e valores a receber de uma entidade
</t>
        </r>
      </text>
    </comment>
    <comment ref="G18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Soma das dívidas de curto e longo prazo</t>
        </r>
      </text>
    </comment>
    <comment ref="J18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Ebit / Ativos Totais</t>
        </r>
      </text>
    </comment>
    <comment ref="E19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Caixa da empresa</t>
        </r>
      </text>
    </comment>
    <comment ref="G19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Dív. Bruta menos o Caixa</t>
        </r>
      </text>
    </comment>
    <comment ref="J19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Retorno sobre o capital investido: Calculado dividindo-se o Ebit por (Ativos - Fornecedores - Caixa). Informa o retorno que a empresa consegue sobre o capital total aplicado.</t>
        </r>
      </text>
    </comment>
    <comment ref="E20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Bens e direitos que podem ser convertidos em dinheiro em menos de 1 ano</t>
        </r>
      </text>
    </comment>
    <comment ref="G20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Ativos menos Passivos</t>
        </r>
      </text>
    </comment>
    <comment ref="J20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Retorno sobre o Patrimônio Líquido: Lucro líquido / Patrimônio Líquido.</t>
        </r>
      </text>
    </comment>
    <comment ref="J21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Ativo Circulante / Passivo Circulante.
Reflete a capacidade de pagamento da empresa no prazo de um ano.</t>
        </r>
      </text>
    </comment>
    <comment ref="J22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Divida Bruta / Patrimônio Líquido</t>
        </r>
      </text>
    </comment>
    <comment ref="E23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Receita Líquida é a soma de todas as vendas da empresa em determinado período deduzido de devoluções, descontos e alguns impostos</t>
        </r>
      </text>
    </comment>
    <comment ref="G23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Receita Líquida é a soma de todas as vendas da empresa em determinado período deduzido de devoluções, descontos e alguns impostos</t>
        </r>
      </text>
    </comment>
    <comment ref="E24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Lucro antes de impostos e juros</t>
        </r>
      </text>
    </comment>
    <comment ref="G24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Lucro antes de impostos e juros</t>
        </r>
      </text>
    </comment>
    <comment ref="E25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O que sobra das vendas após todas as despesas.</t>
        </r>
      </text>
    </comment>
    <comment ref="G25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O que sobra das vendas após todas as despesas.</t>
        </r>
      </text>
    </comment>
  </commentList>
</comments>
</file>

<file path=xl/sharedStrings.xml><?xml version="1.0" encoding="utf-8"?>
<sst xmlns="http://schemas.openxmlformats.org/spreadsheetml/2006/main" count="158" uniqueCount="108">
  <si>
    <t>Ativo circulante</t>
  </si>
  <si>
    <t>Caixa</t>
  </si>
  <si>
    <t>Ativo Não Circulante</t>
  </si>
  <si>
    <t>Passivo Circulante</t>
  </si>
  <si>
    <t>Passivo Não Circulante</t>
  </si>
  <si>
    <t>VPA</t>
  </si>
  <si>
    <t>Cotação</t>
  </si>
  <si>
    <t>P/VP</t>
  </si>
  <si>
    <t>P/L</t>
  </si>
  <si>
    <t>LPA</t>
  </si>
  <si>
    <t>P/EBIT</t>
  </si>
  <si>
    <t>PSR</t>
  </si>
  <si>
    <t>Marg. EBIT</t>
  </si>
  <si>
    <t>P/Ativos</t>
  </si>
  <si>
    <t>Marg. Líquida</t>
  </si>
  <si>
    <t>EBIT / Ativo</t>
  </si>
  <si>
    <t>ROIC</t>
  </si>
  <si>
    <t>Div. Yield</t>
  </si>
  <si>
    <t>ROE</t>
  </si>
  <si>
    <t>EV / EBIT</t>
  </si>
  <si>
    <t>Liquidez Corr</t>
  </si>
  <si>
    <t>Div Br/ Patrim</t>
  </si>
  <si>
    <t>Valor de mercado</t>
  </si>
  <si>
    <t>Valor da firma</t>
  </si>
  <si>
    <t>Nro. Ações</t>
  </si>
  <si>
    <t>Indicadores fundamentalistas</t>
  </si>
  <si>
    <t>Cres. Rec (5a)</t>
  </si>
  <si>
    <t>Dados Balanço Patrimonial</t>
  </si>
  <si>
    <t>Ativo</t>
  </si>
  <si>
    <t>Dív. Bruta</t>
  </si>
  <si>
    <t>Disponibilidades</t>
  </si>
  <si>
    <t>Dív. Líquida</t>
  </si>
  <si>
    <t>Ativo Circulante</t>
  </si>
  <si>
    <t>Patrim. Líq</t>
  </si>
  <si>
    <t>Dados demonstrativos de resultados</t>
  </si>
  <si>
    <t>Últimos 12 meses</t>
  </si>
  <si>
    <t>Últimos 3 meses</t>
  </si>
  <si>
    <t>Receita Líquida</t>
  </si>
  <si>
    <t>EBIT</t>
  </si>
  <si>
    <t>Lucro Líquido</t>
  </si>
  <si>
    <t>Dividendos</t>
  </si>
  <si>
    <t>P/Cap.Giro</t>
  </si>
  <si>
    <t>P/Ativ Circ Liq</t>
  </si>
  <si>
    <t>EV / EBITDA</t>
  </si>
  <si>
    <t>Margem Bruta</t>
  </si>
  <si>
    <t>Giro Ativos</t>
  </si>
  <si>
    <t>Papel</t>
  </si>
  <si>
    <t>Aplicações Financeiras</t>
  </si>
  <si>
    <t>Dívida Bruta</t>
  </si>
  <si>
    <t>Dívida Líquida</t>
  </si>
  <si>
    <t>Receira Líquida 9M 2019</t>
  </si>
  <si>
    <t>Receira Líquida 4T 2018</t>
  </si>
  <si>
    <t>Total Receita Líquida</t>
  </si>
  <si>
    <t>EBIT 9M 2019</t>
  </si>
  <si>
    <t>EBIT 4T 2018</t>
  </si>
  <si>
    <t>Total EBIT</t>
  </si>
  <si>
    <t>Lucro Líquido 9M 2019</t>
  </si>
  <si>
    <t>Lucro Líquido 4T 2018</t>
  </si>
  <si>
    <t>EBITDA 9M 2019</t>
  </si>
  <si>
    <t>EBITDA 4T 2018</t>
  </si>
  <si>
    <t>Lucro Bruto 9M 2019</t>
  </si>
  <si>
    <t>Lucro Bruto 4T 2018</t>
  </si>
  <si>
    <t>Resultados dos últimos 12 meses</t>
  </si>
  <si>
    <t>Total EBITDA</t>
  </si>
  <si>
    <t>Total Lucro Líquido</t>
  </si>
  <si>
    <t>Total Lucro Bruto</t>
  </si>
  <si>
    <t>Receita dos últimos 5 anos</t>
  </si>
  <si>
    <t>Total Ativo</t>
  </si>
  <si>
    <t>Total Passivo + Patrim. Líq.</t>
  </si>
  <si>
    <t>Patrimônio Líquido</t>
  </si>
  <si>
    <t>ABEV3</t>
  </si>
  <si>
    <t>Menos tempo de retorno que a SELIC</t>
  </si>
  <si>
    <t>Menor que 2 e maior que 0</t>
  </si>
  <si>
    <t>Menor que 10</t>
  </si>
  <si>
    <t>Igual ou menor que 1</t>
  </si>
  <si>
    <t>Menor que 2</t>
  </si>
  <si>
    <t>Quanto menor, melhor. E que seja positivo.</t>
  </si>
  <si>
    <t>Qualquer valor acima de 0</t>
  </si>
  <si>
    <t>Igual ou maior que 6%</t>
  </si>
  <si>
    <t>Receita Líquida 12M 2020</t>
  </si>
  <si>
    <t>Receita Líquida 12M 2016</t>
  </si>
  <si>
    <t>Quanto maior, melhor e importante que seja positivo</t>
  </si>
  <si>
    <t>Bradesco</t>
  </si>
  <si>
    <t>Itaú</t>
  </si>
  <si>
    <t>Banco do Brasil</t>
  </si>
  <si>
    <t>BRADESCO</t>
  </si>
  <si>
    <t>ITAÚ</t>
  </si>
  <si>
    <t>BANCO DO BRASIL</t>
  </si>
  <si>
    <t>Número de Ações</t>
  </si>
  <si>
    <t>LPA médio (últ. 5 anos)</t>
  </si>
  <si>
    <t>Ter um crescimento constante nos últimos 5 anos.</t>
  </si>
  <si>
    <t>Maior que a metade da cotação.</t>
  </si>
  <si>
    <t>Igual ou maior que 40% ao ano, nos últimos 10 anos.</t>
  </si>
  <si>
    <t>Sempre positivo e possuir uma das melhores margens do setor nos últimos 10 anos.</t>
  </si>
  <si>
    <t>Sempre positivo e possuir uma das melhores porcentagens do setor nos últimos 5 anos.</t>
  </si>
  <si>
    <t>IMPOSTOS</t>
  </si>
  <si>
    <t>DÍVIDA BRUTA</t>
  </si>
  <si>
    <t>ÚLTIMOS 12 MESES</t>
  </si>
  <si>
    <t>9M21</t>
  </si>
  <si>
    <t>4T20</t>
  </si>
  <si>
    <t>CIRCULANTE</t>
  </si>
  <si>
    <t>NÃO CIRCULANTE</t>
  </si>
  <si>
    <t>TOTAL</t>
  </si>
  <si>
    <t>PATRIM. LÍQ.</t>
  </si>
  <si>
    <t>LUCRO LÍQUIDO</t>
  </si>
  <si>
    <t>Maior que 1 e quanto maior melhor!</t>
  </si>
  <si>
    <t>Maior que 0 e igual ou menor que 0,50</t>
  </si>
  <si>
    <t>Quanto maior, melhor.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</si>
</sst>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_-&quot;R$&quot;* #,##0.00_-;\-&quot;R$&quot;* #,##0.00_-;_-&quot;R$&quot;* &quot;-&quot;??_-;_-@_-"/>
    <numFmt numFmtId="166" formatCode="0.0%"/>
    <numFmt numFmtId="167" formatCode="&quot;R$&quot;\ #,##0.00"/>
    <numFmt numFmtId="168" formatCode="_-&quot;R$&quot;* #,##0_-;\-&quot;R$&quot;* #,##0_-;_-&quot;R$&quot;* &quot;-&quot;??_-;_-@_-"/>
    <numFmt numFmtId="169" formatCode="_-* #,##0.00000_-;\-* #,##0.00000_-;_-* &quot;-&quot;??_-;_-@_-"/>
    <numFmt numFmtId="170" formatCode="_-* #,##0.00000000000_-;\-* #,##0.00000000000_-;_-* &quot;-&quot;??_-;_-@_-"/>
  </numFmts>
  <fonts count="24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4F5E69"/>
      <name val="Inherit"/>
    </font>
    <font>
      <b/>
      <sz val="8"/>
      <color rgb="FF677C59"/>
      <name val="Inherit"/>
    </font>
    <font>
      <b/>
      <sz val="13"/>
      <color rgb="FF0C273C"/>
      <name val="Inherit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3"/>
      <color rgb="FF39502A"/>
      <name val="Inherit"/>
    </font>
    <font>
      <sz val="9"/>
      <color theme="1"/>
      <name val="Calibri"/>
      <family val="2"/>
      <scheme val="minor"/>
    </font>
    <font>
      <sz val="10"/>
      <color rgb="FF585A5B"/>
      <name val="Calibri Light"/>
      <family val="2"/>
      <scheme val="major"/>
    </font>
    <font>
      <sz val="10"/>
      <color theme="1"/>
      <name val="Calibri"/>
      <family val="2"/>
      <scheme val="minor"/>
    </font>
    <font>
      <sz val="9"/>
      <color rgb="FF585A5B"/>
      <name val="Trebuchet MS"/>
      <family val="2"/>
    </font>
    <font>
      <sz val="11"/>
      <color rgb="FF21425B"/>
      <name val="Calibri"/>
      <family val="2"/>
      <scheme val="minor"/>
    </font>
    <font>
      <b/>
      <sz val="11"/>
      <color rgb="FF21425B"/>
      <name val="Calibri"/>
      <family val="2"/>
      <scheme val="minor"/>
    </font>
    <font>
      <sz val="11"/>
      <color rgb="FF4F5E69"/>
      <name val="Calibri"/>
      <family val="2"/>
      <scheme val="minor"/>
    </font>
    <font>
      <b/>
      <sz val="11"/>
      <color rgb="FFC7D7E3"/>
      <name val="Calibri"/>
      <family val="2"/>
      <scheme val="minor"/>
    </font>
    <font>
      <sz val="14"/>
      <color rgb="FF21425B"/>
      <name val="Inherit"/>
    </font>
    <font>
      <b/>
      <sz val="11"/>
      <color rgb="FF063B64"/>
      <name val="Inherit"/>
    </font>
    <font>
      <b/>
      <sz val="15"/>
      <color rgb="FF21425B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7D7E3"/>
        <bgColor indexed="64"/>
      </patternFill>
    </fill>
    <fill>
      <patternFill patternType="solid">
        <fgColor rgb="FFEDF6E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21425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85ACC9"/>
        <bgColor indexed="64"/>
      </patternFill>
    </fill>
    <fill>
      <patternFill patternType="solid">
        <fgColor rgb="FF9DBDD4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0" tint="-0.249977111117893"/>
      </top>
      <bottom/>
      <diagonal/>
    </border>
    <border>
      <left/>
      <right style="thin">
        <color theme="2" tint="-0.249977111117893"/>
      </right>
      <top style="thin">
        <color theme="0" tint="-0.249977111117893"/>
      </top>
      <bottom/>
      <diagonal/>
    </border>
    <border>
      <left style="thin">
        <color theme="2" tint="-0.249977111117893"/>
      </left>
      <right/>
      <top/>
      <bottom style="thin">
        <color theme="0" tint="-0.499984740745262"/>
      </bottom>
      <diagonal/>
    </border>
    <border>
      <left/>
      <right style="thin">
        <color theme="2" tint="-0.249977111117893"/>
      </right>
      <top/>
      <bottom style="thin">
        <color theme="0" tint="-0.499984740745262"/>
      </bottom>
      <diagonal/>
    </border>
    <border>
      <left style="thin">
        <color theme="2" tint="-0.249977111117893"/>
      </left>
      <right/>
      <top/>
      <bottom style="thin">
        <color theme="0" tint="-0.249977111117893"/>
      </bottom>
      <diagonal/>
    </border>
    <border>
      <left/>
      <right style="thin">
        <color theme="2" tint="-0.249977111117893"/>
      </right>
      <top/>
      <bottom style="thin">
        <color theme="0" tint="-0.249977111117893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00">
    <xf numFmtId="0" fontId="0" fillId="0" borderId="0" xfId="0"/>
    <xf numFmtId="165" fontId="3" fillId="0" borderId="0" xfId="1" applyFont="1"/>
    <xf numFmtId="0" fontId="5" fillId="2" borderId="8" xfId="0" applyFont="1" applyFill="1" applyBorder="1" applyAlignment="1">
      <alignment horizontal="left" vertical="center" wrapText="1" indent="1"/>
    </xf>
    <xf numFmtId="0" fontId="6" fillId="3" borderId="8" xfId="0" applyFont="1" applyFill="1" applyBorder="1" applyAlignment="1">
      <alignment horizontal="left" vertical="center" wrapText="1" indent="1"/>
    </xf>
    <xf numFmtId="0" fontId="7" fillId="2" borderId="8" xfId="0" applyFont="1" applyFill="1" applyBorder="1" applyAlignment="1">
      <alignment horizontal="left" vertical="center" wrapText="1" indent="1"/>
    </xf>
    <xf numFmtId="14" fontId="6" fillId="3" borderId="8" xfId="0" applyNumberFormat="1" applyFont="1" applyFill="1" applyBorder="1" applyAlignment="1">
      <alignment horizontal="left" vertical="center" wrapText="1" indent="1"/>
    </xf>
    <xf numFmtId="3" fontId="6" fillId="3" borderId="8" xfId="0" applyNumberFormat="1" applyFont="1" applyFill="1" applyBorder="1" applyAlignment="1">
      <alignment horizontal="left" vertical="center" wrapText="1" indent="1"/>
    </xf>
    <xf numFmtId="2" fontId="6" fillId="3" borderId="8" xfId="0" applyNumberFormat="1" applyFont="1" applyFill="1" applyBorder="1" applyAlignment="1">
      <alignment horizontal="left" vertical="center" wrapText="1" indent="1"/>
    </xf>
    <xf numFmtId="166" fontId="6" fillId="3" borderId="8" xfId="0" applyNumberFormat="1" applyFont="1" applyFill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3" fontId="0" fillId="0" borderId="0" xfId="0" applyNumberFormat="1"/>
    <xf numFmtId="0" fontId="8" fillId="0" borderId="0" xfId="0" applyFont="1" applyAlignment="1">
      <alignment horizontal="left" vertical="center"/>
    </xf>
    <xf numFmtId="165" fontId="8" fillId="0" borderId="0" xfId="1" applyFont="1" applyAlignment="1">
      <alignment horizontal="left" vertical="center"/>
    </xf>
    <xf numFmtId="10" fontId="0" fillId="0" borderId="0" xfId="0" applyNumberFormat="1"/>
    <xf numFmtId="165" fontId="0" fillId="0" borderId="0" xfId="0" applyNumberFormat="1" applyAlignment="1">
      <alignment horizontal="center"/>
    </xf>
    <xf numFmtId="44" fontId="0" fillId="0" borderId="0" xfId="0" applyNumberFormat="1"/>
    <xf numFmtId="10" fontId="3" fillId="0" borderId="0" xfId="2" applyNumberFormat="1" applyFont="1"/>
    <xf numFmtId="167" fontId="6" fillId="3" borderId="0" xfId="1" applyNumberFormat="1" applyFont="1" applyFill="1" applyBorder="1" applyAlignment="1">
      <alignment horizontal="left" vertical="center" wrapText="1" indent="1"/>
    </xf>
    <xf numFmtId="0" fontId="9" fillId="4" borderId="9" xfId="0" applyFont="1" applyFill="1" applyBorder="1" applyAlignment="1">
      <alignment horizontal="left" vertical="center"/>
    </xf>
    <xf numFmtId="165" fontId="9" fillId="4" borderId="10" xfId="1" applyFont="1" applyFill="1" applyBorder="1" applyAlignment="1">
      <alignment horizontal="left" vertical="center"/>
    </xf>
    <xf numFmtId="0" fontId="9" fillId="5" borderId="11" xfId="0" applyFont="1" applyFill="1" applyBorder="1" applyAlignment="1">
      <alignment horizontal="left" vertical="center"/>
    </xf>
    <xf numFmtId="165" fontId="9" fillId="5" borderId="12" xfId="1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165" fontId="9" fillId="4" borderId="12" xfId="1" applyFont="1" applyFill="1" applyBorder="1" applyAlignment="1">
      <alignment horizontal="left" vertical="center"/>
    </xf>
    <xf numFmtId="0" fontId="10" fillId="6" borderId="13" xfId="0" applyFont="1" applyFill="1" applyBorder="1" applyAlignment="1">
      <alignment horizontal="left" vertical="center"/>
    </xf>
    <xf numFmtId="165" fontId="10" fillId="6" borderId="14" xfId="1" applyFont="1" applyFill="1" applyBorder="1" applyAlignment="1">
      <alignment horizontal="left" vertical="center"/>
    </xf>
    <xf numFmtId="0" fontId="10" fillId="6" borderId="13" xfId="0" applyFont="1" applyFill="1" applyBorder="1"/>
    <xf numFmtId="165" fontId="10" fillId="6" borderId="14" xfId="1" applyFont="1" applyFill="1" applyBorder="1"/>
    <xf numFmtId="0" fontId="10" fillId="6" borderId="15" xfId="0" applyFont="1" applyFill="1" applyBorder="1" applyAlignment="1">
      <alignment horizontal="center"/>
    </xf>
    <xf numFmtId="166" fontId="10" fillId="6" borderId="16" xfId="2" applyNumberFormat="1" applyFont="1" applyFill="1" applyBorder="1" applyAlignment="1">
      <alignment horizontal="center" wrapText="1"/>
    </xf>
    <xf numFmtId="2" fontId="11" fillId="3" borderId="8" xfId="3" applyNumberFormat="1" applyFont="1" applyFill="1" applyBorder="1" applyAlignment="1">
      <alignment horizontal="left" vertical="center" wrapText="1" indent="1"/>
    </xf>
    <xf numFmtId="43" fontId="3" fillId="0" borderId="0" xfId="3" applyFont="1" applyAlignment="1">
      <alignment horizontal="center"/>
    </xf>
    <xf numFmtId="0" fontId="9" fillId="4" borderId="17" xfId="0" applyFont="1" applyFill="1" applyBorder="1" applyAlignment="1">
      <alignment horizontal="left" vertical="center"/>
    </xf>
    <xf numFmtId="165" fontId="9" fillId="4" borderId="18" xfId="1" applyFont="1" applyFill="1" applyBorder="1" applyAlignment="1">
      <alignment horizontal="left" vertical="center"/>
    </xf>
    <xf numFmtId="0" fontId="10" fillId="6" borderId="17" xfId="0" applyFont="1" applyFill="1" applyBorder="1" applyAlignment="1">
      <alignment horizontal="left" vertical="center"/>
    </xf>
    <xf numFmtId="165" fontId="10" fillId="6" borderId="18" xfId="1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165" fontId="9" fillId="4" borderId="20" xfId="1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left" vertical="center"/>
    </xf>
    <xf numFmtId="165" fontId="9" fillId="4" borderId="22" xfId="1" applyFont="1" applyFill="1" applyBorder="1" applyAlignment="1">
      <alignment horizontal="left" vertical="center"/>
    </xf>
    <xf numFmtId="0" fontId="10" fillId="6" borderId="23" xfId="0" applyFont="1" applyFill="1" applyBorder="1"/>
    <xf numFmtId="165" fontId="10" fillId="6" borderId="24" xfId="1" applyFont="1" applyFill="1" applyBorder="1"/>
    <xf numFmtId="0" fontId="10" fillId="6" borderId="25" xfId="0" applyFont="1" applyFill="1" applyBorder="1"/>
    <xf numFmtId="165" fontId="10" fillId="6" borderId="26" xfId="1" applyFont="1" applyFill="1" applyBorder="1"/>
    <xf numFmtId="2" fontId="6" fillId="3" borderId="8" xfId="0" applyNumberFormat="1" applyFont="1" applyFill="1" applyBorder="1" applyAlignment="1">
      <alignment horizontal="left" vertical="center" indent="1"/>
    </xf>
    <xf numFmtId="167" fontId="3" fillId="0" borderId="0" xfId="1" applyNumberFormat="1" applyFont="1"/>
    <xf numFmtId="167" fontId="3" fillId="0" borderId="0" xfId="3" applyNumberFormat="1" applyFont="1"/>
    <xf numFmtId="167" fontId="0" fillId="0" borderId="0" xfId="0" applyNumberFormat="1"/>
    <xf numFmtId="167" fontId="3" fillId="0" borderId="0" xfId="1" applyNumberFormat="1" applyFont="1" applyAlignment="1">
      <alignment horizontal="left"/>
    </xf>
    <xf numFmtId="166" fontId="0" fillId="0" borderId="0" xfId="0" applyNumberFormat="1"/>
    <xf numFmtId="43" fontId="12" fillId="0" borderId="0" xfId="3" applyNumberFormat="1" applyFont="1"/>
    <xf numFmtId="170" fontId="12" fillId="0" borderId="0" xfId="3" applyNumberFormat="1" applyFont="1"/>
    <xf numFmtId="169" fontId="3" fillId="0" borderId="0" xfId="3" applyNumberFormat="1" applyFont="1"/>
    <xf numFmtId="43" fontId="3" fillId="0" borderId="0" xfId="3" applyFont="1"/>
    <xf numFmtId="3" fontId="0" fillId="0" borderId="0" xfId="0" applyNumberFormat="1" applyAlignment="1">
      <alignment vertical="top"/>
    </xf>
    <xf numFmtId="168" fontId="13" fillId="0" borderId="0" xfId="1" applyNumberFormat="1" applyFont="1"/>
    <xf numFmtId="168" fontId="14" fillId="0" borderId="0" xfId="1" applyNumberFormat="1" applyFont="1"/>
    <xf numFmtId="0" fontId="15" fillId="0" borderId="0" xfId="1" applyNumberFormat="1" applyFont="1"/>
    <xf numFmtId="165" fontId="16" fillId="0" borderId="1" xfId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6" fillId="0" borderId="1" xfId="1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165" fontId="16" fillId="0" borderId="0" xfId="1" applyFont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2" fontId="19" fillId="7" borderId="1" xfId="0" applyNumberFormat="1" applyFont="1" applyFill="1" applyBorder="1" applyAlignment="1">
      <alignment horizontal="center" vertical="center"/>
    </xf>
    <xf numFmtId="166" fontId="3" fillId="0" borderId="0" xfId="2" applyNumberFormat="1" applyFont="1"/>
    <xf numFmtId="166" fontId="3" fillId="0" borderId="0" xfId="2" applyNumberFormat="1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165" fontId="3" fillId="0" borderId="1" xfId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wrapText="1"/>
    </xf>
    <xf numFmtId="0" fontId="10" fillId="9" borderId="20" xfId="0" applyFont="1" applyFill="1" applyBorder="1" applyAlignment="1">
      <alignment horizontal="center" wrapText="1"/>
    </xf>
    <xf numFmtId="0" fontId="10" fillId="9" borderId="27" xfId="0" applyFont="1" applyFill="1" applyBorder="1" applyAlignment="1">
      <alignment horizontal="center" wrapText="1"/>
    </xf>
    <xf numFmtId="0" fontId="10" fillId="9" borderId="28" xfId="0" applyFont="1" applyFill="1" applyBorder="1" applyAlignment="1">
      <alignment horizontal="center" wrapText="1"/>
    </xf>
    <xf numFmtId="0" fontId="20" fillId="10" borderId="29" xfId="0" applyFont="1" applyFill="1" applyBorder="1" applyAlignment="1">
      <alignment horizontal="center" vertical="center" wrapText="1"/>
    </xf>
    <xf numFmtId="0" fontId="20" fillId="10" borderId="30" xfId="0" applyFont="1" applyFill="1" applyBorder="1" applyAlignment="1">
      <alignment horizontal="center" vertical="center" wrapText="1"/>
    </xf>
    <xf numFmtId="0" fontId="20" fillId="10" borderId="31" xfId="0" applyFont="1" applyFill="1" applyBorder="1" applyAlignment="1">
      <alignment horizontal="center" vertical="center" wrapText="1"/>
    </xf>
    <xf numFmtId="0" fontId="21" fillId="11" borderId="29" xfId="0" applyFont="1" applyFill="1" applyBorder="1" applyAlignment="1">
      <alignment horizontal="center" vertical="center" wrapText="1"/>
    </xf>
    <xf numFmtId="0" fontId="21" fillId="11" borderId="31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3" fontId="16" fillId="0" borderId="2" xfId="0" applyNumberFormat="1" applyFont="1" applyBorder="1" applyAlignment="1">
      <alignment horizontal="center" vertical="center"/>
    </xf>
    <xf numFmtId="3" fontId="16" fillId="0" borderId="4" xfId="0" applyNumberFormat="1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167" fontId="3" fillId="0" borderId="2" xfId="1" applyNumberFormat="1" applyFont="1" applyBorder="1" applyAlignment="1">
      <alignment horizontal="center" vertical="center"/>
    </xf>
    <xf numFmtId="167" fontId="3" fillId="0" borderId="3" xfId="1" applyNumberFormat="1" applyFont="1" applyBorder="1" applyAlignment="1">
      <alignment horizontal="center" vertical="center"/>
    </xf>
    <xf numFmtId="167" fontId="3" fillId="0" borderId="4" xfId="1" applyNumberFormat="1" applyFont="1" applyBorder="1" applyAlignment="1">
      <alignment horizontal="center" vertical="center"/>
    </xf>
    <xf numFmtId="10" fontId="23" fillId="12" borderId="1" xfId="2" applyNumberFormat="1" applyFont="1" applyFill="1" applyBorder="1" applyAlignment="1">
      <alignment horizontal="center" vertic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38"/>
  <sheetViews>
    <sheetView showGridLines="0" tabSelected="1" zoomScaleNormal="100" workbookViewId="0">
      <selection activeCell="E5" sqref="E5:H5"/>
    </sheetView>
  </sheetViews>
  <sheetFormatPr defaultRowHeight="15"/>
  <cols>
    <col min="1" max="1" width="1.5703125" customWidth="1"/>
    <col min="2" max="2" width="29.7109375" customWidth="1"/>
    <col min="3" max="3" width="22.7109375" style="1" bestFit="1" customWidth="1"/>
    <col min="4" max="4" width="4.28515625" customWidth="1"/>
    <col min="5" max="5" width="17.5703125" customWidth="1"/>
    <col min="6" max="6" width="14.5703125" customWidth="1"/>
    <col min="7" max="7" width="15.85546875" customWidth="1"/>
    <col min="8" max="8" width="14.5703125" customWidth="1"/>
    <col min="9" max="9" width="4.28515625" customWidth="1"/>
    <col min="10" max="10" width="16.140625" bestFit="1" customWidth="1"/>
    <col min="11" max="11" width="75.28515625" bestFit="1" customWidth="1"/>
  </cols>
  <sheetData>
    <row r="1" spans="2:11" ht="4.5" customHeight="1" thickBot="1">
      <c r="H1">
        <v>1</v>
      </c>
    </row>
    <row r="2" spans="2:11" ht="17.25" thickBot="1">
      <c r="B2" s="19" t="s">
        <v>0</v>
      </c>
      <c r="C2" s="20">
        <v>15004000000</v>
      </c>
      <c r="E2" s="2" t="s">
        <v>46</v>
      </c>
      <c r="F2" s="3" t="s">
        <v>70</v>
      </c>
      <c r="G2" s="4" t="s">
        <v>6</v>
      </c>
      <c r="H2" s="31">
        <v>16.25</v>
      </c>
      <c r="J2" s="2" t="s">
        <v>8</v>
      </c>
      <c r="K2" s="7" t="s">
        <v>71</v>
      </c>
    </row>
    <row r="3" spans="2:11" ht="15.75" thickBot="1">
      <c r="B3" s="21" t="s">
        <v>1</v>
      </c>
      <c r="C3" s="22">
        <v>15016900000</v>
      </c>
      <c r="E3" s="2" t="s">
        <v>22</v>
      </c>
      <c r="F3" s="6">
        <f>H4*H2</f>
        <v>255671000000</v>
      </c>
      <c r="G3" s="2"/>
      <c r="H3" s="5"/>
      <c r="J3" s="2" t="s">
        <v>7</v>
      </c>
      <c r="K3" s="7" t="s">
        <v>72</v>
      </c>
    </row>
    <row r="4" spans="2:11" ht="15.75" thickBot="1">
      <c r="B4" s="21" t="s">
        <v>47</v>
      </c>
      <c r="C4" s="22">
        <v>14300000</v>
      </c>
      <c r="E4" s="2" t="s">
        <v>23</v>
      </c>
      <c r="F4" s="6">
        <f>F3+H19</f>
        <v>244730000000</v>
      </c>
      <c r="G4" s="2" t="s">
        <v>24</v>
      </c>
      <c r="H4" s="6">
        <v>15733600000</v>
      </c>
      <c r="J4" s="2" t="s">
        <v>10</v>
      </c>
      <c r="K4" s="7" t="s">
        <v>73</v>
      </c>
    </row>
    <row r="5" spans="2:11" ht="18.75" thickBot="1">
      <c r="B5" s="23" t="s">
        <v>2</v>
      </c>
      <c r="C5" s="24">
        <v>73471300000</v>
      </c>
      <c r="E5" s="80" t="s">
        <v>25</v>
      </c>
      <c r="F5" s="81"/>
      <c r="G5" s="81"/>
      <c r="H5" s="82"/>
      <c r="J5" s="2" t="s">
        <v>11</v>
      </c>
      <c r="K5" s="3" t="s">
        <v>74</v>
      </c>
    </row>
    <row r="6" spans="2:11" ht="15.75" thickBot="1">
      <c r="B6" s="25" t="s">
        <v>67</v>
      </c>
      <c r="C6" s="26">
        <f>C5+C2</f>
        <v>88475300000</v>
      </c>
      <c r="E6" s="2" t="s">
        <v>8</v>
      </c>
      <c r="F6" s="7">
        <f>H2/H6</f>
        <v>28.280000442443615</v>
      </c>
      <c r="G6" s="2" t="s">
        <v>9</v>
      </c>
      <c r="H6" s="7">
        <f>F25/H4</f>
        <v>0.57461102354197391</v>
      </c>
      <c r="J6" s="2" t="s">
        <v>13</v>
      </c>
      <c r="K6" s="7" t="s">
        <v>75</v>
      </c>
    </row>
    <row r="7" spans="2:11" ht="15.75" thickBot="1">
      <c r="B7" s="12"/>
      <c r="C7" s="13"/>
      <c r="E7" s="2" t="s">
        <v>7</v>
      </c>
      <c r="F7" s="7">
        <f>H2/H7</f>
        <v>4.1222963004764477</v>
      </c>
      <c r="G7" s="2" t="s">
        <v>5</v>
      </c>
      <c r="H7" s="7">
        <f>H20/H4</f>
        <v>3.9419776783444349</v>
      </c>
      <c r="J7" s="2" t="s">
        <v>41</v>
      </c>
      <c r="K7" s="45" t="s">
        <v>76</v>
      </c>
    </row>
    <row r="8" spans="2:11" ht="15.75" thickBot="1">
      <c r="B8" s="37" t="s">
        <v>3</v>
      </c>
      <c r="C8" s="38">
        <v>12842300000</v>
      </c>
      <c r="E8" s="2" t="s">
        <v>10</v>
      </c>
      <c r="F8" s="7">
        <f>H2/(F24/H4)</f>
        <v>15.671684789937601</v>
      </c>
      <c r="G8" s="2" t="s">
        <v>44</v>
      </c>
      <c r="H8" s="8">
        <f>C31/F23</f>
        <v>0.77062219245498731</v>
      </c>
      <c r="J8" s="2" t="s">
        <v>42</v>
      </c>
      <c r="K8" s="7" t="s">
        <v>77</v>
      </c>
    </row>
    <row r="9" spans="2:11" ht="15.75" thickBot="1">
      <c r="B9" s="33" t="s">
        <v>4</v>
      </c>
      <c r="C9" s="34">
        <v>13611500000</v>
      </c>
      <c r="E9" s="2" t="s">
        <v>11</v>
      </c>
      <c r="F9" s="7">
        <f>H2/(F23/H4)</f>
        <v>6.2724879602165808</v>
      </c>
      <c r="G9" s="2" t="s">
        <v>12</v>
      </c>
      <c r="H9" s="8">
        <f>F24/F23</f>
        <v>0.40024337167909285</v>
      </c>
      <c r="J9" s="2" t="s">
        <v>17</v>
      </c>
      <c r="K9" s="3" t="s">
        <v>78</v>
      </c>
    </row>
    <row r="10" spans="2:11" ht="15.75" thickBot="1">
      <c r="B10" s="33" t="s">
        <v>69</v>
      </c>
      <c r="C10" s="34">
        <f>C6-C8-C9</f>
        <v>62021500000</v>
      </c>
      <c r="E10" s="2" t="s">
        <v>13</v>
      </c>
      <c r="F10" s="7">
        <f>H2/(F18/H4)</f>
        <v>4.2987761305953898</v>
      </c>
      <c r="G10" s="2" t="s">
        <v>14</v>
      </c>
      <c r="H10" s="8">
        <f>F25/F23</f>
        <v>0.22179942935229277</v>
      </c>
      <c r="J10" s="2" t="s">
        <v>43</v>
      </c>
      <c r="K10" s="7" t="s">
        <v>76</v>
      </c>
    </row>
    <row r="11" spans="2:11" ht="15.75" thickBot="1">
      <c r="B11" s="35" t="s">
        <v>68</v>
      </c>
      <c r="C11" s="36">
        <f>C8+C9</f>
        <v>26453800000</v>
      </c>
      <c r="E11" s="2" t="s">
        <v>41</v>
      </c>
      <c r="F11" s="7">
        <f>H2/((C2-C8)/H4)</f>
        <v>118.27311837905353</v>
      </c>
      <c r="G11" s="2" t="s">
        <v>15</v>
      </c>
      <c r="H11" s="8">
        <f>F24/F18</f>
        <v>0.27430210524368942</v>
      </c>
      <c r="J11" s="2" t="s">
        <v>19</v>
      </c>
      <c r="K11" s="7" t="s">
        <v>76</v>
      </c>
    </row>
    <row r="12" spans="2:11" ht="15.75" thickBot="1">
      <c r="E12" s="2" t="s">
        <v>42</v>
      </c>
      <c r="F12" s="7">
        <f>H2/((C2-C8-C9)/H4)</f>
        <v>-22.329735017205543</v>
      </c>
      <c r="G12" s="2" t="s">
        <v>16</v>
      </c>
      <c r="H12" s="8" t="e">
        <f>(C22-#REF!)/(C10+C13)</f>
        <v>#REF!</v>
      </c>
      <c r="J12" s="2" t="s">
        <v>26</v>
      </c>
      <c r="K12" s="7" t="s">
        <v>81</v>
      </c>
    </row>
    <row r="13" spans="2:11" ht="15.75" thickBot="1">
      <c r="B13" s="19" t="s">
        <v>48</v>
      </c>
      <c r="C13" s="20">
        <v>4090200000</v>
      </c>
      <c r="E13" s="2" t="s">
        <v>17</v>
      </c>
      <c r="F13" s="8">
        <f>F27/H2</f>
        <v>3.0190769230769229E-2</v>
      </c>
      <c r="G13" s="2" t="s">
        <v>18</v>
      </c>
      <c r="H13" s="8">
        <f>F25/H20</f>
        <v>0.14576719363446547</v>
      </c>
      <c r="J13" s="2" t="s">
        <v>9</v>
      </c>
      <c r="K13" s="3" t="s">
        <v>90</v>
      </c>
    </row>
    <row r="14" spans="2:11" ht="15.75" thickBot="1">
      <c r="B14" s="27" t="s">
        <v>49</v>
      </c>
      <c r="C14" s="28">
        <f>C13-(C4+C3)</f>
        <v>-10941000000</v>
      </c>
      <c r="E14" s="2" t="s">
        <v>43</v>
      </c>
      <c r="F14" s="7">
        <f>F4/C28</f>
        <v>11.716240347374821</v>
      </c>
      <c r="G14" s="2" t="s">
        <v>20</v>
      </c>
      <c r="H14" s="7">
        <f>C2/C8</f>
        <v>1.1683265458679519</v>
      </c>
      <c r="J14" s="2" t="s">
        <v>5</v>
      </c>
      <c r="K14" s="7" t="s">
        <v>91</v>
      </c>
    </row>
    <row r="15" spans="2:11" ht="15.75" thickBot="1">
      <c r="E15" s="2" t="s">
        <v>19</v>
      </c>
      <c r="F15" s="7">
        <f>F4/F24</f>
        <v>15.001042036998443</v>
      </c>
      <c r="G15" s="2" t="s">
        <v>21</v>
      </c>
      <c r="H15" s="7">
        <f>H18/H20</f>
        <v>6.5948098643212438E-2</v>
      </c>
      <c r="J15" s="2" t="s">
        <v>44</v>
      </c>
      <c r="K15" s="7" t="s">
        <v>92</v>
      </c>
    </row>
    <row r="16" spans="2:11" ht="15.75" thickBot="1">
      <c r="B16" s="76" t="s">
        <v>62</v>
      </c>
      <c r="C16" s="77"/>
      <c r="E16" s="2" t="s">
        <v>26</v>
      </c>
      <c r="F16" s="8">
        <f>C36</f>
        <v>6.0628081215641227E-2</v>
      </c>
      <c r="G16" s="2" t="s">
        <v>45</v>
      </c>
      <c r="H16" s="7">
        <f>F23/F18</f>
        <v>0.6853382832873478</v>
      </c>
      <c r="J16" s="2" t="s">
        <v>12</v>
      </c>
      <c r="K16" s="7" t="s">
        <v>93</v>
      </c>
    </row>
    <row r="17" spans="2:11" ht="18.75" thickBot="1">
      <c r="B17" s="39" t="s">
        <v>50</v>
      </c>
      <c r="C17" s="40">
        <v>36742900000</v>
      </c>
      <c r="E17" s="80" t="s">
        <v>27</v>
      </c>
      <c r="F17" s="81"/>
      <c r="G17" s="81"/>
      <c r="H17" s="82"/>
      <c r="J17" s="2" t="s">
        <v>14</v>
      </c>
      <c r="K17" s="3" t="s">
        <v>93</v>
      </c>
    </row>
    <row r="18" spans="2:11" ht="15.75" thickBot="1">
      <c r="B18" s="33" t="s">
        <v>51</v>
      </c>
      <c r="C18" s="34">
        <v>16017800000</v>
      </c>
      <c r="E18" s="2" t="s">
        <v>28</v>
      </c>
      <c r="F18" s="6">
        <f>C6-29000000000</f>
        <v>59475300000</v>
      </c>
      <c r="G18" s="2" t="s">
        <v>29</v>
      </c>
      <c r="H18" s="6">
        <f>C13</f>
        <v>4090200000</v>
      </c>
      <c r="J18" s="2" t="s">
        <v>15</v>
      </c>
      <c r="K18" s="7" t="s">
        <v>94</v>
      </c>
    </row>
    <row r="19" spans="2:11" ht="15.75" thickBot="1">
      <c r="B19" s="41" t="s">
        <v>52</v>
      </c>
      <c r="C19" s="42">
        <f>C18+C17</f>
        <v>52760700000</v>
      </c>
      <c r="E19" s="2" t="s">
        <v>30</v>
      </c>
      <c r="F19" s="6">
        <f>C3+C4</f>
        <v>15031200000</v>
      </c>
      <c r="G19" s="2" t="s">
        <v>31</v>
      </c>
      <c r="H19" s="6">
        <f>H18-F19</f>
        <v>-10941000000</v>
      </c>
      <c r="J19" s="2" t="s">
        <v>16</v>
      </c>
      <c r="K19" s="7" t="s">
        <v>94</v>
      </c>
    </row>
    <row r="20" spans="2:11" ht="15.75" thickBot="1">
      <c r="B20" s="33" t="s">
        <v>53</v>
      </c>
      <c r="C20" s="34">
        <v>10251600000</v>
      </c>
      <c r="E20" s="2" t="s">
        <v>32</v>
      </c>
      <c r="F20" s="6">
        <f>C2</f>
        <v>15004000000</v>
      </c>
      <c r="G20" s="2" t="s">
        <v>33</v>
      </c>
      <c r="H20" s="6">
        <f>C10</f>
        <v>62021500000</v>
      </c>
      <c r="J20" s="2" t="s">
        <v>18</v>
      </c>
      <c r="K20" s="7" t="s">
        <v>94</v>
      </c>
    </row>
    <row r="21" spans="2:11" ht="18.75" thickBot="1">
      <c r="B21" s="33" t="s">
        <v>54</v>
      </c>
      <c r="C21" s="34">
        <v>6062600000</v>
      </c>
      <c r="E21" s="80" t="s">
        <v>34</v>
      </c>
      <c r="F21" s="81"/>
      <c r="G21" s="81"/>
      <c r="H21" s="82"/>
      <c r="J21" s="2" t="s">
        <v>20</v>
      </c>
      <c r="K21" s="3" t="s">
        <v>105</v>
      </c>
    </row>
    <row r="22" spans="2:11" ht="15.75" thickBot="1">
      <c r="B22" s="41" t="s">
        <v>55</v>
      </c>
      <c r="C22" s="42">
        <f>C21+C20</f>
        <v>16314200000</v>
      </c>
      <c r="E22" s="83" t="s">
        <v>35</v>
      </c>
      <c r="F22" s="84"/>
      <c r="G22" s="83" t="s">
        <v>36</v>
      </c>
      <c r="H22" s="84"/>
      <c r="J22" s="2" t="s">
        <v>21</v>
      </c>
      <c r="K22" s="7" t="s">
        <v>106</v>
      </c>
    </row>
    <row r="23" spans="2:11" ht="15.75" thickBot="1">
      <c r="B23" s="33" t="s">
        <v>56</v>
      </c>
      <c r="C23" s="34">
        <v>7680300000</v>
      </c>
      <c r="E23" s="2" t="s">
        <v>37</v>
      </c>
      <c r="F23" s="6">
        <f>C17+C18-12000000000</f>
        <v>40760700000</v>
      </c>
      <c r="G23" s="2" t="s">
        <v>37</v>
      </c>
      <c r="H23" s="6">
        <v>11957700000</v>
      </c>
      <c r="J23" s="2" t="s">
        <v>45</v>
      </c>
      <c r="K23" s="7" t="s">
        <v>107</v>
      </c>
    </row>
    <row r="24" spans="2:11" ht="15.75" thickBot="1">
      <c r="B24" s="33" t="s">
        <v>57</v>
      </c>
      <c r="C24" s="34">
        <v>1360400000</v>
      </c>
      <c r="E24" s="2" t="s">
        <v>38</v>
      </c>
      <c r="F24" s="6">
        <f>C22</f>
        <v>16314200000</v>
      </c>
      <c r="G24" s="2" t="s">
        <v>38</v>
      </c>
      <c r="H24" s="6">
        <v>3017300000</v>
      </c>
      <c r="K24" s="46"/>
    </row>
    <row r="25" spans="2:11" ht="15.75" thickBot="1">
      <c r="B25" s="41" t="s">
        <v>64</v>
      </c>
      <c r="C25" s="42">
        <f>C24+C23</f>
        <v>9040700000</v>
      </c>
      <c r="E25" s="2" t="s">
        <v>39</v>
      </c>
      <c r="F25" s="6">
        <f>C25</f>
        <v>9040700000</v>
      </c>
      <c r="G25" s="2" t="s">
        <v>39</v>
      </c>
      <c r="H25" s="6">
        <v>2497700000</v>
      </c>
      <c r="J25" s="71"/>
      <c r="K25" s="47"/>
    </row>
    <row r="26" spans="2:11">
      <c r="B26" s="33" t="s">
        <v>58</v>
      </c>
      <c r="C26" s="34">
        <v>13662700000</v>
      </c>
      <c r="J26" s="16"/>
      <c r="K26" s="48"/>
    </row>
    <row r="27" spans="2:11">
      <c r="B27" s="33" t="s">
        <v>59</v>
      </c>
      <c r="C27" s="34">
        <v>7225400000</v>
      </c>
      <c r="E27" s="9" t="s">
        <v>40</v>
      </c>
      <c r="F27" s="18">
        <v>0.49059999999999998</v>
      </c>
      <c r="G27" s="11"/>
      <c r="H27" s="11"/>
      <c r="I27" s="15"/>
      <c r="K27" s="49"/>
    </row>
    <row r="28" spans="2:11">
      <c r="B28" s="41" t="s">
        <v>63</v>
      </c>
      <c r="C28" s="42">
        <f>C27+C26</f>
        <v>20888100000</v>
      </c>
      <c r="K28" s="48"/>
    </row>
    <row r="29" spans="2:11">
      <c r="B29" s="33" t="s">
        <v>60</v>
      </c>
      <c r="C29" s="34">
        <v>21444200000</v>
      </c>
      <c r="E29" s="70"/>
      <c r="G29" s="32"/>
      <c r="H29" s="10"/>
    </row>
    <row r="30" spans="2:11" ht="16.5">
      <c r="B30" s="33" t="s">
        <v>61</v>
      </c>
      <c r="C30" s="34">
        <v>9966900000</v>
      </c>
      <c r="G30" s="58"/>
    </row>
    <row r="31" spans="2:11">
      <c r="B31" s="43" t="s">
        <v>65</v>
      </c>
      <c r="C31" s="44">
        <f>C30+C29</f>
        <v>31411100000</v>
      </c>
      <c r="E31" s="57"/>
      <c r="G31" s="56"/>
      <c r="J31" s="14"/>
    </row>
    <row r="32" spans="2:11">
      <c r="C32"/>
      <c r="E32" s="57"/>
      <c r="G32" s="57"/>
    </row>
    <row r="33" spans="2:11">
      <c r="B33" s="78" t="s">
        <v>66</v>
      </c>
      <c r="C33" s="79"/>
      <c r="E33" s="55"/>
      <c r="G33" s="11"/>
      <c r="K33" s="16"/>
    </row>
    <row r="34" spans="2:11">
      <c r="B34" s="19" t="s">
        <v>79</v>
      </c>
      <c r="C34" s="20">
        <v>58379000000</v>
      </c>
    </row>
    <row r="35" spans="2:11">
      <c r="B35" s="23" t="s">
        <v>80</v>
      </c>
      <c r="C35" s="24">
        <v>46132200000</v>
      </c>
      <c r="E35" s="52"/>
    </row>
    <row r="36" spans="2:11">
      <c r="B36" s="29" t="s">
        <v>26</v>
      </c>
      <c r="C36" s="30">
        <f>(((C34)/(C35))^(1/4))-1</f>
        <v>6.0628081215641227E-2</v>
      </c>
      <c r="E36" s="17"/>
      <c r="F36" s="17"/>
    </row>
    <row r="37" spans="2:11">
      <c r="B37" s="54"/>
      <c r="E37" s="50"/>
      <c r="F37" s="17"/>
    </row>
    <row r="38" spans="2:11">
      <c r="B38" s="51"/>
      <c r="C38" s="53"/>
    </row>
  </sheetData>
  <mergeCells count="7">
    <mergeCell ref="B16:C16"/>
    <mergeCell ref="B33:C33"/>
    <mergeCell ref="E5:H5"/>
    <mergeCell ref="E17:H17"/>
    <mergeCell ref="E21:H21"/>
    <mergeCell ref="E22:F22"/>
    <mergeCell ref="G22:H2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H9" evalErro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showGridLines="0" zoomScaleNormal="100" workbookViewId="0">
      <selection activeCell="I17" sqref="I17"/>
    </sheetView>
  </sheetViews>
  <sheetFormatPr defaultRowHeight="14.45" customHeight="1"/>
  <cols>
    <col min="1" max="1" width="1.5703125" style="65" customWidth="1"/>
    <col min="2" max="2" width="26.28515625" style="65" customWidth="1"/>
    <col min="3" max="3" width="23" style="65" customWidth="1"/>
    <col min="4" max="4" width="19.7109375" style="65" customWidth="1"/>
    <col min="5" max="5" width="3.5703125" style="65" customWidth="1"/>
    <col min="6" max="6" width="2.28515625" style="66" customWidth="1"/>
    <col min="7" max="7" width="3.5703125" style="65" customWidth="1"/>
    <col min="8" max="8" width="22.5703125" style="65" customWidth="1"/>
    <col min="9" max="11" width="19.7109375" style="65" customWidth="1"/>
    <col min="12" max="13" width="9.140625" style="65"/>
    <col min="14" max="16" width="19.7109375" style="65" customWidth="1"/>
    <col min="17" max="16384" width="9.140625" style="65"/>
  </cols>
  <sheetData>
    <row r="2" spans="2:11" s="62" customFormat="1" ht="14.45" customHeight="1">
      <c r="B2" s="92" t="s">
        <v>86</v>
      </c>
      <c r="C2" s="90" t="s">
        <v>88</v>
      </c>
      <c r="D2" s="91"/>
      <c r="F2" s="63"/>
    </row>
    <row r="3" spans="2:11" s="62" customFormat="1" ht="14.45" customHeight="1">
      <c r="B3" s="92"/>
      <c r="C3" s="88">
        <v>9804140000</v>
      </c>
      <c r="D3" s="89"/>
      <c r="F3" s="63"/>
      <c r="I3" s="85" t="s">
        <v>9</v>
      </c>
      <c r="J3" s="86"/>
      <c r="K3" s="87"/>
    </row>
    <row r="4" spans="2:11" s="62" customFormat="1" ht="14.45" customHeight="1">
      <c r="B4" s="92"/>
      <c r="C4" s="64" t="s">
        <v>39</v>
      </c>
      <c r="D4" s="64" t="s">
        <v>9</v>
      </c>
      <c r="F4" s="63"/>
      <c r="I4" s="64" t="s">
        <v>83</v>
      </c>
      <c r="J4" s="64" t="s">
        <v>82</v>
      </c>
      <c r="K4" s="64" t="s">
        <v>84</v>
      </c>
    </row>
    <row r="5" spans="2:11" s="62" customFormat="1" ht="14.45" customHeight="1">
      <c r="B5" s="64">
        <v>2020</v>
      </c>
      <c r="C5" s="59">
        <v>18961000000</v>
      </c>
      <c r="D5" s="60">
        <f>IF(OR(C5="",C$3=""),"",C5/C$3)</f>
        <v>1.933978910949864</v>
      </c>
      <c r="F5" s="63"/>
      <c r="H5" s="64">
        <v>2020</v>
      </c>
      <c r="I5" s="60">
        <f>D5</f>
        <v>1.933978910949864</v>
      </c>
      <c r="J5" s="61">
        <f>D15</f>
        <v>1.7024839453940084</v>
      </c>
      <c r="K5" s="60">
        <f>D25</f>
        <v>4.3666040664195824</v>
      </c>
    </row>
    <row r="6" spans="2:11" s="62" customFormat="1" ht="14.45" customHeight="1">
      <c r="B6" s="64">
        <v>2019</v>
      </c>
      <c r="C6" s="59">
        <v>26711679000</v>
      </c>
      <c r="D6" s="60">
        <f>IF(OR(C6="",C$3=""),"",C6/C$3)</f>
        <v>2.7245305554592245</v>
      </c>
      <c r="F6" s="63"/>
      <c r="H6" s="64">
        <v>2019</v>
      </c>
      <c r="I6" s="60">
        <f>D6</f>
        <v>2.7245305554592245</v>
      </c>
      <c r="J6" s="61">
        <f>D16</f>
        <v>2.3235343328792437</v>
      </c>
      <c r="K6" s="60">
        <f>D26</f>
        <v>6.2466751819977526</v>
      </c>
    </row>
    <row r="7" spans="2:11" s="62" customFormat="1" ht="14.45" customHeight="1">
      <c r="B7" s="64">
        <v>2018</v>
      </c>
      <c r="C7" s="59">
        <v>21945387008</v>
      </c>
      <c r="D7" s="60">
        <f>IF(OR(C7="",C$3=""),"",C7/C$3)</f>
        <v>2.2383796037184291</v>
      </c>
      <c r="F7" s="63"/>
      <c r="H7" s="64">
        <v>2018</v>
      </c>
      <c r="I7" s="60">
        <f>D7</f>
        <v>2.2383796037184291</v>
      </c>
      <c r="J7" s="61">
        <f>D17</f>
        <v>1.9636582425497064</v>
      </c>
      <c r="K7" s="60">
        <f>D27</f>
        <v>4.4142928436319977</v>
      </c>
    </row>
    <row r="8" spans="2:11" s="62" customFormat="1" ht="14.45" customHeight="1">
      <c r="B8" s="64">
        <v>2017</v>
      </c>
      <c r="C8" s="59">
        <v>21108465664</v>
      </c>
      <c r="D8" s="60">
        <f>IF(OR(C8="",C$3=""),"",C8/C$3)</f>
        <v>2.1530155285420243</v>
      </c>
      <c r="F8" s="63"/>
      <c r="H8" s="64">
        <v>2017</v>
      </c>
      <c r="I8" s="60">
        <f>D8</f>
        <v>2.1530155285420243</v>
      </c>
      <c r="J8" s="61">
        <f>D18</f>
        <v>1.5081422455623372</v>
      </c>
      <c r="K8" s="60">
        <f>D28</f>
        <v>3.7973831857109954</v>
      </c>
    </row>
    <row r="9" spans="2:11" s="62" customFormat="1" ht="14.45" customHeight="1">
      <c r="B9" s="64">
        <v>2016</v>
      </c>
      <c r="C9" s="59">
        <v>18853195776</v>
      </c>
      <c r="D9" s="60">
        <f>IF(OR(C9="",C$3=""),"",C9/C$3)</f>
        <v>1.922983125087973</v>
      </c>
      <c r="F9" s="63"/>
      <c r="H9" s="64">
        <v>2016</v>
      </c>
      <c r="I9" s="60">
        <f>D9</f>
        <v>1.922983125087973</v>
      </c>
      <c r="J9" s="61">
        <f>D19</f>
        <v>1.5519553669688901</v>
      </c>
      <c r="K9" s="60">
        <f>D29</f>
        <v>2.7675224043944691</v>
      </c>
    </row>
    <row r="10" spans="2:11" s="62" customFormat="1" ht="14.45" customHeight="1">
      <c r="B10" s="67"/>
      <c r="C10" s="68" t="s">
        <v>89</v>
      </c>
      <c r="D10" s="69">
        <f>SUM(D5:D9)/5</f>
        <v>2.1945775447515028</v>
      </c>
      <c r="F10" s="63"/>
      <c r="H10" s="68" t="s">
        <v>89</v>
      </c>
      <c r="I10" s="69">
        <f>SUM(I5:I9)/5</f>
        <v>2.1945775447515028</v>
      </c>
      <c r="J10" s="69">
        <f>SUM(J5:J9)/5</f>
        <v>1.8099548266708372</v>
      </c>
      <c r="K10" s="69">
        <f>SUM(K5:K9)/5</f>
        <v>4.3184955364309596</v>
      </c>
    </row>
    <row r="11" spans="2:11" s="62" customFormat="1" ht="14.45" customHeight="1">
      <c r="F11" s="63"/>
    </row>
    <row r="12" spans="2:11" s="62" customFormat="1" ht="14.45" customHeight="1">
      <c r="B12" s="92" t="s">
        <v>85</v>
      </c>
      <c r="C12" s="90" t="s">
        <v>88</v>
      </c>
      <c r="D12" s="91"/>
      <c r="F12" s="63"/>
    </row>
    <row r="13" spans="2:11" s="62" customFormat="1" ht="14.45" customHeight="1">
      <c r="B13" s="92"/>
      <c r="C13" s="88">
        <v>9719080000</v>
      </c>
      <c r="D13" s="89"/>
      <c r="F13" s="63"/>
    </row>
    <row r="14" spans="2:11" s="62" customFormat="1" ht="14.45" customHeight="1">
      <c r="B14" s="92"/>
      <c r="C14" s="64" t="s">
        <v>39</v>
      </c>
      <c r="D14" s="64" t="s">
        <v>9</v>
      </c>
      <c r="F14" s="63"/>
    </row>
    <row r="15" spans="2:11" s="62" customFormat="1" ht="14.45" customHeight="1">
      <c r="B15" s="64">
        <v>2020</v>
      </c>
      <c r="C15" s="59">
        <v>16546577664</v>
      </c>
      <c r="D15" s="60">
        <f>IF(OR(C15="",C$13=""),"",C15/C$13)</f>
        <v>1.7024839453940084</v>
      </c>
      <c r="F15" s="63"/>
    </row>
    <row r="16" spans="2:11" s="62" customFormat="1" ht="14.45" customHeight="1">
      <c r="B16" s="64">
        <v>2019</v>
      </c>
      <c r="C16" s="59">
        <v>22582616064</v>
      </c>
      <c r="D16" s="60">
        <f>IF(OR(C16="",C$13=""),"",C16/C$13)</f>
        <v>2.3235343328792437</v>
      </c>
      <c r="F16" s="63"/>
    </row>
    <row r="17" spans="2:6" s="62" customFormat="1" ht="14.45" customHeight="1">
      <c r="B17" s="64">
        <v>2018</v>
      </c>
      <c r="C17" s="59">
        <v>19084951552</v>
      </c>
      <c r="D17" s="60">
        <f>IF(OR(C17="",C$13=""),"",C17/C$13)</f>
        <v>1.9636582425497064</v>
      </c>
      <c r="F17" s="63"/>
    </row>
    <row r="18" spans="2:6" s="62" customFormat="1" ht="14.45" customHeight="1">
      <c r="B18" s="64">
        <v>2017</v>
      </c>
      <c r="C18" s="59">
        <v>14657755136</v>
      </c>
      <c r="D18" s="60">
        <f>IF(OR(C18="",C$13=""),"",C18/C$13)</f>
        <v>1.5081422455623372</v>
      </c>
      <c r="F18" s="63"/>
    </row>
    <row r="19" spans="2:6" s="62" customFormat="1" ht="14.45" customHeight="1">
      <c r="B19" s="64">
        <v>2016</v>
      </c>
      <c r="C19" s="59">
        <v>15083578368</v>
      </c>
      <c r="D19" s="60">
        <f>IF(OR(C19="",C$13=""),"",C19/C$13)</f>
        <v>1.5519553669688901</v>
      </c>
      <c r="F19" s="63"/>
    </row>
    <row r="20" spans="2:6" s="62" customFormat="1" ht="14.45" customHeight="1">
      <c r="B20" s="67"/>
      <c r="C20" s="68" t="s">
        <v>89</v>
      </c>
      <c r="D20" s="69">
        <f>SUM(D15:D19)/5</f>
        <v>1.8099548266708372</v>
      </c>
      <c r="F20" s="63"/>
    </row>
    <row r="21" spans="2:6" s="62" customFormat="1" ht="14.45" customHeight="1">
      <c r="F21" s="63"/>
    </row>
    <row r="22" spans="2:6" s="62" customFormat="1" ht="14.45" customHeight="1">
      <c r="B22" s="93" t="s">
        <v>87</v>
      </c>
      <c r="C22" s="90" t="s">
        <v>88</v>
      </c>
      <c r="D22" s="91"/>
      <c r="F22" s="63"/>
    </row>
    <row r="23" spans="2:6" s="62" customFormat="1" ht="14.45" customHeight="1">
      <c r="B23" s="94"/>
      <c r="C23" s="88">
        <v>2865420000</v>
      </c>
      <c r="D23" s="89"/>
      <c r="F23" s="63"/>
    </row>
    <row r="24" spans="2:6" s="62" customFormat="1" ht="14.45" customHeight="1">
      <c r="B24" s="95"/>
      <c r="C24" s="64" t="s">
        <v>39</v>
      </c>
      <c r="D24" s="64" t="s">
        <v>9</v>
      </c>
      <c r="F24" s="63"/>
    </row>
    <row r="25" spans="2:6" s="62" customFormat="1" ht="14.45" customHeight="1">
      <c r="B25" s="64">
        <v>2020</v>
      </c>
      <c r="C25" s="59">
        <v>12512154624</v>
      </c>
      <c r="D25" s="60">
        <f>IF(OR(C25="",C$23=""),"",C25/C$23)</f>
        <v>4.3666040664195824</v>
      </c>
      <c r="F25" s="63"/>
    </row>
    <row r="26" spans="2:6" s="62" customFormat="1" ht="14.45" customHeight="1">
      <c r="B26" s="64">
        <v>2019</v>
      </c>
      <c r="C26" s="59">
        <v>17899348000</v>
      </c>
      <c r="D26" s="60">
        <f>IF(OR(C26="",C$23=""),"",C26/C$23)</f>
        <v>6.2466751819977526</v>
      </c>
      <c r="F26" s="63"/>
    </row>
    <row r="27" spans="2:6" s="62" customFormat="1" ht="14.45" customHeight="1">
      <c r="B27" s="64">
        <v>2018</v>
      </c>
      <c r="C27" s="59">
        <v>12648803000</v>
      </c>
      <c r="D27" s="60">
        <f>IF(OR(C27="",C$23=""),"",C27/C$23)</f>
        <v>4.4142928436319977</v>
      </c>
      <c r="F27" s="63"/>
    </row>
    <row r="28" spans="2:6" s="62" customFormat="1" ht="14.45" customHeight="1">
      <c r="B28" s="64">
        <v>2017</v>
      </c>
      <c r="C28" s="59">
        <v>10881097728</v>
      </c>
      <c r="D28" s="60">
        <f>IF(OR(C28="",C$23=""),"",C28/C$23)</f>
        <v>3.7973831857109954</v>
      </c>
      <c r="F28" s="63"/>
    </row>
    <row r="29" spans="2:6" s="62" customFormat="1" ht="14.45" customHeight="1">
      <c r="B29" s="64">
        <v>2016</v>
      </c>
      <c r="C29" s="59">
        <v>7930114048</v>
      </c>
      <c r="D29" s="60">
        <f>IF(OR(C29="",C$23=""),"",C29/C$23)</f>
        <v>2.7675224043944691</v>
      </c>
      <c r="F29" s="63"/>
    </row>
    <row r="30" spans="2:6" s="62" customFormat="1" ht="14.45" customHeight="1">
      <c r="C30" s="68" t="s">
        <v>89</v>
      </c>
      <c r="D30" s="69">
        <f>SUM(D25:D29)/5</f>
        <v>4.3184955364309596</v>
      </c>
      <c r="F30" s="63"/>
    </row>
    <row r="31" spans="2:6" s="62" customFormat="1" ht="14.45" customHeight="1">
      <c r="F31" s="63"/>
    </row>
    <row r="32" spans="2:6" s="62" customFormat="1" ht="14.45" customHeight="1">
      <c r="B32" s="65"/>
      <c r="C32" s="65"/>
      <c r="D32" s="65"/>
      <c r="F32" s="63"/>
    </row>
    <row r="33" spans="2:6" s="62" customFormat="1" ht="14.45" customHeight="1">
      <c r="B33" s="65"/>
      <c r="C33" s="65"/>
      <c r="D33" s="65"/>
      <c r="F33" s="63"/>
    </row>
    <row r="34" spans="2:6" s="62" customFormat="1" ht="14.45" customHeight="1">
      <c r="B34" s="65"/>
      <c r="C34" s="65"/>
      <c r="D34" s="65"/>
      <c r="F34" s="63"/>
    </row>
    <row r="35" spans="2:6" s="62" customFormat="1" ht="14.45" customHeight="1">
      <c r="B35" s="65"/>
      <c r="C35" s="65"/>
      <c r="D35" s="65"/>
      <c r="F35" s="63"/>
    </row>
    <row r="36" spans="2:6" s="62" customFormat="1" ht="14.45" customHeight="1">
      <c r="B36" s="65"/>
      <c r="C36" s="65"/>
      <c r="D36" s="65"/>
      <c r="F36" s="63"/>
    </row>
  </sheetData>
  <mergeCells count="10">
    <mergeCell ref="I3:K3"/>
    <mergeCell ref="C13:D13"/>
    <mergeCell ref="C12:D12"/>
    <mergeCell ref="B12:B14"/>
    <mergeCell ref="B22:B24"/>
    <mergeCell ref="C22:D22"/>
    <mergeCell ref="C23:D23"/>
    <mergeCell ref="C3:D3"/>
    <mergeCell ref="B2:B4"/>
    <mergeCell ref="C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showGridLines="0" workbookViewId="0">
      <selection activeCell="D15" sqref="D15"/>
    </sheetView>
  </sheetViews>
  <sheetFormatPr defaultRowHeight="24.95" customHeight="1"/>
  <cols>
    <col min="1" max="1" width="9.140625" style="72"/>
    <col min="2" max="2" width="19.28515625" style="73" customWidth="1"/>
    <col min="3" max="3" width="15.7109375" style="72" customWidth="1"/>
    <col min="4" max="4" width="18.28515625" style="72" customWidth="1"/>
    <col min="5" max="5" width="19.7109375" style="72" customWidth="1"/>
    <col min="6" max="6" width="16.5703125" style="72" customWidth="1"/>
    <col min="7" max="16384" width="9.140625" style="72"/>
  </cols>
  <sheetData>
    <row r="2" spans="2:6" ht="24.95" customHeight="1">
      <c r="C2" s="75" t="s">
        <v>98</v>
      </c>
      <c r="D2" s="75" t="s">
        <v>99</v>
      </c>
      <c r="E2" s="75" t="s">
        <v>97</v>
      </c>
      <c r="F2" s="75" t="s">
        <v>16</v>
      </c>
    </row>
    <row r="3" spans="2:6" ht="24.95" customHeight="1">
      <c r="B3" s="75" t="s">
        <v>38</v>
      </c>
      <c r="C3" s="74">
        <v>2450.5</v>
      </c>
      <c r="D3" s="74">
        <v>645.4</v>
      </c>
      <c r="E3" s="74">
        <f>D3+C3-1000</f>
        <v>2095.9</v>
      </c>
      <c r="F3" s="99">
        <f>(E3-E4)/(C8+E7)</f>
        <v>7.604614312754715E-2</v>
      </c>
    </row>
    <row r="4" spans="2:6" ht="24.95" customHeight="1">
      <c r="B4" s="75" t="s">
        <v>95</v>
      </c>
      <c r="C4" s="74">
        <v>683.9</v>
      </c>
      <c r="D4" s="74">
        <v>178.6</v>
      </c>
      <c r="E4" s="74">
        <f>D4+C4</f>
        <v>862.5</v>
      </c>
      <c r="F4" s="99"/>
    </row>
    <row r="5" spans="2:6" ht="24.95" customHeight="1">
      <c r="F5" s="99"/>
    </row>
    <row r="6" spans="2:6" ht="24.95" customHeight="1">
      <c r="C6" s="75" t="s">
        <v>100</v>
      </c>
      <c r="D6" s="75" t="s">
        <v>101</v>
      </c>
      <c r="E6" s="75" t="s">
        <v>102</v>
      </c>
      <c r="F6" s="99"/>
    </row>
    <row r="7" spans="2:6" ht="24.95" customHeight="1">
      <c r="B7" s="75" t="s">
        <v>96</v>
      </c>
      <c r="C7" s="74">
        <v>2018.6</v>
      </c>
      <c r="D7" s="74">
        <v>8735.4</v>
      </c>
      <c r="E7" s="74">
        <f>D7+C7-2000</f>
        <v>8754</v>
      </c>
      <c r="F7" s="99"/>
    </row>
    <row r="8" spans="2:6" ht="24.95" customHeight="1">
      <c r="B8" s="75" t="s">
        <v>103</v>
      </c>
      <c r="C8" s="96">
        <v>7465.1</v>
      </c>
      <c r="D8" s="97"/>
      <c r="E8" s="98"/>
      <c r="F8" s="99"/>
    </row>
  </sheetData>
  <mergeCells count="2">
    <mergeCell ref="C8:E8"/>
    <mergeCell ref="F3:F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"/>
  <sheetViews>
    <sheetView showGridLines="0" workbookViewId="0">
      <selection activeCell="C5" sqref="C5:E5"/>
    </sheetView>
  </sheetViews>
  <sheetFormatPr defaultRowHeight="24.95" customHeight="1"/>
  <cols>
    <col min="1" max="1" width="9.140625" style="72"/>
    <col min="2" max="2" width="19.28515625" style="73" customWidth="1"/>
    <col min="3" max="3" width="15.7109375" style="72" customWidth="1"/>
    <col min="4" max="4" width="18.28515625" style="72" customWidth="1"/>
    <col min="5" max="5" width="19.7109375" style="72" customWidth="1"/>
    <col min="6" max="6" width="16.5703125" style="72" customWidth="1"/>
    <col min="7" max="16384" width="9.140625" style="72"/>
  </cols>
  <sheetData>
    <row r="3" spans="2:6" ht="24.95" customHeight="1">
      <c r="C3" s="75" t="s">
        <v>98</v>
      </c>
      <c r="D3" s="75" t="s">
        <v>99</v>
      </c>
      <c r="E3" s="75" t="s">
        <v>97</v>
      </c>
      <c r="F3" s="75" t="s">
        <v>18</v>
      </c>
    </row>
    <row r="4" spans="2:6" ht="24.95" customHeight="1">
      <c r="B4" s="75" t="s">
        <v>104</v>
      </c>
      <c r="C4" s="74">
        <v>1601.6</v>
      </c>
      <c r="D4" s="74">
        <v>401.8</v>
      </c>
      <c r="E4" s="74">
        <f>D4+C4-900</f>
        <v>1103.3999999999999</v>
      </c>
      <c r="F4" s="99">
        <f>E4/C5</f>
        <v>0.1819261017955186</v>
      </c>
    </row>
    <row r="5" spans="2:6" ht="24.95" customHeight="1">
      <c r="B5" s="75" t="s">
        <v>103</v>
      </c>
      <c r="C5" s="96">
        <f>7465.1-1400</f>
        <v>6065.1</v>
      </c>
      <c r="D5" s="97"/>
      <c r="E5" s="98"/>
      <c r="F5" s="99"/>
    </row>
  </sheetData>
  <mergeCells count="2">
    <mergeCell ref="F4:F5"/>
    <mergeCell ref="C5:E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FUNDAMENTUS</vt:lpstr>
      <vt:lpstr>LPA</vt:lpstr>
      <vt:lpstr>ROIC</vt:lpstr>
      <vt:lpstr>ROE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leode</cp:lastModifiedBy>
  <dcterms:created xsi:type="dcterms:W3CDTF">2018-11-08T15:25:18Z</dcterms:created>
  <dcterms:modified xsi:type="dcterms:W3CDTF">2023-06-08T18:27:12Z</dcterms:modified>
</cp:coreProperties>
</file>