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Project\Cross Border Modelling\"/>
    </mc:Choice>
  </mc:AlternateContent>
  <xr:revisionPtr revIDLastSave="0" documentId="13_ncr:1_{D4F91652-F89D-4346-9C9F-9A1AC7006077}" xr6:coauthVersionLast="47" xr6:coauthVersionMax="47" xr10:uidLastSave="{00000000-0000-0000-0000-000000000000}"/>
  <bookViews>
    <workbookView xWindow="-108" yWindow="-108" windowWidth="23256" windowHeight="13896" tabRatio="707" activeTab="3" xr2:uid="{E7733511-2C4F-4B73-BDD2-4B98DD113938}"/>
  </bookViews>
  <sheets>
    <sheet name="Description" sheetId="2" r:id="rId1"/>
    <sheet name="Dashboard" sheetId="5" r:id="rId2"/>
    <sheet name="dont delete" sheetId="17" state="hidden" r:id="rId3"/>
    <sheet name="NVNC" sheetId="12" r:id="rId4"/>
    <sheet name="NVC 1" sheetId="9" r:id="rId5"/>
    <sheet name="NVC 2" sheetId="10" r:id="rId6"/>
    <sheet name="NVC 3" sheetId="11" r:id="rId7"/>
    <sheet name="VNC" sheetId="8" r:id="rId8"/>
    <sheet name="VC 1" sheetId="1" r:id="rId9"/>
    <sheet name="VC 2" sheetId="6" r:id="rId10"/>
    <sheet name="VC 3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2" l="1"/>
  <c r="C19" i="12"/>
  <c r="C18" i="12"/>
  <c r="C15" i="12"/>
  <c r="T10" i="7"/>
  <c r="O10" i="7"/>
  <c r="O10" i="6"/>
  <c r="T10" i="6"/>
  <c r="T10" i="1"/>
  <c r="O10" i="1"/>
  <c r="T10" i="8"/>
  <c r="O10" i="8"/>
  <c r="O10" i="11"/>
  <c r="T10" i="11"/>
  <c r="T10" i="10"/>
  <c r="O10" i="10"/>
  <c r="W5" i="5" l="1"/>
  <c r="V5" i="5"/>
  <c r="O6" i="5"/>
  <c r="W4" i="5"/>
  <c r="V4" i="5"/>
  <c r="U4" i="5"/>
  <c r="T4" i="5"/>
  <c r="Q4" i="5"/>
  <c r="P4" i="5"/>
  <c r="O4" i="5"/>
  <c r="N4" i="5"/>
  <c r="C20" i="12"/>
  <c r="W23" i="5"/>
  <c r="V23" i="5"/>
  <c r="U23" i="5"/>
  <c r="T23" i="5"/>
  <c r="P23" i="5"/>
  <c r="Q23" i="5"/>
  <c r="O23" i="5"/>
  <c r="N23" i="5"/>
  <c r="X4" i="7"/>
  <c r="Y3" i="7"/>
  <c r="X4" i="6"/>
  <c r="Y3" i="6"/>
  <c r="X4" i="1"/>
  <c r="Y3" i="1"/>
  <c r="X4" i="11"/>
  <c r="Y3" i="11"/>
  <c r="X4" i="10"/>
  <c r="Y3" i="10"/>
  <c r="X4" i="9"/>
  <c r="Y3" i="9"/>
  <c r="C14" i="11"/>
  <c r="C14" i="10"/>
  <c r="C14" i="9"/>
  <c r="C14" i="12"/>
  <c r="C4" i="12" s="1"/>
  <c r="C14" i="8"/>
  <c r="C14" i="6"/>
  <c r="C14" i="7" l="1"/>
  <c r="C4" i="7" s="1"/>
  <c r="C4" i="6"/>
  <c r="C14" i="1"/>
  <c r="C4" i="1" s="1"/>
  <c r="C4" i="8"/>
  <c r="C20" i="7"/>
  <c r="C18" i="7"/>
  <c r="C19" i="7" s="1"/>
  <c r="C11" i="7"/>
  <c r="C10" i="7"/>
  <c r="C9" i="7"/>
  <c r="C7" i="7"/>
  <c r="C8" i="7" s="1"/>
  <c r="C5" i="7"/>
  <c r="C6" i="7" s="1"/>
  <c r="C3" i="7"/>
  <c r="C20" i="6"/>
  <c r="C21" i="6" s="1"/>
  <c r="C18" i="6"/>
  <c r="C11" i="6"/>
  <c r="C10" i="6"/>
  <c r="C9" i="6"/>
  <c r="C7" i="6"/>
  <c r="C8" i="6" s="1"/>
  <c r="C5" i="6"/>
  <c r="C6" i="6" s="1"/>
  <c r="C3" i="6"/>
  <c r="C20" i="1"/>
  <c r="C21" i="1" s="1"/>
  <c r="C18" i="1"/>
  <c r="C11" i="1"/>
  <c r="C10" i="1"/>
  <c r="C9" i="1"/>
  <c r="C7" i="1"/>
  <c r="C8" i="1" s="1"/>
  <c r="C5" i="1"/>
  <c r="C6" i="1" s="1"/>
  <c r="C3" i="1"/>
  <c r="C20" i="8"/>
  <c r="C18" i="8"/>
  <c r="C19" i="8" s="1"/>
  <c r="C11" i="8"/>
  <c r="C10" i="8"/>
  <c r="C9" i="8"/>
  <c r="C7" i="8"/>
  <c r="C8" i="8" s="1"/>
  <c r="C5" i="8"/>
  <c r="C6" i="8" s="1"/>
  <c r="X4" i="8"/>
  <c r="Y3" i="8"/>
  <c r="C3" i="8"/>
  <c r="X4" i="12"/>
  <c r="Y3" i="12"/>
  <c r="C11" i="12"/>
  <c r="C10" i="12"/>
  <c r="C9" i="12"/>
  <c r="C7" i="12"/>
  <c r="C8" i="12" s="1"/>
  <c r="C5" i="12"/>
  <c r="C6" i="12" s="1"/>
  <c r="C3" i="12"/>
  <c r="C20" i="11"/>
  <c r="C18" i="11"/>
  <c r="C11" i="11"/>
  <c r="C10" i="11"/>
  <c r="C9" i="11"/>
  <c r="C7" i="11"/>
  <c r="C8" i="11" s="1"/>
  <c r="C5" i="11"/>
  <c r="C6" i="11" s="1"/>
  <c r="C4" i="11"/>
  <c r="C3" i="11"/>
  <c r="C20" i="10"/>
  <c r="C18" i="10"/>
  <c r="C4" i="10"/>
  <c r="C11" i="10"/>
  <c r="C10" i="10"/>
  <c r="C9" i="10"/>
  <c r="C7" i="10"/>
  <c r="C8" i="10" s="1"/>
  <c r="C5" i="10"/>
  <c r="C6" i="10" s="1"/>
  <c r="C3" i="10"/>
  <c r="C20" i="9"/>
  <c r="C18" i="9"/>
  <c r="C4" i="9"/>
  <c r="C11" i="9"/>
  <c r="C10" i="9"/>
  <c r="C9" i="9"/>
  <c r="C7" i="9"/>
  <c r="C8" i="9" s="1"/>
  <c r="C5" i="9"/>
  <c r="C6" i="9" s="1"/>
  <c r="C3" i="9"/>
  <c r="D27" i="5"/>
  <c r="C15" i="11" s="1"/>
  <c r="D26" i="5"/>
  <c r="C15" i="10" s="1"/>
  <c r="D25" i="5"/>
  <c r="C15" i="9" s="1"/>
  <c r="D24" i="5"/>
  <c r="D10" i="5"/>
  <c r="D7" i="5"/>
  <c r="Q3" i="7" l="1"/>
  <c r="L3" i="7"/>
  <c r="C19" i="9"/>
  <c r="L3" i="9" s="1"/>
  <c r="Q3" i="12"/>
  <c r="C21" i="10"/>
  <c r="C21" i="11"/>
  <c r="C19" i="10"/>
  <c r="Q3" i="10" s="1"/>
  <c r="Q3" i="8"/>
  <c r="S3" i="8" s="1"/>
  <c r="C21" i="7"/>
  <c r="C19" i="6"/>
  <c r="Q3" i="6" s="1"/>
  <c r="C19" i="1"/>
  <c r="Q3" i="1" s="1"/>
  <c r="L3" i="8"/>
  <c r="N3" i="8" s="1"/>
  <c r="R4" i="8" s="1"/>
  <c r="X5" i="8" s="1"/>
  <c r="C21" i="8"/>
  <c r="C21" i="9"/>
  <c r="C19" i="11"/>
  <c r="L3" i="11" s="1"/>
  <c r="P3" i="9" l="1"/>
  <c r="N3" i="9"/>
  <c r="Q3" i="9"/>
  <c r="I3" i="7"/>
  <c r="J3" i="7" s="1"/>
  <c r="M4" i="7" s="1"/>
  <c r="L3" i="10"/>
  <c r="I3" i="10" s="1"/>
  <c r="Q3" i="11"/>
  <c r="I3" i="11" s="1"/>
  <c r="L3" i="6"/>
  <c r="S3" i="1"/>
  <c r="U3" i="1"/>
  <c r="U3" i="6"/>
  <c r="S3" i="6"/>
  <c r="U3" i="9"/>
  <c r="S3" i="9"/>
  <c r="N3" i="6"/>
  <c r="R4" i="6" s="1"/>
  <c r="X5" i="6" s="1"/>
  <c r="I3" i="6"/>
  <c r="N3" i="7"/>
  <c r="R4" i="7" s="1"/>
  <c r="X5" i="7" s="1"/>
  <c r="L3" i="1"/>
  <c r="S3" i="7"/>
  <c r="U3" i="7"/>
  <c r="N3" i="11"/>
  <c r="R4" i="11" s="1"/>
  <c r="X5" i="11" s="1"/>
  <c r="S3" i="11"/>
  <c r="U3" i="11"/>
  <c r="U3" i="10"/>
  <c r="S3" i="10"/>
  <c r="L3" i="12"/>
  <c r="N3" i="12" s="1"/>
  <c r="R4" i="12" s="1"/>
  <c r="X5" i="12" s="1"/>
  <c r="U3" i="12"/>
  <c r="U3" i="8"/>
  <c r="V3" i="8" s="1"/>
  <c r="Q4" i="8" s="1"/>
  <c r="S3" i="12"/>
  <c r="I3" i="8"/>
  <c r="J3" i="8" s="1"/>
  <c r="M4" i="8" s="1"/>
  <c r="P3" i="8"/>
  <c r="V3" i="1" l="1"/>
  <c r="Q4" i="1" s="1"/>
  <c r="U4" i="1" s="1"/>
  <c r="P3" i="12"/>
  <c r="P3" i="6"/>
  <c r="L4" i="6" s="1"/>
  <c r="J3" i="10"/>
  <c r="M4" i="10" s="1"/>
  <c r="V3" i="6"/>
  <c r="Q4" i="6" s="1"/>
  <c r="U4" i="6" s="1"/>
  <c r="N3" i="10"/>
  <c r="R4" i="10" s="1"/>
  <c r="X5" i="10" s="1"/>
  <c r="N3" i="1"/>
  <c r="R4" i="1" s="1"/>
  <c r="X5" i="1" s="1"/>
  <c r="I3" i="1"/>
  <c r="I3" i="12"/>
  <c r="V3" i="11"/>
  <c r="Q4" i="11" s="1"/>
  <c r="P3" i="7"/>
  <c r="J3" i="6"/>
  <c r="M4" i="6" s="1"/>
  <c r="K3" i="6"/>
  <c r="I4" i="6" s="1"/>
  <c r="J4" i="6" s="1"/>
  <c r="M5" i="6" s="1"/>
  <c r="J3" i="11"/>
  <c r="M4" i="11" s="1"/>
  <c r="P3" i="11"/>
  <c r="R4" i="9"/>
  <c r="X5" i="9" s="1"/>
  <c r="I3" i="9"/>
  <c r="J3" i="9" s="1"/>
  <c r="V3" i="10"/>
  <c r="V3" i="7"/>
  <c r="Q4" i="7" s="1"/>
  <c r="V3" i="9"/>
  <c r="Q4" i="9" s="1"/>
  <c r="K3" i="7"/>
  <c r="I4" i="7" s="1"/>
  <c r="V3" i="12"/>
  <c r="Q4" i="12" s="1"/>
  <c r="S4" i="8"/>
  <c r="U4" i="8"/>
  <c r="Z3" i="8"/>
  <c r="W4" i="8" s="1"/>
  <c r="Y4" i="8" s="1"/>
  <c r="L4" i="8"/>
  <c r="K3" i="8"/>
  <c r="I4" i="8" s="1"/>
  <c r="L4" i="12" l="1"/>
  <c r="N4" i="12" s="1"/>
  <c r="R5" i="12" s="1"/>
  <c r="X6" i="12" s="1"/>
  <c r="Z3" i="12"/>
  <c r="W4" i="12" s="1"/>
  <c r="Y4" i="12" s="1"/>
  <c r="J3" i="12"/>
  <c r="M4" i="12" s="1"/>
  <c r="P4" i="12" s="1"/>
  <c r="L5" i="12" s="1"/>
  <c r="O5" i="12" s="1"/>
  <c r="S4" i="1"/>
  <c r="V4" i="1" s="1"/>
  <c r="Q5" i="1" s="1"/>
  <c r="P3" i="10"/>
  <c r="L4" i="10" s="1"/>
  <c r="N4" i="10" s="1"/>
  <c r="R5" i="10" s="1"/>
  <c r="P3" i="1"/>
  <c r="Z3" i="1" s="1"/>
  <c r="W4" i="1" s="1"/>
  <c r="Y4" i="1" s="1"/>
  <c r="S4" i="6"/>
  <c r="N4" i="6"/>
  <c r="R5" i="6" s="1"/>
  <c r="X6" i="6" s="1"/>
  <c r="Z3" i="6"/>
  <c r="W4" i="6" s="1"/>
  <c r="Y4" i="6" s="1"/>
  <c r="V4" i="6"/>
  <c r="Q5" i="6" s="1"/>
  <c r="S5" i="6" s="1"/>
  <c r="K3" i="11"/>
  <c r="I4" i="11" s="1"/>
  <c r="J4" i="11" s="1"/>
  <c r="M5" i="11" s="1"/>
  <c r="K3" i="10"/>
  <c r="I4" i="10" s="1"/>
  <c r="J4" i="10" s="1"/>
  <c r="M5" i="10" s="1"/>
  <c r="U4" i="7"/>
  <c r="S4" i="7"/>
  <c r="U4" i="9"/>
  <c r="S4" i="9"/>
  <c r="L4" i="7"/>
  <c r="Z3" i="7"/>
  <c r="W4" i="7" s="1"/>
  <c r="Y4" i="7" s="1"/>
  <c r="Q4" i="10"/>
  <c r="J4" i="7"/>
  <c r="M5" i="7" s="1"/>
  <c r="L4" i="11"/>
  <c r="Z3" i="11"/>
  <c r="W4" i="11" s="1"/>
  <c r="Y4" i="11" s="1"/>
  <c r="K4" i="6"/>
  <c r="I5" i="6" s="1"/>
  <c r="J5" i="6" s="1"/>
  <c r="M6" i="6" s="1"/>
  <c r="M4" i="9"/>
  <c r="J3" i="1"/>
  <c r="M4" i="1" s="1"/>
  <c r="S4" i="11"/>
  <c r="U4" i="11"/>
  <c r="X6" i="10"/>
  <c r="P4" i="10"/>
  <c r="U4" i="12"/>
  <c r="S4" i="12"/>
  <c r="V4" i="8"/>
  <c r="Q5" i="8" s="1"/>
  <c r="J4" i="8"/>
  <c r="M5" i="8" s="1"/>
  <c r="N4" i="8"/>
  <c r="R5" i="8" s="1"/>
  <c r="X6" i="8" s="1"/>
  <c r="N5" i="12" l="1"/>
  <c r="R6" i="12" s="1"/>
  <c r="X7" i="12" s="1"/>
  <c r="K3" i="12"/>
  <c r="I4" i="12" s="1"/>
  <c r="J4" i="12" s="1"/>
  <c r="M5" i="12" s="1"/>
  <c r="Z3" i="10"/>
  <c r="W4" i="10" s="1"/>
  <c r="Y4" i="10" s="1"/>
  <c r="S5" i="1"/>
  <c r="T5" i="1"/>
  <c r="T5" i="6"/>
  <c r="L4" i="1"/>
  <c r="N4" i="1" s="1"/>
  <c r="R5" i="1" s="1"/>
  <c r="X6" i="1" s="1"/>
  <c r="P4" i="6"/>
  <c r="L5" i="6" s="1"/>
  <c r="U5" i="1"/>
  <c r="V4" i="11"/>
  <c r="Q5" i="11" s="1"/>
  <c r="U5" i="11" s="1"/>
  <c r="U5" i="6"/>
  <c r="K4" i="10"/>
  <c r="I5" i="10" s="1"/>
  <c r="J5" i="10" s="1"/>
  <c r="M6" i="10" s="1"/>
  <c r="V4" i="7"/>
  <c r="Q5" i="7" s="1"/>
  <c r="U5" i="7" s="1"/>
  <c r="V4" i="9"/>
  <c r="Q5" i="9" s="1"/>
  <c r="S5" i="9" s="1"/>
  <c r="K4" i="7"/>
  <c r="I5" i="7" s="1"/>
  <c r="J5" i="7" s="1"/>
  <c r="N4" i="7"/>
  <c r="R5" i="7" s="1"/>
  <c r="X6" i="7" s="1"/>
  <c r="Z3" i="9"/>
  <c r="W4" i="9" s="1"/>
  <c r="Y4" i="9" s="1"/>
  <c r="L4" i="9"/>
  <c r="N4" i="11"/>
  <c r="R5" i="11" s="1"/>
  <c r="X6" i="11" s="1"/>
  <c r="K3" i="1"/>
  <c r="I4" i="1" s="1"/>
  <c r="K4" i="11"/>
  <c r="I5" i="11" s="1"/>
  <c r="S4" i="10"/>
  <c r="U4" i="10"/>
  <c r="K3" i="9"/>
  <c r="I4" i="9" s="1"/>
  <c r="N5" i="6"/>
  <c r="R6" i="6" s="1"/>
  <c r="O5" i="6"/>
  <c r="K5" i="6"/>
  <c r="I6" i="6" s="1"/>
  <c r="L5" i="10"/>
  <c r="P5" i="12"/>
  <c r="L6" i="12" s="1"/>
  <c r="S5" i="8"/>
  <c r="T5" i="8"/>
  <c r="V4" i="12"/>
  <c r="Z4" i="12" s="1"/>
  <c r="W5" i="12" s="1"/>
  <c r="Y5" i="12" s="1"/>
  <c r="U5" i="8"/>
  <c r="K4" i="12"/>
  <c r="I5" i="12" s="1"/>
  <c r="P4" i="8"/>
  <c r="K4" i="8"/>
  <c r="I5" i="8" s="1"/>
  <c r="O6" i="12" l="1"/>
  <c r="N6" i="12"/>
  <c r="P4" i="1"/>
  <c r="L5" i="1" s="1"/>
  <c r="O5" i="1" s="1"/>
  <c r="P4" i="7"/>
  <c r="Z4" i="7" s="1"/>
  <c r="W5" i="7" s="1"/>
  <c r="Y5" i="7" s="1"/>
  <c r="P4" i="11"/>
  <c r="Z4" i="11" s="1"/>
  <c r="W5" i="11" s="1"/>
  <c r="Y5" i="11" s="1"/>
  <c r="V5" i="6"/>
  <c r="Q6" i="6" s="1"/>
  <c r="T6" i="6" s="1"/>
  <c r="U5" i="9"/>
  <c r="T5" i="7"/>
  <c r="T5" i="9"/>
  <c r="T5" i="11"/>
  <c r="S5" i="11"/>
  <c r="V5" i="1"/>
  <c r="Q6" i="1" s="1"/>
  <c r="S5" i="7"/>
  <c r="Z4" i="6"/>
  <c r="W5" i="6" s="1"/>
  <c r="Y5" i="6" s="1"/>
  <c r="M6" i="7"/>
  <c r="K5" i="7"/>
  <c r="I6" i="7" s="1"/>
  <c r="J6" i="7"/>
  <c r="M7" i="7" s="1"/>
  <c r="V4" i="10"/>
  <c r="N4" i="9"/>
  <c r="R5" i="9" s="1"/>
  <c r="X6" i="9" s="1"/>
  <c r="J5" i="11"/>
  <c r="M6" i="11" s="1"/>
  <c r="J4" i="1"/>
  <c r="M5" i="1" s="1"/>
  <c r="J4" i="9"/>
  <c r="M5" i="9" s="1"/>
  <c r="J6" i="6"/>
  <c r="M7" i="6" s="1"/>
  <c r="P5" i="6"/>
  <c r="X7" i="6"/>
  <c r="K5" i="10"/>
  <c r="I6" i="10" s="1"/>
  <c r="O5" i="10"/>
  <c r="N5" i="10"/>
  <c r="R6" i="10" s="1"/>
  <c r="Q5" i="12"/>
  <c r="T5" i="12" s="1"/>
  <c r="V5" i="8"/>
  <c r="Q6" i="8" s="1"/>
  <c r="R7" i="12"/>
  <c r="X8" i="12" s="1"/>
  <c r="J5" i="12"/>
  <c r="M6" i="12" s="1"/>
  <c r="J5" i="8"/>
  <c r="M6" i="8" s="1"/>
  <c r="L5" i="8"/>
  <c r="O5" i="8" s="1"/>
  <c r="Z4" i="8"/>
  <c r="W5" i="8" s="1"/>
  <c r="Y5" i="8" s="1"/>
  <c r="Z4" i="1" l="1"/>
  <c r="W5" i="1" s="1"/>
  <c r="Y5" i="1" s="1"/>
  <c r="N5" i="1"/>
  <c r="R6" i="1" s="1"/>
  <c r="L5" i="7"/>
  <c r="N5" i="7" s="1"/>
  <c r="R6" i="7" s="1"/>
  <c r="X7" i="7" s="1"/>
  <c r="V5" i="7"/>
  <c r="Q6" i="7" s="1"/>
  <c r="U6" i="7" s="1"/>
  <c r="K4" i="1"/>
  <c r="I5" i="1" s="1"/>
  <c r="J5" i="1" s="1"/>
  <c r="M6" i="1" s="1"/>
  <c r="L5" i="11"/>
  <c r="N5" i="11" s="1"/>
  <c r="R6" i="11" s="1"/>
  <c r="K5" i="11"/>
  <c r="I6" i="11" s="1"/>
  <c r="J6" i="11" s="1"/>
  <c r="M7" i="11" s="1"/>
  <c r="V5" i="11"/>
  <c r="Q6" i="11" s="1"/>
  <c r="T6" i="11" s="1"/>
  <c r="S6" i="6"/>
  <c r="U6" i="6"/>
  <c r="U6" i="1"/>
  <c r="S6" i="1"/>
  <c r="T6" i="1"/>
  <c r="K4" i="9"/>
  <c r="I5" i="9" s="1"/>
  <c r="J5" i="9" s="1"/>
  <c r="O5" i="11"/>
  <c r="P5" i="10"/>
  <c r="L6" i="10" s="1"/>
  <c r="V5" i="9"/>
  <c r="Q6" i="9" s="1"/>
  <c r="K6" i="7"/>
  <c r="I7" i="7" s="1"/>
  <c r="T6" i="7"/>
  <c r="Q5" i="10"/>
  <c r="Z4" i="10"/>
  <c r="W5" i="10" s="1"/>
  <c r="Y5" i="10" s="1"/>
  <c r="K6" i="6"/>
  <c r="I7" i="6" s="1"/>
  <c r="J7" i="6" s="1"/>
  <c r="M8" i="6" s="1"/>
  <c r="P4" i="9"/>
  <c r="L6" i="6"/>
  <c r="Z5" i="6"/>
  <c r="W6" i="6" s="1"/>
  <c r="Y6" i="6" s="1"/>
  <c r="X7" i="1"/>
  <c r="X7" i="10"/>
  <c r="J6" i="10"/>
  <c r="M7" i="10" s="1"/>
  <c r="U5" i="12"/>
  <c r="S5" i="12"/>
  <c r="S6" i="8"/>
  <c r="T6" i="8"/>
  <c r="U6" i="8"/>
  <c r="P6" i="12"/>
  <c r="L7" i="12" s="1"/>
  <c r="O7" i="12" s="1"/>
  <c r="K5" i="12"/>
  <c r="I6" i="12" s="1"/>
  <c r="K5" i="8"/>
  <c r="I6" i="8" s="1"/>
  <c r="J6" i="8" s="1"/>
  <c r="M7" i="8" s="1"/>
  <c r="N5" i="8"/>
  <c r="R6" i="8" s="1"/>
  <c r="S6" i="7" l="1"/>
  <c r="P5" i="1"/>
  <c r="Z5" i="1" s="1"/>
  <c r="W6" i="1" s="1"/>
  <c r="Y6" i="1" s="1"/>
  <c r="U6" i="11"/>
  <c r="O5" i="7"/>
  <c r="S6" i="11"/>
  <c r="K5" i="1"/>
  <c r="I6" i="1" s="1"/>
  <c r="J6" i="1" s="1"/>
  <c r="M7" i="1" s="1"/>
  <c r="V6" i="6"/>
  <c r="Q7" i="6" s="1"/>
  <c r="V6" i="1"/>
  <c r="Q7" i="1" s="1"/>
  <c r="U7" i="1" s="1"/>
  <c r="V6" i="7"/>
  <c r="Q7" i="7" s="1"/>
  <c r="T7" i="7" s="1"/>
  <c r="M6" i="9"/>
  <c r="K5" i="9"/>
  <c r="I6" i="9" s="1"/>
  <c r="P5" i="11"/>
  <c r="L6" i="11" s="1"/>
  <c r="T5" i="10"/>
  <c r="U5" i="10"/>
  <c r="S5" i="10"/>
  <c r="J7" i="7"/>
  <c r="M8" i="7" s="1"/>
  <c r="Z4" i="9"/>
  <c r="W5" i="9" s="1"/>
  <c r="Y5" i="9" s="1"/>
  <c r="L5" i="9"/>
  <c r="U6" i="9"/>
  <c r="T6" i="9"/>
  <c r="S6" i="9"/>
  <c r="L6" i="1"/>
  <c r="N6" i="1" s="1"/>
  <c r="R7" i="1" s="1"/>
  <c r="X8" i="1" s="1"/>
  <c r="P5" i="7"/>
  <c r="K6" i="11"/>
  <c r="I7" i="11" s="1"/>
  <c r="X7" i="11"/>
  <c r="V6" i="11"/>
  <c r="Q7" i="11" s="1"/>
  <c r="O6" i="6"/>
  <c r="N6" i="6"/>
  <c r="R7" i="6" s="1"/>
  <c r="K7" i="6"/>
  <c r="I8" i="6" s="1"/>
  <c r="O6" i="1"/>
  <c r="K6" i="10"/>
  <c r="I7" i="10" s="1"/>
  <c r="N6" i="10"/>
  <c r="R7" i="10" s="1"/>
  <c r="X8" i="10" s="1"/>
  <c r="O6" i="10"/>
  <c r="V5" i="12"/>
  <c r="Q6" i="12" s="1"/>
  <c r="T6" i="12" s="1"/>
  <c r="N7" i="12"/>
  <c r="R8" i="12" s="1"/>
  <c r="X9" i="12" s="1"/>
  <c r="J6" i="12"/>
  <c r="M7" i="12" s="1"/>
  <c r="X7" i="8"/>
  <c r="V6" i="8"/>
  <c r="Q7" i="8" s="1"/>
  <c r="T7" i="8" s="1"/>
  <c r="K6" i="8"/>
  <c r="I7" i="8" s="1"/>
  <c r="P5" i="8"/>
  <c r="S7" i="7" l="1"/>
  <c r="S7" i="1"/>
  <c r="T7" i="1"/>
  <c r="U7" i="6"/>
  <c r="S7" i="6"/>
  <c r="T7" i="6"/>
  <c r="Z5" i="11"/>
  <c r="W6" i="11" s="1"/>
  <c r="Y6" i="11" s="1"/>
  <c r="K7" i="7"/>
  <c r="I8" i="7" s="1"/>
  <c r="J8" i="7" s="1"/>
  <c r="M9" i="7" s="1"/>
  <c r="U7" i="7"/>
  <c r="K6" i="1"/>
  <c r="I7" i="1" s="1"/>
  <c r="J7" i="1" s="1"/>
  <c r="M8" i="1" s="1"/>
  <c r="O6" i="11"/>
  <c r="N6" i="11"/>
  <c r="R7" i="11" s="1"/>
  <c r="X8" i="11" s="1"/>
  <c r="J6" i="9"/>
  <c r="M7" i="9" s="1"/>
  <c r="V5" i="10"/>
  <c r="Q6" i="10" s="1"/>
  <c r="T7" i="11"/>
  <c r="U7" i="11"/>
  <c r="S7" i="11"/>
  <c r="N5" i="9"/>
  <c r="R6" i="9" s="1"/>
  <c r="O5" i="9"/>
  <c r="J7" i="11"/>
  <c r="M8" i="11" s="1"/>
  <c r="Z5" i="7"/>
  <c r="W6" i="7" s="1"/>
  <c r="Y6" i="7" s="1"/>
  <c r="L6" i="7"/>
  <c r="P6" i="1"/>
  <c r="Z6" i="1" s="1"/>
  <c r="W7" i="1" s="1"/>
  <c r="Y7" i="1" s="1"/>
  <c r="J8" i="6"/>
  <c r="M9" i="6" s="1"/>
  <c r="X8" i="6"/>
  <c r="P6" i="6"/>
  <c r="P6" i="10"/>
  <c r="J7" i="10"/>
  <c r="M8" i="10" s="1"/>
  <c r="U6" i="12"/>
  <c r="Z5" i="12"/>
  <c r="W6" i="12" s="1"/>
  <c r="Y6" i="12" s="1"/>
  <c r="S6" i="12"/>
  <c r="K6" i="12"/>
  <c r="I7" i="12" s="1"/>
  <c r="J7" i="12" s="1"/>
  <c r="M8" i="12" s="1"/>
  <c r="P7" i="12"/>
  <c r="L8" i="12" s="1"/>
  <c r="O8" i="12" s="1"/>
  <c r="L6" i="8"/>
  <c r="O6" i="8" s="1"/>
  <c r="Z5" i="8"/>
  <c r="W6" i="8" s="1"/>
  <c r="Y6" i="8" s="1"/>
  <c r="J7" i="8"/>
  <c r="M8" i="8" s="1"/>
  <c r="U7" i="8"/>
  <c r="S7" i="8"/>
  <c r="V7" i="6" l="1"/>
  <c r="Q8" i="6" s="1"/>
  <c r="V7" i="1"/>
  <c r="Q8" i="1" s="1"/>
  <c r="U8" i="1" s="1"/>
  <c r="K7" i="1"/>
  <c r="I8" i="1" s="1"/>
  <c r="J8" i="1" s="1"/>
  <c r="M9" i="1" s="1"/>
  <c r="P5" i="9"/>
  <c r="K6" i="9"/>
  <c r="I7" i="9" s="1"/>
  <c r="J7" i="9" s="1"/>
  <c r="M8" i="9" s="1"/>
  <c r="P6" i="11"/>
  <c r="L7" i="11" s="1"/>
  <c r="K7" i="11"/>
  <c r="I8" i="11" s="1"/>
  <c r="J8" i="11" s="1"/>
  <c r="M9" i="11" s="1"/>
  <c r="Z5" i="10"/>
  <c r="W6" i="10" s="1"/>
  <c r="Y6" i="10" s="1"/>
  <c r="V7" i="11"/>
  <c r="Q8" i="11" s="1"/>
  <c r="T8" i="11" s="1"/>
  <c r="K8" i="7"/>
  <c r="I9" i="7" s="1"/>
  <c r="J9" i="7" s="1"/>
  <c r="M10" i="7" s="1"/>
  <c r="X7" i="9"/>
  <c r="V6" i="9"/>
  <c r="Q7" i="9" s="1"/>
  <c r="K8" i="6"/>
  <c r="I9" i="6" s="1"/>
  <c r="J9" i="6" s="1"/>
  <c r="M10" i="6" s="1"/>
  <c r="O6" i="7"/>
  <c r="N6" i="7"/>
  <c r="R7" i="7" s="1"/>
  <c r="L6" i="9"/>
  <c r="Z5" i="9"/>
  <c r="W6" i="9" s="1"/>
  <c r="Y6" i="9" s="1"/>
  <c r="U6" i="10"/>
  <c r="T6" i="10"/>
  <c r="S6" i="10"/>
  <c r="L7" i="1"/>
  <c r="O7" i="1" s="1"/>
  <c r="Z6" i="6"/>
  <c r="W7" i="6" s="1"/>
  <c r="Y7" i="6" s="1"/>
  <c r="L7" i="6"/>
  <c r="S8" i="6"/>
  <c r="U8" i="6"/>
  <c r="T8" i="6"/>
  <c r="K7" i="10"/>
  <c r="I8" i="10" s="1"/>
  <c r="L7" i="10"/>
  <c r="V6" i="12"/>
  <c r="Q7" i="12" s="1"/>
  <c r="T7" i="12" s="1"/>
  <c r="N8" i="12"/>
  <c r="R9" i="12" s="1"/>
  <c r="X10" i="12" s="1"/>
  <c r="K7" i="12"/>
  <c r="K7" i="8"/>
  <c r="I8" i="8" s="1"/>
  <c r="N6" i="8"/>
  <c r="R7" i="8" s="1"/>
  <c r="I8" i="12" l="1"/>
  <c r="J8" i="12" s="1"/>
  <c r="Z6" i="11"/>
  <c r="W7" i="11" s="1"/>
  <c r="Y7" i="11" s="1"/>
  <c r="T8" i="1"/>
  <c r="S8" i="1"/>
  <c r="K8" i="11"/>
  <c r="I9" i="11" s="1"/>
  <c r="J9" i="11" s="1"/>
  <c r="M10" i="11" s="1"/>
  <c r="S8" i="11"/>
  <c r="V6" i="10"/>
  <c r="Q7" i="10" s="1"/>
  <c r="S7" i="10" s="1"/>
  <c r="U8" i="11"/>
  <c r="K7" i="9"/>
  <c r="I8" i="9" s="1"/>
  <c r="J8" i="9" s="1"/>
  <c r="M9" i="9" s="1"/>
  <c r="K8" i="1"/>
  <c r="I9" i="1" s="1"/>
  <c r="J9" i="1" s="1"/>
  <c r="M10" i="1" s="1"/>
  <c r="S7" i="9"/>
  <c r="T7" i="9"/>
  <c r="U7" i="9"/>
  <c r="O6" i="9"/>
  <c r="N6" i="9"/>
  <c r="R7" i="9" s="1"/>
  <c r="X8" i="9" s="1"/>
  <c r="X8" i="7"/>
  <c r="V7" i="7"/>
  <c r="Q8" i="7" s="1"/>
  <c r="P6" i="7"/>
  <c r="K9" i="7"/>
  <c r="I10" i="7" s="1"/>
  <c r="K10" i="7" s="1"/>
  <c r="I11" i="7" s="1"/>
  <c r="K11" i="7" s="1"/>
  <c r="I12" i="7" s="1"/>
  <c r="K12" i="7" s="1"/>
  <c r="I13" i="7" s="1"/>
  <c r="K13" i="7" s="1"/>
  <c r="I14" i="7" s="1"/>
  <c r="K14" i="7" s="1"/>
  <c r="I15" i="7" s="1"/>
  <c r="K15" i="7" s="1"/>
  <c r="I16" i="7" s="1"/>
  <c r="K16" i="7" s="1"/>
  <c r="I17" i="7" s="1"/>
  <c r="K17" i="7" s="1"/>
  <c r="I18" i="7" s="1"/>
  <c r="K18" i="7" s="1"/>
  <c r="I19" i="7" s="1"/>
  <c r="K19" i="7" s="1"/>
  <c r="I20" i="7" s="1"/>
  <c r="K20" i="7" s="1"/>
  <c r="I21" i="7" s="1"/>
  <c r="K21" i="7" s="1"/>
  <c r="I22" i="7" s="1"/>
  <c r="K22" i="7" s="1"/>
  <c r="I23" i="7" s="1"/>
  <c r="K23" i="7" s="1"/>
  <c r="I24" i="7" s="1"/>
  <c r="K24" i="7" s="1"/>
  <c r="N7" i="1"/>
  <c r="R8" i="1" s="1"/>
  <c r="X9" i="1" s="1"/>
  <c r="Z6" i="12"/>
  <c r="W7" i="12" s="1"/>
  <c r="Y7" i="12" s="1"/>
  <c r="U7" i="12"/>
  <c r="O7" i="6"/>
  <c r="N7" i="6"/>
  <c r="R8" i="6" s="1"/>
  <c r="K9" i="6"/>
  <c r="I10" i="6" s="1"/>
  <c r="K10" i="6" s="1"/>
  <c r="I11" i="6" s="1"/>
  <c r="K11" i="6" s="1"/>
  <c r="I12" i="6" s="1"/>
  <c r="K12" i="6" s="1"/>
  <c r="I13" i="6" s="1"/>
  <c r="K13" i="6" s="1"/>
  <c r="I14" i="6" s="1"/>
  <c r="K14" i="6" s="1"/>
  <c r="I15" i="6" s="1"/>
  <c r="K15" i="6" s="1"/>
  <c r="I16" i="6" s="1"/>
  <c r="K16" i="6" s="1"/>
  <c r="I17" i="6" s="1"/>
  <c r="K17" i="6" s="1"/>
  <c r="I18" i="6" s="1"/>
  <c r="K18" i="6" s="1"/>
  <c r="I19" i="6" s="1"/>
  <c r="K19" i="6" s="1"/>
  <c r="I20" i="6" s="1"/>
  <c r="K20" i="6" s="1"/>
  <c r="I21" i="6" s="1"/>
  <c r="K21" i="6" s="1"/>
  <c r="I22" i="6" s="1"/>
  <c r="K22" i="6" s="1"/>
  <c r="I23" i="6" s="1"/>
  <c r="K23" i="6" s="1"/>
  <c r="I24" i="6" s="1"/>
  <c r="K24" i="6" s="1"/>
  <c r="O7" i="11"/>
  <c r="N7" i="11"/>
  <c r="R8" i="11" s="1"/>
  <c r="K9" i="11"/>
  <c r="I10" i="11" s="1"/>
  <c r="K10" i="11" s="1"/>
  <c r="I11" i="11" s="1"/>
  <c r="K11" i="11" s="1"/>
  <c r="I12" i="11" s="1"/>
  <c r="K12" i="11" s="1"/>
  <c r="I13" i="11" s="1"/>
  <c r="K13" i="11" s="1"/>
  <c r="I14" i="11" s="1"/>
  <c r="K14" i="11" s="1"/>
  <c r="I15" i="11" s="1"/>
  <c r="K15" i="11" s="1"/>
  <c r="I16" i="11" s="1"/>
  <c r="K16" i="11" s="1"/>
  <c r="I17" i="11" s="1"/>
  <c r="K17" i="11" s="1"/>
  <c r="I18" i="11" s="1"/>
  <c r="K18" i="11" s="1"/>
  <c r="I19" i="11" s="1"/>
  <c r="K19" i="11" s="1"/>
  <c r="I20" i="11" s="1"/>
  <c r="K20" i="11" s="1"/>
  <c r="I21" i="11" s="1"/>
  <c r="K21" i="11" s="1"/>
  <c r="I22" i="11" s="1"/>
  <c r="K22" i="11" s="1"/>
  <c r="I23" i="11" s="1"/>
  <c r="K23" i="11" s="1"/>
  <c r="I24" i="11" s="1"/>
  <c r="K24" i="11" s="1"/>
  <c r="O7" i="10"/>
  <c r="N7" i="10"/>
  <c r="R8" i="10" s="1"/>
  <c r="J8" i="10"/>
  <c r="M9" i="10" s="1"/>
  <c r="S7" i="12"/>
  <c r="P8" i="12"/>
  <c r="J8" i="8"/>
  <c r="M9" i="8" s="1"/>
  <c r="P6" i="8"/>
  <c r="X8" i="8"/>
  <c r="V7" i="8"/>
  <c r="Q8" i="8" s="1"/>
  <c r="T8" i="8" s="1"/>
  <c r="M9" i="12" l="1"/>
  <c r="K8" i="12"/>
  <c r="I9" i="12" s="1"/>
  <c r="L9" i="12"/>
  <c r="N9" i="12" s="1"/>
  <c r="R10" i="12" s="1"/>
  <c r="X11" i="12" s="1"/>
  <c r="Z6" i="10"/>
  <c r="W7" i="10" s="1"/>
  <c r="Y7" i="10" s="1"/>
  <c r="U7" i="10"/>
  <c r="T7" i="10"/>
  <c r="K8" i="9"/>
  <c r="I9" i="9" s="1"/>
  <c r="P6" i="9"/>
  <c r="P7" i="1"/>
  <c r="L8" i="1" s="1"/>
  <c r="V8" i="1"/>
  <c r="Q9" i="1" s="1"/>
  <c r="S9" i="1" s="1"/>
  <c r="V7" i="12"/>
  <c r="Z7" i="12" s="1"/>
  <c r="W8" i="12" s="1"/>
  <c r="Y8" i="12" s="1"/>
  <c r="T8" i="7"/>
  <c r="U8" i="7"/>
  <c r="S8" i="7"/>
  <c r="K8" i="10"/>
  <c r="I9" i="10" s="1"/>
  <c r="Z6" i="9"/>
  <c r="W7" i="9" s="1"/>
  <c r="Y7" i="9" s="1"/>
  <c r="L7" i="9"/>
  <c r="Z6" i="7"/>
  <c r="W7" i="7" s="1"/>
  <c r="Y7" i="7" s="1"/>
  <c r="L7" i="7"/>
  <c r="V7" i="9"/>
  <c r="Q8" i="9" s="1"/>
  <c r="X9" i="6"/>
  <c r="V8" i="6"/>
  <c r="Q9" i="6" s="1"/>
  <c r="P7" i="6"/>
  <c r="K9" i="1"/>
  <c r="I10" i="1" s="1"/>
  <c r="K10" i="1" s="1"/>
  <c r="I11" i="1" s="1"/>
  <c r="K11" i="1" s="1"/>
  <c r="I12" i="1" s="1"/>
  <c r="K12" i="1" s="1"/>
  <c r="I13" i="1" s="1"/>
  <c r="K13" i="1" s="1"/>
  <c r="I14" i="1" s="1"/>
  <c r="K14" i="1" s="1"/>
  <c r="I15" i="1" s="1"/>
  <c r="K15" i="1" s="1"/>
  <c r="I16" i="1" s="1"/>
  <c r="K16" i="1" s="1"/>
  <c r="I17" i="1" s="1"/>
  <c r="K17" i="1" s="1"/>
  <c r="I18" i="1" s="1"/>
  <c r="K18" i="1" s="1"/>
  <c r="I19" i="1" s="1"/>
  <c r="K19" i="1" s="1"/>
  <c r="I20" i="1" s="1"/>
  <c r="K20" i="1" s="1"/>
  <c r="I21" i="1" s="1"/>
  <c r="K21" i="1" s="1"/>
  <c r="I22" i="1" s="1"/>
  <c r="K22" i="1" s="1"/>
  <c r="I23" i="1" s="1"/>
  <c r="K23" i="1" s="1"/>
  <c r="I24" i="1" s="1"/>
  <c r="K24" i="1" s="1"/>
  <c r="X9" i="11"/>
  <c r="V8" i="11"/>
  <c r="Q9" i="11" s="1"/>
  <c r="P7" i="11"/>
  <c r="P7" i="10"/>
  <c r="X9" i="10"/>
  <c r="P9" i="12"/>
  <c r="L10" i="12" s="1"/>
  <c r="O10" i="12" s="1"/>
  <c r="K8" i="8"/>
  <c r="I9" i="8" s="1"/>
  <c r="J9" i="8" s="1"/>
  <c r="M10" i="8" s="1"/>
  <c r="U8" i="8"/>
  <c r="S8" i="8"/>
  <c r="L7" i="8"/>
  <c r="O7" i="8" s="1"/>
  <c r="Z6" i="8"/>
  <c r="W7" i="8" s="1"/>
  <c r="Y7" i="8" s="1"/>
  <c r="J9" i="12" l="1"/>
  <c r="M10" i="12" s="1"/>
  <c r="N10" i="12"/>
  <c r="R11" i="12" s="1"/>
  <c r="X12" i="12" s="1"/>
  <c r="Z7" i="1"/>
  <c r="W8" i="1" s="1"/>
  <c r="Y8" i="1" s="1"/>
  <c r="Q8" i="12"/>
  <c r="T8" i="12" s="1"/>
  <c r="U9" i="1"/>
  <c r="V7" i="10"/>
  <c r="Q8" i="10" s="1"/>
  <c r="T8" i="10" s="1"/>
  <c r="U8" i="10"/>
  <c r="S8" i="10"/>
  <c r="J9" i="9"/>
  <c r="M10" i="9" s="1"/>
  <c r="U8" i="9"/>
  <c r="S8" i="9"/>
  <c r="T8" i="9"/>
  <c r="J9" i="10"/>
  <c r="M10" i="10" s="1"/>
  <c r="O7" i="7"/>
  <c r="N7" i="7"/>
  <c r="R8" i="7" s="1"/>
  <c r="O7" i="9"/>
  <c r="N7" i="9"/>
  <c r="R8" i="9" s="1"/>
  <c r="X9" i="9" s="1"/>
  <c r="Z7" i="6"/>
  <c r="W8" i="6" s="1"/>
  <c r="Y8" i="6" s="1"/>
  <c r="L8" i="6"/>
  <c r="U9" i="6"/>
  <c r="S9" i="6"/>
  <c r="N8" i="1"/>
  <c r="R9" i="1" s="1"/>
  <c r="O8" i="1"/>
  <c r="U9" i="11"/>
  <c r="S9" i="11"/>
  <c r="Z7" i="11"/>
  <c r="W8" i="11" s="1"/>
  <c r="Y8" i="11" s="1"/>
  <c r="L8" i="11"/>
  <c r="Z7" i="10"/>
  <c r="W8" i="10" s="1"/>
  <c r="Y8" i="10" s="1"/>
  <c r="L8" i="10"/>
  <c r="S8" i="12"/>
  <c r="U8" i="12"/>
  <c r="N7" i="8"/>
  <c r="R8" i="8" s="1"/>
  <c r="K9" i="8"/>
  <c r="I10" i="8" s="1"/>
  <c r="K10" i="8" s="1"/>
  <c r="I11" i="8" s="1"/>
  <c r="K11" i="8" s="1"/>
  <c r="I12" i="8" s="1"/>
  <c r="K12" i="8" s="1"/>
  <c r="I13" i="8" s="1"/>
  <c r="K13" i="8" s="1"/>
  <c r="I14" i="8" s="1"/>
  <c r="K14" i="8" s="1"/>
  <c r="I15" i="8" s="1"/>
  <c r="K15" i="8" s="1"/>
  <c r="I16" i="8" s="1"/>
  <c r="K16" i="8" s="1"/>
  <c r="I17" i="8" s="1"/>
  <c r="K17" i="8" s="1"/>
  <c r="I18" i="8" s="1"/>
  <c r="K18" i="8" s="1"/>
  <c r="I19" i="8" s="1"/>
  <c r="K19" i="8" s="1"/>
  <c r="I20" i="8" s="1"/>
  <c r="K20" i="8" s="1"/>
  <c r="I21" i="8" s="1"/>
  <c r="K21" i="8" s="1"/>
  <c r="I22" i="8" s="1"/>
  <c r="K22" i="8" s="1"/>
  <c r="I23" i="8" s="1"/>
  <c r="K23" i="8" s="1"/>
  <c r="I24" i="8" s="1"/>
  <c r="K24" i="8" s="1"/>
  <c r="P10" i="12"/>
  <c r="L11" i="12" l="1"/>
  <c r="O11" i="12" s="1"/>
  <c r="K9" i="12"/>
  <c r="I10" i="12" s="1"/>
  <c r="K10" i="12" s="1"/>
  <c r="I11" i="12" s="1"/>
  <c r="K11" i="12" s="1"/>
  <c r="I12" i="12" s="1"/>
  <c r="K12" i="12" s="1"/>
  <c r="I13" i="12" s="1"/>
  <c r="K13" i="12" s="1"/>
  <c r="I14" i="12" s="1"/>
  <c r="K14" i="12" s="1"/>
  <c r="I15" i="12" s="1"/>
  <c r="K15" i="12" s="1"/>
  <c r="I16" i="12" s="1"/>
  <c r="K16" i="12" s="1"/>
  <c r="I17" i="12" s="1"/>
  <c r="K17" i="12" s="1"/>
  <c r="V8" i="9"/>
  <c r="K9" i="10"/>
  <c r="V8" i="10"/>
  <c r="Q9" i="10" s="1"/>
  <c r="S9" i="10" s="1"/>
  <c r="K9" i="9"/>
  <c r="I10" i="9" s="1"/>
  <c r="K10" i="9" s="1"/>
  <c r="I11" i="9" s="1"/>
  <c r="K11" i="9" s="1"/>
  <c r="I12" i="9" s="1"/>
  <c r="K12" i="9" s="1"/>
  <c r="I13" i="9" s="1"/>
  <c r="K13" i="9" s="1"/>
  <c r="I14" i="9" s="1"/>
  <c r="K14" i="9" s="1"/>
  <c r="I15" i="9" s="1"/>
  <c r="K15" i="9" s="1"/>
  <c r="I16" i="9" s="1"/>
  <c r="K16" i="9" s="1"/>
  <c r="I17" i="9" s="1"/>
  <c r="K17" i="9" s="1"/>
  <c r="I18" i="9" s="1"/>
  <c r="K18" i="9" s="1"/>
  <c r="I19" i="9" s="1"/>
  <c r="K19" i="9" s="1"/>
  <c r="I20" i="9" s="1"/>
  <c r="K20" i="9" s="1"/>
  <c r="I21" i="9" s="1"/>
  <c r="K21" i="9" s="1"/>
  <c r="I22" i="9" s="1"/>
  <c r="K22" i="9" s="1"/>
  <c r="I23" i="9" s="1"/>
  <c r="K23" i="9" s="1"/>
  <c r="I24" i="9" s="1"/>
  <c r="K24" i="9" s="1"/>
  <c r="P7" i="9"/>
  <c r="Z7" i="9" s="1"/>
  <c r="W8" i="9" s="1"/>
  <c r="Y8" i="9" s="1"/>
  <c r="Q9" i="9"/>
  <c r="U9" i="9" s="1"/>
  <c r="X9" i="7"/>
  <c r="V8" i="7"/>
  <c r="Q9" i="7" s="1"/>
  <c r="P7" i="7"/>
  <c r="I10" i="10"/>
  <c r="K10" i="10" s="1"/>
  <c r="I11" i="10" s="1"/>
  <c r="K11" i="10" s="1"/>
  <c r="I12" i="10" s="1"/>
  <c r="K12" i="10" s="1"/>
  <c r="I13" i="10" s="1"/>
  <c r="K13" i="10" s="1"/>
  <c r="I14" i="10" s="1"/>
  <c r="K14" i="10" s="1"/>
  <c r="I15" i="10" s="1"/>
  <c r="K15" i="10" s="1"/>
  <c r="I16" i="10" s="1"/>
  <c r="K16" i="10" s="1"/>
  <c r="I17" i="10" s="1"/>
  <c r="K17" i="10" s="1"/>
  <c r="I18" i="10" s="1"/>
  <c r="K18" i="10" s="1"/>
  <c r="I19" i="10" s="1"/>
  <c r="K19" i="10" s="1"/>
  <c r="I20" i="10" s="1"/>
  <c r="K20" i="10" s="1"/>
  <c r="I21" i="10" s="1"/>
  <c r="K21" i="10" s="1"/>
  <c r="I22" i="10" s="1"/>
  <c r="K22" i="10" s="1"/>
  <c r="I23" i="10" s="1"/>
  <c r="K23" i="10" s="1"/>
  <c r="I24" i="10" s="1"/>
  <c r="K24" i="10" s="1"/>
  <c r="P8" i="1"/>
  <c r="L9" i="1" s="1"/>
  <c r="O8" i="6"/>
  <c r="N8" i="6"/>
  <c r="R9" i="6" s="1"/>
  <c r="X10" i="1"/>
  <c r="V9" i="1"/>
  <c r="Q10" i="1" s="1"/>
  <c r="O8" i="11"/>
  <c r="N8" i="11"/>
  <c r="R9" i="11" s="1"/>
  <c r="O8" i="10"/>
  <c r="N8" i="10"/>
  <c r="R9" i="10" s="1"/>
  <c r="V8" i="12"/>
  <c r="Q9" i="12" s="1"/>
  <c r="S9" i="12" s="1"/>
  <c r="N11" i="12"/>
  <c r="R12" i="12" s="1"/>
  <c r="X13" i="12" s="1"/>
  <c r="X9" i="8"/>
  <c r="V8" i="8"/>
  <c r="Q9" i="8" s="1"/>
  <c r="P7" i="8"/>
  <c r="I18" i="12"/>
  <c r="K18" i="12" s="1"/>
  <c r="L8" i="9" l="1"/>
  <c r="U9" i="10"/>
  <c r="V9" i="10" s="1"/>
  <c r="Q10" i="10" s="1"/>
  <c r="S9" i="9"/>
  <c r="Z7" i="7"/>
  <c r="W8" i="7" s="1"/>
  <c r="Y8" i="7" s="1"/>
  <c r="L8" i="7"/>
  <c r="U9" i="7"/>
  <c r="S9" i="7"/>
  <c r="Z8" i="1"/>
  <c r="W9" i="1" s="1"/>
  <c r="Y9" i="1" s="1"/>
  <c r="P8" i="6"/>
  <c r="X10" i="6"/>
  <c r="V9" i="6"/>
  <c r="Q10" i="6" s="1"/>
  <c r="U10" i="1"/>
  <c r="S10" i="1"/>
  <c r="N9" i="1"/>
  <c r="R10" i="1" s="1"/>
  <c r="X11" i="1" s="1"/>
  <c r="X10" i="11"/>
  <c r="V9" i="11"/>
  <c r="Q10" i="11" s="1"/>
  <c r="P8" i="11"/>
  <c r="X10" i="10"/>
  <c r="P8" i="10"/>
  <c r="U9" i="12"/>
  <c r="V9" i="12" s="1"/>
  <c r="Q10" i="12" s="1"/>
  <c r="T10" i="12" s="1"/>
  <c r="Z8" i="12"/>
  <c r="W9" i="12" s="1"/>
  <c r="Y9" i="12" s="1"/>
  <c r="Z7" i="8"/>
  <c r="W8" i="8" s="1"/>
  <c r="Y8" i="8" s="1"/>
  <c r="L8" i="8"/>
  <c r="O8" i="8" s="1"/>
  <c r="S9" i="8"/>
  <c r="U9" i="8"/>
  <c r="P11" i="12"/>
  <c r="I19" i="12"/>
  <c r="K19" i="12" s="1"/>
  <c r="N8" i="9" l="1"/>
  <c r="R9" i="9" s="1"/>
  <c r="O8" i="9"/>
  <c r="O8" i="7"/>
  <c r="N8" i="7"/>
  <c r="R9" i="7" s="1"/>
  <c r="X10" i="9"/>
  <c r="V9" i="9"/>
  <c r="Q10" i="9" s="1"/>
  <c r="T10" i="9" s="1"/>
  <c r="L9" i="6"/>
  <c r="Z8" i="6"/>
  <c r="W9" i="6" s="1"/>
  <c r="Y9" i="6" s="1"/>
  <c r="S10" i="6"/>
  <c r="U10" i="6"/>
  <c r="P9" i="1"/>
  <c r="V10" i="1"/>
  <c r="Q11" i="1" s="1"/>
  <c r="U10" i="11"/>
  <c r="S10" i="11"/>
  <c r="Z8" i="11"/>
  <c r="W9" i="11" s="1"/>
  <c r="Y9" i="11" s="1"/>
  <c r="L9" i="11"/>
  <c r="L9" i="10"/>
  <c r="Z8" i="10"/>
  <c r="W9" i="10" s="1"/>
  <c r="Y9" i="10" s="1"/>
  <c r="U10" i="10"/>
  <c r="S10" i="10"/>
  <c r="Z9" i="12"/>
  <c r="W10" i="12" s="1"/>
  <c r="Y10" i="12" s="1"/>
  <c r="U10" i="12"/>
  <c r="S10" i="12"/>
  <c r="N8" i="8"/>
  <c r="R9" i="8" s="1"/>
  <c r="L12" i="12"/>
  <c r="O12" i="12" s="1"/>
  <c r="I20" i="12"/>
  <c r="K20" i="12" s="1"/>
  <c r="P8" i="9" l="1"/>
  <c r="L9" i="9" s="1"/>
  <c r="N9" i="9" s="1"/>
  <c r="R10" i="9" s="1"/>
  <c r="X11" i="9" s="1"/>
  <c r="P8" i="7"/>
  <c r="Z8" i="9"/>
  <c r="W9" i="9" s="1"/>
  <c r="Y9" i="9" s="1"/>
  <c r="U10" i="9"/>
  <c r="S10" i="9"/>
  <c r="L9" i="7"/>
  <c r="Z8" i="7"/>
  <c r="W9" i="7" s="1"/>
  <c r="Y9" i="7" s="1"/>
  <c r="X10" i="7"/>
  <c r="V9" i="7"/>
  <c r="Q10" i="7" s="1"/>
  <c r="N9" i="6"/>
  <c r="R10" i="6" s="1"/>
  <c r="U11" i="1"/>
  <c r="S11" i="1"/>
  <c r="T11" i="1"/>
  <c r="L10" i="1"/>
  <c r="Z9" i="1"/>
  <c r="W10" i="1" s="1"/>
  <c r="Y10" i="1" s="1"/>
  <c r="N9" i="11"/>
  <c r="R10" i="11" s="1"/>
  <c r="N9" i="10"/>
  <c r="R10" i="10" s="1"/>
  <c r="N12" i="12"/>
  <c r="R13" i="12" s="1"/>
  <c r="X14" i="12" s="1"/>
  <c r="V10" i="12"/>
  <c r="X10" i="8"/>
  <c r="V9" i="8"/>
  <c r="Q10" i="8" s="1"/>
  <c r="P8" i="8"/>
  <c r="I21" i="12"/>
  <c r="K21" i="12" s="1"/>
  <c r="Q11" i="12" l="1"/>
  <c r="T11" i="12" s="1"/>
  <c r="Z10" i="12"/>
  <c r="P9" i="9"/>
  <c r="V10" i="9"/>
  <c r="Q11" i="9" s="1"/>
  <c r="S10" i="7"/>
  <c r="U10" i="7"/>
  <c r="N9" i="7"/>
  <c r="R10" i="7" s="1"/>
  <c r="X11" i="7" s="1"/>
  <c r="P9" i="11"/>
  <c r="L10" i="11" s="1"/>
  <c r="P9" i="6"/>
  <c r="X11" i="6"/>
  <c r="V10" i="6"/>
  <c r="Q11" i="6" s="1"/>
  <c r="N10" i="1"/>
  <c r="R11" i="1" s="1"/>
  <c r="X11" i="11"/>
  <c r="V10" i="11"/>
  <c r="Q11" i="11" s="1"/>
  <c r="X11" i="10"/>
  <c r="V10" i="10"/>
  <c r="Q11" i="10" s="1"/>
  <c r="P9" i="10"/>
  <c r="P12" i="12"/>
  <c r="L13" i="12" s="1"/>
  <c r="O13" i="12" s="1"/>
  <c r="S11" i="12"/>
  <c r="U11" i="12"/>
  <c r="Z8" i="8"/>
  <c r="W9" i="8" s="1"/>
  <c r="Y9" i="8" s="1"/>
  <c r="L9" i="8"/>
  <c r="S10" i="8"/>
  <c r="U10" i="8"/>
  <c r="I22" i="12"/>
  <c r="K22" i="12" s="1"/>
  <c r="N5" i="5" l="1"/>
  <c r="T11" i="9"/>
  <c r="L10" i="9"/>
  <c r="O10" i="9" s="1"/>
  <c r="Z9" i="9"/>
  <c r="W10" i="9" s="1"/>
  <c r="Y10" i="9" s="1"/>
  <c r="U11" i="9"/>
  <c r="S11" i="9"/>
  <c r="P9" i="7"/>
  <c r="L10" i="7" s="1"/>
  <c r="V10" i="7"/>
  <c r="Q11" i="7" s="1"/>
  <c r="O7" i="5"/>
  <c r="O8" i="5"/>
  <c r="N10" i="5"/>
  <c r="Z9" i="11"/>
  <c r="W10" i="11" s="1"/>
  <c r="Y10" i="11" s="1"/>
  <c r="T11" i="6"/>
  <c r="U11" i="6"/>
  <c r="S11" i="6"/>
  <c r="L10" i="6"/>
  <c r="Z9" i="6"/>
  <c r="W10" i="6" s="1"/>
  <c r="Y10" i="6" s="1"/>
  <c r="X12" i="1"/>
  <c r="V11" i="1"/>
  <c r="Q12" i="1" s="1"/>
  <c r="P10" i="1"/>
  <c r="S11" i="11"/>
  <c r="U11" i="11"/>
  <c r="T11" i="11"/>
  <c r="N10" i="11"/>
  <c r="R11" i="11" s="1"/>
  <c r="X12" i="11" s="1"/>
  <c r="L10" i="10"/>
  <c r="Z9" i="10"/>
  <c r="W10" i="10" s="1"/>
  <c r="Y10" i="10" s="1"/>
  <c r="U11" i="10"/>
  <c r="S11" i="10"/>
  <c r="T11" i="10"/>
  <c r="N6" i="5"/>
  <c r="N8" i="5"/>
  <c r="N7" i="5"/>
  <c r="W11" i="12"/>
  <c r="Y11" i="12" s="1"/>
  <c r="V11" i="12"/>
  <c r="Q12" i="12" s="1"/>
  <c r="T12" i="12" s="1"/>
  <c r="N13" i="12"/>
  <c r="R14" i="12" s="1"/>
  <c r="X15" i="12" s="1"/>
  <c r="N9" i="8"/>
  <c r="R10" i="8" s="1"/>
  <c r="I23" i="12"/>
  <c r="K23" i="12" s="1"/>
  <c r="N10" i="9" l="1"/>
  <c r="R11" i="9" s="1"/>
  <c r="Z9" i="7"/>
  <c r="W10" i="7" s="1"/>
  <c r="Y10" i="7" s="1"/>
  <c r="U11" i="7"/>
  <c r="T11" i="7"/>
  <c r="S11" i="7"/>
  <c r="N10" i="7"/>
  <c r="R11" i="7" s="1"/>
  <c r="X12" i="7" s="1"/>
  <c r="W7" i="5"/>
  <c r="W8" i="5"/>
  <c r="N10" i="6"/>
  <c r="R11" i="6" s="1"/>
  <c r="L11" i="1"/>
  <c r="Z10" i="1"/>
  <c r="U12" i="1"/>
  <c r="T12" i="1"/>
  <c r="S12" i="1"/>
  <c r="V11" i="11"/>
  <c r="Q12" i="11" s="1"/>
  <c r="P10" i="11"/>
  <c r="N10" i="10"/>
  <c r="R11" i="10" s="1"/>
  <c r="P13" i="12"/>
  <c r="L14" i="12" s="1"/>
  <c r="O14" i="12" s="1"/>
  <c r="Z11" i="12"/>
  <c r="S12" i="12"/>
  <c r="U12" i="12"/>
  <c r="P9" i="8"/>
  <c r="Z9" i="8" s="1"/>
  <c r="W10" i="8" s="1"/>
  <c r="Y10" i="8" s="1"/>
  <c r="X11" i="8"/>
  <c r="V10" i="8"/>
  <c r="Q11" i="8" s="1"/>
  <c r="T11" i="8" s="1"/>
  <c r="I24" i="12"/>
  <c r="K24" i="12" s="1"/>
  <c r="X12" i="9" l="1"/>
  <c r="V11" i="9"/>
  <c r="Q12" i="9" s="1"/>
  <c r="P10" i="9"/>
  <c r="Z10" i="9"/>
  <c r="L11" i="9"/>
  <c r="P10" i="7"/>
  <c r="Z10" i="7" s="1"/>
  <c r="V11" i="7"/>
  <c r="Q12" i="7" s="1"/>
  <c r="W12" i="12"/>
  <c r="Y12" i="12" s="1"/>
  <c r="N11" i="5"/>
  <c r="U7" i="5"/>
  <c r="U8" i="5"/>
  <c r="U10" i="5"/>
  <c r="U6" i="5"/>
  <c r="W11" i="1"/>
  <c r="Y11" i="1" s="1"/>
  <c r="U5" i="5"/>
  <c r="X12" i="6"/>
  <c r="V11" i="6"/>
  <c r="Q12" i="6" s="1"/>
  <c r="P10" i="6"/>
  <c r="O11" i="1"/>
  <c r="N11" i="1"/>
  <c r="R12" i="1" s="1"/>
  <c r="Z10" i="11"/>
  <c r="L11" i="11"/>
  <c r="S12" i="11"/>
  <c r="U12" i="11"/>
  <c r="T12" i="11"/>
  <c r="X12" i="10"/>
  <c r="V11" i="10"/>
  <c r="Q12" i="10" s="1"/>
  <c r="P10" i="10"/>
  <c r="N14" i="12"/>
  <c r="R15" i="12" s="1"/>
  <c r="X16" i="12" s="1"/>
  <c r="V12" i="12"/>
  <c r="L10" i="8"/>
  <c r="U11" i="8"/>
  <c r="S11" i="8"/>
  <c r="N10" i="8" l="1"/>
  <c r="R11" i="8" s="1"/>
  <c r="X12" i="8" s="1"/>
  <c r="U12" i="9"/>
  <c r="T12" i="9"/>
  <c r="S12" i="9"/>
  <c r="O11" i="9"/>
  <c r="N11" i="9"/>
  <c r="R12" i="9" s="1"/>
  <c r="X13" i="9" s="1"/>
  <c r="W11" i="9"/>
  <c r="Y11" i="9" s="1"/>
  <c r="O10" i="5"/>
  <c r="O5" i="5"/>
  <c r="L11" i="7"/>
  <c r="O11" i="7" s="1"/>
  <c r="T12" i="7"/>
  <c r="U12" i="7"/>
  <c r="S12" i="7"/>
  <c r="W6" i="5"/>
  <c r="W11" i="7"/>
  <c r="Y11" i="7" s="1"/>
  <c r="W10" i="5"/>
  <c r="Q7" i="5"/>
  <c r="Q8" i="5"/>
  <c r="Q10" i="5"/>
  <c r="W11" i="11"/>
  <c r="Y11" i="11" s="1"/>
  <c r="P11" i="1"/>
  <c r="Z11" i="1" s="1"/>
  <c r="U12" i="6"/>
  <c r="T12" i="6"/>
  <c r="S12" i="6"/>
  <c r="L11" i="6"/>
  <c r="Z10" i="6"/>
  <c r="X13" i="1"/>
  <c r="V12" i="1"/>
  <c r="Q13" i="1" s="1"/>
  <c r="O11" i="11"/>
  <c r="N11" i="11"/>
  <c r="R12" i="11" s="1"/>
  <c r="Z10" i="10"/>
  <c r="L11" i="10"/>
  <c r="U12" i="10"/>
  <c r="S12" i="10"/>
  <c r="T12" i="10"/>
  <c r="Q6" i="5"/>
  <c r="Q5" i="5"/>
  <c r="P14" i="12"/>
  <c r="L15" i="12" s="1"/>
  <c r="O15" i="12" s="1"/>
  <c r="Q13" i="12"/>
  <c r="T13" i="12" s="1"/>
  <c r="Z12" i="12"/>
  <c r="N12" i="5" s="1"/>
  <c r="V11" i="8" l="1"/>
  <c r="Q12" i="8" s="1"/>
  <c r="T12" i="8" s="1"/>
  <c r="P10" i="8"/>
  <c r="P11" i="9"/>
  <c r="L12" i="9" s="1"/>
  <c r="N11" i="7"/>
  <c r="R12" i="7" s="1"/>
  <c r="X13" i="7" s="1"/>
  <c r="Z11" i="9"/>
  <c r="V12" i="9"/>
  <c r="Q13" i="9" s="1"/>
  <c r="W12" i="1"/>
  <c r="Y12" i="1" s="1"/>
  <c r="U11" i="5"/>
  <c r="L12" i="1"/>
  <c r="O12" i="1" s="1"/>
  <c r="V7" i="5"/>
  <c r="V8" i="5"/>
  <c r="P7" i="5"/>
  <c r="P8" i="5"/>
  <c r="V10" i="5"/>
  <c r="P10" i="5"/>
  <c r="W13" i="12"/>
  <c r="Y13" i="12" s="1"/>
  <c r="W11" i="6"/>
  <c r="Y11" i="6" s="1"/>
  <c r="V6" i="5"/>
  <c r="P5" i="5"/>
  <c r="W11" i="10"/>
  <c r="Y11" i="10" s="1"/>
  <c r="O11" i="6"/>
  <c r="N11" i="6"/>
  <c r="R12" i="6" s="1"/>
  <c r="U13" i="1"/>
  <c r="T13" i="1"/>
  <c r="S13" i="1"/>
  <c r="X13" i="11"/>
  <c r="V12" i="11"/>
  <c r="Q13" i="11" s="1"/>
  <c r="P11" i="11"/>
  <c r="O11" i="10"/>
  <c r="N11" i="10"/>
  <c r="R12" i="10" s="1"/>
  <c r="P6" i="5"/>
  <c r="N15" i="12"/>
  <c r="R16" i="12" s="1"/>
  <c r="X17" i="12" s="1"/>
  <c r="U13" i="12"/>
  <c r="S13" i="12"/>
  <c r="Z10" i="8"/>
  <c r="T8" i="5" s="1"/>
  <c r="L11" i="8"/>
  <c r="O11" i="8" s="1"/>
  <c r="S12" i="8"/>
  <c r="U12" i="8"/>
  <c r="V12" i="7" l="1"/>
  <c r="Q13" i="7" s="1"/>
  <c r="U13" i="7" s="1"/>
  <c r="P11" i="7"/>
  <c r="Z11" i="7" s="1"/>
  <c r="W12" i="7" s="1"/>
  <c r="Y12" i="7" s="1"/>
  <c r="P11" i="10"/>
  <c r="W12" i="9"/>
  <c r="Y12" i="9" s="1"/>
  <c r="O11" i="5"/>
  <c r="T13" i="9"/>
  <c r="U13" i="9"/>
  <c r="S13" i="9"/>
  <c r="O12" i="9"/>
  <c r="N12" i="9"/>
  <c r="W11" i="5"/>
  <c r="N12" i="1"/>
  <c r="R13" i="1" s="1"/>
  <c r="X14" i="1" s="1"/>
  <c r="T10" i="5"/>
  <c r="T7" i="5"/>
  <c r="T6" i="5"/>
  <c r="T5" i="5"/>
  <c r="X13" i="6"/>
  <c r="V12" i="6"/>
  <c r="Q13" i="6" s="1"/>
  <c r="P11" i="6"/>
  <c r="S13" i="11"/>
  <c r="U13" i="11"/>
  <c r="T13" i="11"/>
  <c r="Z11" i="11"/>
  <c r="L12" i="11"/>
  <c r="X13" i="10"/>
  <c r="V12" i="10"/>
  <c r="Q13" i="10" s="1"/>
  <c r="P15" i="12"/>
  <c r="L16" i="12" s="1"/>
  <c r="O16" i="12" s="1"/>
  <c r="V13" i="12"/>
  <c r="Q14" i="12" s="1"/>
  <c r="T14" i="12" s="1"/>
  <c r="W11" i="8"/>
  <c r="Y11" i="8" s="1"/>
  <c r="N11" i="8"/>
  <c r="R12" i="8" s="1"/>
  <c r="L12" i="7" l="1"/>
  <c r="O12" i="7" s="1"/>
  <c r="T13" i="7"/>
  <c r="S13" i="7"/>
  <c r="N12" i="7"/>
  <c r="R13" i="7" s="1"/>
  <c r="X14" i="7" s="1"/>
  <c r="R13" i="9"/>
  <c r="P12" i="9"/>
  <c r="V13" i="1"/>
  <c r="Q14" i="1" s="1"/>
  <c r="T14" i="1" s="1"/>
  <c r="P12" i="1"/>
  <c r="Z12" i="1" s="1"/>
  <c r="W13" i="1" s="1"/>
  <c r="Y13" i="1" s="1"/>
  <c r="U12" i="5"/>
  <c r="W12" i="11"/>
  <c r="Y12" i="11" s="1"/>
  <c r="Q11" i="5"/>
  <c r="L12" i="6"/>
  <c r="Z11" i="6"/>
  <c r="T13" i="6"/>
  <c r="U13" i="6"/>
  <c r="S13" i="6"/>
  <c r="O12" i="11"/>
  <c r="N12" i="11"/>
  <c r="R13" i="11" s="1"/>
  <c r="Z11" i="10"/>
  <c r="L12" i="10"/>
  <c r="S13" i="10"/>
  <c r="U13" i="10"/>
  <c r="T13" i="10"/>
  <c r="Z13" i="12"/>
  <c r="N13" i="5" s="1"/>
  <c r="N16" i="12"/>
  <c r="R17" i="12" s="1"/>
  <c r="X18" i="12" s="1"/>
  <c r="S14" i="12"/>
  <c r="U14" i="12"/>
  <c r="P11" i="8"/>
  <c r="X13" i="8"/>
  <c r="V12" i="8"/>
  <c r="Q13" i="8" s="1"/>
  <c r="T13" i="8" s="1"/>
  <c r="V13" i="7" l="1"/>
  <c r="Q14" i="7" s="1"/>
  <c r="T14" i="7" s="1"/>
  <c r="P12" i="7"/>
  <c r="L13" i="7" s="1"/>
  <c r="Z12" i="9"/>
  <c r="L13" i="9"/>
  <c r="X14" i="9"/>
  <c r="V13" i="9"/>
  <c r="Q14" i="9" s="1"/>
  <c r="S14" i="1"/>
  <c r="U14" i="1"/>
  <c r="L13" i="1"/>
  <c r="N13" i="1" s="1"/>
  <c r="R14" i="1" s="1"/>
  <c r="X15" i="1" s="1"/>
  <c r="Z12" i="7"/>
  <c r="W12" i="6"/>
  <c r="Y12" i="6" s="1"/>
  <c r="V11" i="5"/>
  <c r="W12" i="10"/>
  <c r="Y12" i="10" s="1"/>
  <c r="P11" i="5"/>
  <c r="W14" i="12"/>
  <c r="Y14" i="12" s="1"/>
  <c r="O12" i="6"/>
  <c r="N12" i="6"/>
  <c r="R13" i="6" s="1"/>
  <c r="X14" i="11"/>
  <c r="V13" i="11"/>
  <c r="Q14" i="11" s="1"/>
  <c r="P12" i="11"/>
  <c r="O12" i="10"/>
  <c r="N12" i="10"/>
  <c r="R13" i="10" s="1"/>
  <c r="P16" i="12"/>
  <c r="L17" i="12" s="1"/>
  <c r="O17" i="12" s="1"/>
  <c r="V14" i="12"/>
  <c r="Q15" i="12" s="1"/>
  <c r="T15" i="12" s="1"/>
  <c r="U13" i="8"/>
  <c r="S13" i="8"/>
  <c r="L12" i="8"/>
  <c r="O12" i="8" s="1"/>
  <c r="Z11" i="8"/>
  <c r="S14" i="7" l="1"/>
  <c r="U14" i="7"/>
  <c r="U14" i="9"/>
  <c r="S14" i="9"/>
  <c r="T14" i="9"/>
  <c r="N13" i="9"/>
  <c r="R14" i="9" s="1"/>
  <c r="X15" i="9" s="1"/>
  <c r="O13" i="9"/>
  <c r="P13" i="9" s="1"/>
  <c r="O12" i="5"/>
  <c r="W13" i="9"/>
  <c r="Y13" i="9" s="1"/>
  <c r="W13" i="7"/>
  <c r="Y13" i="7" s="1"/>
  <c r="W12" i="5"/>
  <c r="V14" i="1"/>
  <c r="Q15" i="1" s="1"/>
  <c r="U15" i="1" s="1"/>
  <c r="O13" i="1"/>
  <c r="P13" i="1" s="1"/>
  <c r="Z13" i="1" s="1"/>
  <c r="O13" i="7"/>
  <c r="N13" i="7"/>
  <c r="R14" i="7" s="1"/>
  <c r="W12" i="8"/>
  <c r="Y12" i="8" s="1"/>
  <c r="T11" i="5"/>
  <c r="X14" i="6"/>
  <c r="V13" i="6"/>
  <c r="Q14" i="6" s="1"/>
  <c r="P12" i="6"/>
  <c r="Z12" i="11"/>
  <c r="Q12" i="5" s="1"/>
  <c r="L13" i="11"/>
  <c r="U14" i="11"/>
  <c r="T14" i="11"/>
  <c r="S14" i="11"/>
  <c r="X14" i="10"/>
  <c r="V13" i="10"/>
  <c r="Q14" i="10" s="1"/>
  <c r="P12" i="10"/>
  <c r="N17" i="12"/>
  <c r="R18" i="12" s="1"/>
  <c r="X19" i="12" s="1"/>
  <c r="Z14" i="12"/>
  <c r="U15" i="12"/>
  <c r="S15" i="12"/>
  <c r="N12" i="8"/>
  <c r="R13" i="8" s="1"/>
  <c r="T15" i="1" l="1"/>
  <c r="S15" i="1"/>
  <c r="Z13" i="9"/>
  <c r="L14" i="9"/>
  <c r="V14" i="9"/>
  <c r="Q15" i="9" s="1"/>
  <c r="W15" i="12"/>
  <c r="Y15" i="12" s="1"/>
  <c r="N14" i="5"/>
  <c r="W14" i="1"/>
  <c r="Y14" i="1" s="1"/>
  <c r="U13" i="5"/>
  <c r="L14" i="1"/>
  <c r="N14" i="1" s="1"/>
  <c r="R15" i="1" s="1"/>
  <c r="X16" i="1" s="1"/>
  <c r="P13" i="7"/>
  <c r="Z13" i="7" s="1"/>
  <c r="X15" i="7"/>
  <c r="V14" i="7"/>
  <c r="Q15" i="7" s="1"/>
  <c r="W13" i="11"/>
  <c r="Y13" i="11" s="1"/>
  <c r="L13" i="6"/>
  <c r="Z12" i="6"/>
  <c r="T14" i="6"/>
  <c r="U14" i="6"/>
  <c r="S14" i="6"/>
  <c r="O13" i="11"/>
  <c r="N13" i="11"/>
  <c r="R14" i="11" s="1"/>
  <c r="S14" i="10"/>
  <c r="U14" i="10"/>
  <c r="T14" i="10"/>
  <c r="Z12" i="10"/>
  <c r="P12" i="5" s="1"/>
  <c r="L13" i="10"/>
  <c r="P17" i="12"/>
  <c r="L18" i="12" s="1"/>
  <c r="O18" i="12" s="1"/>
  <c r="V15" i="12"/>
  <c r="Q16" i="12" s="1"/>
  <c r="T16" i="12" s="1"/>
  <c r="X14" i="8"/>
  <c r="V13" i="8"/>
  <c r="Q14" i="8" s="1"/>
  <c r="T14" i="8" s="1"/>
  <c r="P12" i="8"/>
  <c r="S15" i="9" l="1"/>
  <c r="U15" i="9"/>
  <c r="T15" i="9"/>
  <c r="O14" i="9"/>
  <c r="N14" i="9"/>
  <c r="O13" i="5"/>
  <c r="W14" i="9"/>
  <c r="Y14" i="9" s="1"/>
  <c r="L14" i="7"/>
  <c r="N14" i="7" s="1"/>
  <c r="R15" i="7" s="1"/>
  <c r="X16" i="7" s="1"/>
  <c r="W14" i="7"/>
  <c r="Y14" i="7" s="1"/>
  <c r="W13" i="5"/>
  <c r="V15" i="1"/>
  <c r="Q16" i="1" s="1"/>
  <c r="T16" i="1" s="1"/>
  <c r="O14" i="1"/>
  <c r="P14" i="1" s="1"/>
  <c r="Z14" i="1" s="1"/>
  <c r="T15" i="7"/>
  <c r="S15" i="7"/>
  <c r="U15" i="7"/>
  <c r="W13" i="6"/>
  <c r="Y13" i="6" s="1"/>
  <c r="V12" i="5"/>
  <c r="W13" i="10"/>
  <c r="Y13" i="10" s="1"/>
  <c r="O13" i="6"/>
  <c r="N13" i="6"/>
  <c r="R14" i="6" s="1"/>
  <c r="X15" i="11"/>
  <c r="V14" i="11"/>
  <c r="Q15" i="11" s="1"/>
  <c r="P13" i="11"/>
  <c r="O13" i="10"/>
  <c r="N13" i="10"/>
  <c r="R14" i="10" s="1"/>
  <c r="N18" i="12"/>
  <c r="R19" i="12" s="1"/>
  <c r="X20" i="12" s="1"/>
  <c r="Z15" i="12"/>
  <c r="U16" i="12"/>
  <c r="S16" i="12"/>
  <c r="L13" i="8"/>
  <c r="O13" i="8" s="1"/>
  <c r="Z12" i="8"/>
  <c r="U14" i="8"/>
  <c r="S14" i="8"/>
  <c r="U16" i="1" l="1"/>
  <c r="O14" i="7"/>
  <c r="P14" i="7" s="1"/>
  <c r="R15" i="9"/>
  <c r="P14" i="9"/>
  <c r="S16" i="1"/>
  <c r="W15" i="1"/>
  <c r="Y15" i="1" s="1"/>
  <c r="U14" i="5"/>
  <c r="O14" i="5"/>
  <c r="L15" i="1"/>
  <c r="O15" i="1" s="1"/>
  <c r="V15" i="7"/>
  <c r="Q16" i="7" s="1"/>
  <c r="W16" i="12"/>
  <c r="Y16" i="12" s="1"/>
  <c r="N15" i="5"/>
  <c r="W13" i="8"/>
  <c r="Y13" i="8" s="1"/>
  <c r="T12" i="5"/>
  <c r="P13" i="6"/>
  <c r="L14" i="6" s="1"/>
  <c r="X15" i="6"/>
  <c r="V14" i="6"/>
  <c r="Q15" i="6" s="1"/>
  <c r="Z13" i="11"/>
  <c r="Q13" i="5" s="1"/>
  <c r="L14" i="11"/>
  <c r="S15" i="11"/>
  <c r="U15" i="11"/>
  <c r="T15" i="11"/>
  <c r="X15" i="10"/>
  <c r="V14" i="10"/>
  <c r="Q15" i="10" s="1"/>
  <c r="P13" i="10"/>
  <c r="V16" i="12"/>
  <c r="Q17" i="12" s="1"/>
  <c r="T17" i="12" s="1"/>
  <c r="P18" i="12"/>
  <c r="L19" i="12" s="1"/>
  <c r="O19" i="12" s="1"/>
  <c r="N13" i="8"/>
  <c r="R14" i="8" s="1"/>
  <c r="L15" i="9" l="1"/>
  <c r="Z14" i="9"/>
  <c r="W15" i="9" s="1"/>
  <c r="Y15" i="9" s="1"/>
  <c r="X16" i="9"/>
  <c r="V15" i="9"/>
  <c r="Q16" i="9" s="1"/>
  <c r="N15" i="1"/>
  <c r="R16" i="1" s="1"/>
  <c r="X17" i="1" s="1"/>
  <c r="S16" i="7"/>
  <c r="T16" i="7"/>
  <c r="U16" i="7"/>
  <c r="L15" i="7"/>
  <c r="Z14" i="7"/>
  <c r="W14" i="11"/>
  <c r="Y14" i="11" s="1"/>
  <c r="Z13" i="6"/>
  <c r="T15" i="6"/>
  <c r="U15" i="6"/>
  <c r="S15" i="6"/>
  <c r="O14" i="6"/>
  <c r="N14" i="6"/>
  <c r="R15" i="6" s="1"/>
  <c r="X16" i="6" s="1"/>
  <c r="O14" i="11"/>
  <c r="N14" i="11"/>
  <c r="R15" i="11" s="1"/>
  <c r="U15" i="10"/>
  <c r="T15" i="10"/>
  <c r="S15" i="10"/>
  <c r="Z13" i="10"/>
  <c r="P13" i="5" s="1"/>
  <c r="L14" i="10"/>
  <c r="Z16" i="12"/>
  <c r="N19" i="12"/>
  <c r="R20" i="12" s="1"/>
  <c r="X21" i="12" s="1"/>
  <c r="U17" i="12"/>
  <c r="S17" i="12"/>
  <c r="X15" i="8"/>
  <c r="V14" i="8"/>
  <c r="Q15" i="8" s="1"/>
  <c r="T15" i="8" s="1"/>
  <c r="P13" i="8"/>
  <c r="P15" i="1" l="1"/>
  <c r="L16" i="1" s="1"/>
  <c r="O16" i="1" s="1"/>
  <c r="V16" i="1"/>
  <c r="Q17" i="1" s="1"/>
  <c r="U17" i="1" s="1"/>
  <c r="T16" i="9"/>
  <c r="U16" i="9"/>
  <c r="S16" i="9"/>
  <c r="O15" i="9"/>
  <c r="N15" i="9"/>
  <c r="W17" i="12"/>
  <c r="Y17" i="12" s="1"/>
  <c r="N16" i="5"/>
  <c r="W15" i="7"/>
  <c r="Y15" i="7" s="1"/>
  <c r="W14" i="5"/>
  <c r="O15" i="7"/>
  <c r="N15" i="7"/>
  <c r="R16" i="7" s="1"/>
  <c r="W14" i="6"/>
  <c r="Y14" i="6" s="1"/>
  <c r="V13" i="5"/>
  <c r="W14" i="10"/>
  <c r="Y14" i="10" s="1"/>
  <c r="V15" i="6"/>
  <c r="Q16" i="6" s="1"/>
  <c r="P14" i="6"/>
  <c r="X16" i="11"/>
  <c r="V15" i="11"/>
  <c r="Q16" i="11" s="1"/>
  <c r="P14" i="11"/>
  <c r="O14" i="10"/>
  <c r="N14" i="10"/>
  <c r="R15" i="10" s="1"/>
  <c r="P19" i="12"/>
  <c r="L20" i="12" s="1"/>
  <c r="O20" i="12" s="1"/>
  <c r="V17" i="12"/>
  <c r="Q18" i="12" s="1"/>
  <c r="T18" i="12" s="1"/>
  <c r="Z13" i="8"/>
  <c r="L14" i="8"/>
  <c r="O14" i="8" s="1"/>
  <c r="U15" i="8"/>
  <c r="S15" i="8"/>
  <c r="Z15" i="1" l="1"/>
  <c r="W16" i="1" s="1"/>
  <c r="Y16" i="1" s="1"/>
  <c r="N16" i="1"/>
  <c r="R17" i="1" s="1"/>
  <c r="X18" i="1" s="1"/>
  <c r="S17" i="1"/>
  <c r="T17" i="1"/>
  <c r="R16" i="9"/>
  <c r="P15" i="9"/>
  <c r="U15" i="5"/>
  <c r="P15" i="7"/>
  <c r="L16" i="7" s="1"/>
  <c r="X17" i="7"/>
  <c r="V16" i="7"/>
  <c r="Q17" i="7" s="1"/>
  <c r="V17" i="1"/>
  <c r="Q18" i="1" s="1"/>
  <c r="S18" i="1" s="1"/>
  <c r="P16" i="1"/>
  <c r="L17" i="1" s="1"/>
  <c r="O17" i="1" s="1"/>
  <c r="W14" i="8"/>
  <c r="Y14" i="8" s="1"/>
  <c r="T13" i="5"/>
  <c r="L15" i="6"/>
  <c r="Z14" i="6"/>
  <c r="U16" i="6"/>
  <c r="T16" i="6"/>
  <c r="S16" i="6"/>
  <c r="Z14" i="11"/>
  <c r="L15" i="11"/>
  <c r="U16" i="11"/>
  <c r="T16" i="11"/>
  <c r="S16" i="11"/>
  <c r="X16" i="10"/>
  <c r="V15" i="10"/>
  <c r="Q16" i="10" s="1"/>
  <c r="P14" i="10"/>
  <c r="Z17" i="12"/>
  <c r="N20" i="12"/>
  <c r="R21" i="12" s="1"/>
  <c r="X22" i="12" s="1"/>
  <c r="U18" i="12"/>
  <c r="S18" i="12"/>
  <c r="N14" i="8"/>
  <c r="R15" i="8" s="1"/>
  <c r="Z15" i="9" l="1"/>
  <c r="L16" i="9"/>
  <c r="X17" i="9"/>
  <c r="V16" i="9"/>
  <c r="Q17" i="9" s="1"/>
  <c r="W15" i="6"/>
  <c r="Y15" i="6" s="1"/>
  <c r="V14" i="5"/>
  <c r="Z15" i="7"/>
  <c r="W15" i="11"/>
  <c r="Y15" i="11" s="1"/>
  <c r="Q14" i="5"/>
  <c r="S17" i="7"/>
  <c r="U17" i="7"/>
  <c r="T17" i="7"/>
  <c r="T18" i="1"/>
  <c r="O16" i="7"/>
  <c r="N16" i="7"/>
  <c r="U18" i="1"/>
  <c r="N17" i="1"/>
  <c r="R18" i="1" s="1"/>
  <c r="X19" i="1" s="1"/>
  <c r="Z16" i="1"/>
  <c r="W18" i="12"/>
  <c r="Y18" i="12" s="1"/>
  <c r="N17" i="5"/>
  <c r="O15" i="6"/>
  <c r="N15" i="6"/>
  <c r="R16" i="6" s="1"/>
  <c r="O15" i="11"/>
  <c r="N15" i="11"/>
  <c r="R16" i="11" s="1"/>
  <c r="U16" i="10"/>
  <c r="T16" i="10"/>
  <c r="S16" i="10"/>
  <c r="Z14" i="10"/>
  <c r="L15" i="10"/>
  <c r="P20" i="12"/>
  <c r="L21" i="12" s="1"/>
  <c r="O21" i="12" s="1"/>
  <c r="V18" i="12"/>
  <c r="Q19" i="12" s="1"/>
  <c r="T19" i="12" s="1"/>
  <c r="X16" i="8"/>
  <c r="V15" i="8"/>
  <c r="Q16" i="8" s="1"/>
  <c r="T16" i="8" s="1"/>
  <c r="P14" i="8"/>
  <c r="W16" i="9" l="1"/>
  <c r="Y16" i="9" s="1"/>
  <c r="O15" i="5"/>
  <c r="S17" i="9"/>
  <c r="U17" i="9"/>
  <c r="T17" i="9"/>
  <c r="O16" i="9"/>
  <c r="N16" i="9"/>
  <c r="W17" i="1"/>
  <c r="Y17" i="1" s="1"/>
  <c r="U16" i="5"/>
  <c r="W16" i="7"/>
  <c r="Y16" i="7" s="1"/>
  <c r="W15" i="5"/>
  <c r="W15" i="10"/>
  <c r="Y15" i="10" s="1"/>
  <c r="P14" i="5"/>
  <c r="R17" i="7"/>
  <c r="P16" i="7"/>
  <c r="P17" i="1"/>
  <c r="Z17" i="1" s="1"/>
  <c r="W18" i="1" s="1"/>
  <c r="Y18" i="1" s="1"/>
  <c r="V18" i="1"/>
  <c r="Q19" i="1" s="1"/>
  <c r="T19" i="1" s="1"/>
  <c r="X17" i="6"/>
  <c r="V16" i="6"/>
  <c r="Q17" i="6" s="1"/>
  <c r="P15" i="6"/>
  <c r="X17" i="11"/>
  <c r="V16" i="11"/>
  <c r="Q17" i="11" s="1"/>
  <c r="P15" i="11"/>
  <c r="O15" i="10"/>
  <c r="N15" i="10"/>
  <c r="R16" i="10" s="1"/>
  <c r="N21" i="12"/>
  <c r="R22" i="12" s="1"/>
  <c r="X23" i="12" s="1"/>
  <c r="Z18" i="12"/>
  <c r="U19" i="12"/>
  <c r="S19" i="12"/>
  <c r="Z14" i="8"/>
  <c r="L15" i="8"/>
  <c r="O15" i="8" s="1"/>
  <c r="U16" i="8"/>
  <c r="S16" i="8"/>
  <c r="R17" i="9" l="1"/>
  <c r="P16" i="9"/>
  <c r="U17" i="5"/>
  <c r="O16" i="5"/>
  <c r="W15" i="8"/>
  <c r="Y15" i="8" s="1"/>
  <c r="T14" i="5"/>
  <c r="L17" i="7"/>
  <c r="Z16" i="7"/>
  <c r="X18" i="7"/>
  <c r="V17" i="7"/>
  <c r="Q18" i="7" s="1"/>
  <c r="S19" i="1"/>
  <c r="L18" i="1"/>
  <c r="O18" i="1" s="1"/>
  <c r="U19" i="1"/>
  <c r="W19" i="12"/>
  <c r="Y19" i="12" s="1"/>
  <c r="N18" i="5"/>
  <c r="L16" i="6"/>
  <c r="Z15" i="6"/>
  <c r="T17" i="6"/>
  <c r="U17" i="6"/>
  <c r="S17" i="6"/>
  <c r="Z15" i="11"/>
  <c r="L16" i="11"/>
  <c r="U17" i="11"/>
  <c r="T17" i="11"/>
  <c r="S17" i="11"/>
  <c r="X17" i="10"/>
  <c r="V16" i="10"/>
  <c r="Q17" i="10" s="1"/>
  <c r="P15" i="10"/>
  <c r="P21" i="12"/>
  <c r="L22" i="12" s="1"/>
  <c r="O22" i="12" s="1"/>
  <c r="V19" i="12"/>
  <c r="Q20" i="12" s="1"/>
  <c r="T20" i="12" s="1"/>
  <c r="N15" i="8"/>
  <c r="R16" i="8" s="1"/>
  <c r="Z16" i="9" l="1"/>
  <c r="W17" i="9" s="1"/>
  <c r="Y17" i="9" s="1"/>
  <c r="L17" i="9"/>
  <c r="X18" i="9"/>
  <c r="V17" i="9"/>
  <c r="Q18" i="9" s="1"/>
  <c r="W17" i="7"/>
  <c r="Y17" i="7" s="1"/>
  <c r="W16" i="5"/>
  <c r="T18" i="7"/>
  <c r="U18" i="7"/>
  <c r="S18" i="7"/>
  <c r="O17" i="7"/>
  <c r="N17" i="7"/>
  <c r="N18" i="1"/>
  <c r="R19" i="1" s="1"/>
  <c r="X20" i="1" s="1"/>
  <c r="W16" i="6"/>
  <c r="Y16" i="6" s="1"/>
  <c r="V15" i="5"/>
  <c r="W16" i="11"/>
  <c r="Y16" i="11" s="1"/>
  <c r="Q15" i="5"/>
  <c r="O16" i="6"/>
  <c r="N16" i="6"/>
  <c r="R17" i="6" s="1"/>
  <c r="O16" i="11"/>
  <c r="N16" i="11"/>
  <c r="R17" i="11" s="1"/>
  <c r="Z15" i="10"/>
  <c r="L16" i="10"/>
  <c r="U17" i="10"/>
  <c r="T17" i="10"/>
  <c r="S17" i="10"/>
  <c r="Z19" i="12"/>
  <c r="N22" i="12"/>
  <c r="R23" i="12" s="1"/>
  <c r="X24" i="12" s="1"/>
  <c r="S20" i="12"/>
  <c r="U20" i="12"/>
  <c r="P15" i="8"/>
  <c r="Z15" i="8" s="1"/>
  <c r="X17" i="8"/>
  <c r="V16" i="8"/>
  <c r="Q17" i="8" s="1"/>
  <c r="T17" i="8" s="1"/>
  <c r="U18" i="9" l="1"/>
  <c r="S18" i="9"/>
  <c r="T18" i="9"/>
  <c r="O17" i="9"/>
  <c r="N17" i="9"/>
  <c r="W20" i="12"/>
  <c r="Y20" i="12" s="1"/>
  <c r="N19" i="5"/>
  <c r="P18" i="1"/>
  <c r="L19" i="1" s="1"/>
  <c r="O19" i="1" s="1"/>
  <c r="R18" i="7"/>
  <c r="P17" i="7"/>
  <c r="V19" i="1"/>
  <c r="Q20" i="1" s="1"/>
  <c r="T20" i="1" s="1"/>
  <c r="W16" i="8"/>
  <c r="Y16" i="8" s="1"/>
  <c r="T15" i="5"/>
  <c r="W16" i="10"/>
  <c r="Y16" i="10" s="1"/>
  <c r="P15" i="5"/>
  <c r="X18" i="6"/>
  <c r="V17" i="6"/>
  <c r="Q18" i="6" s="1"/>
  <c r="P16" i="6"/>
  <c r="X18" i="11"/>
  <c r="V17" i="11"/>
  <c r="Q18" i="11" s="1"/>
  <c r="P16" i="11"/>
  <c r="N16" i="10"/>
  <c r="R17" i="10" s="1"/>
  <c r="O16" i="10"/>
  <c r="P22" i="12"/>
  <c r="L23" i="12" s="1"/>
  <c r="O23" i="12" s="1"/>
  <c r="V20" i="12"/>
  <c r="Q21" i="12" s="1"/>
  <c r="T21" i="12" s="1"/>
  <c r="L16" i="8"/>
  <c r="O16" i="8" s="1"/>
  <c r="S17" i="8"/>
  <c r="U17" i="8"/>
  <c r="Z18" i="1" l="1"/>
  <c r="W19" i="1" s="1"/>
  <c r="Y19" i="1" s="1"/>
  <c r="R18" i="9"/>
  <c r="P17" i="9"/>
  <c r="S20" i="1"/>
  <c r="N19" i="1"/>
  <c r="R20" i="1" s="1"/>
  <c r="X21" i="1" s="1"/>
  <c r="U20" i="1"/>
  <c r="L18" i="7"/>
  <c r="Z17" i="7"/>
  <c r="X19" i="7"/>
  <c r="V18" i="7"/>
  <c r="Q19" i="7" s="1"/>
  <c r="U18" i="5"/>
  <c r="L17" i="6"/>
  <c r="Z16" i="6"/>
  <c r="T18" i="6"/>
  <c r="U18" i="6"/>
  <c r="S18" i="6"/>
  <c r="S18" i="11"/>
  <c r="U18" i="11"/>
  <c r="T18" i="11"/>
  <c r="Z16" i="11"/>
  <c r="L17" i="11"/>
  <c r="P16" i="10"/>
  <c r="X18" i="10"/>
  <c r="V17" i="10"/>
  <c r="Q18" i="10" s="1"/>
  <c r="N16" i="8"/>
  <c r="R17" i="8" s="1"/>
  <c r="X18" i="8" s="1"/>
  <c r="Z20" i="12"/>
  <c r="N23" i="12"/>
  <c r="R24" i="12" s="1"/>
  <c r="S21" i="12"/>
  <c r="U21" i="12"/>
  <c r="Z17" i="9" l="1"/>
  <c r="L18" i="9"/>
  <c r="X19" i="9"/>
  <c r="V18" i="9"/>
  <c r="Q19" i="9" s="1"/>
  <c r="V20" i="1"/>
  <c r="Q21" i="1" s="1"/>
  <c r="U21" i="1" s="1"/>
  <c r="W18" i="7"/>
  <c r="Y18" i="7" s="1"/>
  <c r="W17" i="5"/>
  <c r="W17" i="6"/>
  <c r="Y17" i="6" s="1"/>
  <c r="V16" i="5"/>
  <c r="W17" i="11"/>
  <c r="Y17" i="11" s="1"/>
  <c r="Q16" i="5"/>
  <c r="P19" i="1"/>
  <c r="S19" i="7"/>
  <c r="T19" i="7"/>
  <c r="U19" i="7"/>
  <c r="N18" i="7"/>
  <c r="O18" i="7"/>
  <c r="W21" i="12"/>
  <c r="Y21" i="12" s="1"/>
  <c r="N20" i="5"/>
  <c r="O17" i="6"/>
  <c r="N17" i="6"/>
  <c r="R18" i="6" s="1"/>
  <c r="O17" i="11"/>
  <c r="N17" i="11"/>
  <c r="R18" i="11" s="1"/>
  <c r="U18" i="10"/>
  <c r="T18" i="10"/>
  <c r="S18" i="10"/>
  <c r="Z16" i="10"/>
  <c r="L17" i="10"/>
  <c r="P23" i="12"/>
  <c r="L24" i="12" s="1"/>
  <c r="O24" i="12" s="1"/>
  <c r="P16" i="8"/>
  <c r="Z16" i="8" s="1"/>
  <c r="V17" i="8"/>
  <c r="Q18" i="8" s="1"/>
  <c r="T18" i="8" s="1"/>
  <c r="V21" i="12"/>
  <c r="Z21" i="12" s="1"/>
  <c r="W18" i="9" l="1"/>
  <c r="Y18" i="9" s="1"/>
  <c r="O17" i="5"/>
  <c r="T19" i="9"/>
  <c r="U19" i="9"/>
  <c r="S19" i="9"/>
  <c r="N18" i="9"/>
  <c r="O18" i="9"/>
  <c r="W22" i="12"/>
  <c r="Y22" i="12" s="1"/>
  <c r="N21" i="5"/>
  <c r="S21" i="1"/>
  <c r="T21" i="1"/>
  <c r="W17" i="8"/>
  <c r="Y17" i="8" s="1"/>
  <c r="T16" i="5"/>
  <c r="W17" i="10"/>
  <c r="Y17" i="10" s="1"/>
  <c r="P16" i="5"/>
  <c r="L20" i="1"/>
  <c r="Z19" i="1"/>
  <c r="R19" i="7"/>
  <c r="P18" i="7"/>
  <c r="X19" i="6"/>
  <c r="V18" i="6"/>
  <c r="Q19" i="6" s="1"/>
  <c r="P17" i="6"/>
  <c r="X19" i="11"/>
  <c r="V18" i="11"/>
  <c r="Q19" i="11" s="1"/>
  <c r="P17" i="11"/>
  <c r="O17" i="10"/>
  <c r="N17" i="10"/>
  <c r="R18" i="10" s="1"/>
  <c r="S18" i="8"/>
  <c r="U18" i="8"/>
  <c r="L17" i="8"/>
  <c r="O17" i="8" s="1"/>
  <c r="N24" i="12"/>
  <c r="P24" i="12" s="1"/>
  <c r="Q22" i="12"/>
  <c r="T22" i="12" s="1"/>
  <c r="R19" i="9" l="1"/>
  <c r="P18" i="9"/>
  <c r="W20" i="1"/>
  <c r="Y20" i="1" s="1"/>
  <c r="U19" i="5"/>
  <c r="O20" i="1"/>
  <c r="N20" i="1"/>
  <c r="R21" i="1" s="1"/>
  <c r="L19" i="7"/>
  <c r="Z18" i="7"/>
  <c r="X20" i="7"/>
  <c r="V19" i="7"/>
  <c r="Q20" i="7" s="1"/>
  <c r="L18" i="6"/>
  <c r="Z17" i="6"/>
  <c r="T19" i="6"/>
  <c r="U19" i="6"/>
  <c r="S19" i="6"/>
  <c r="S19" i="11"/>
  <c r="U19" i="11"/>
  <c r="T19" i="11"/>
  <c r="Z17" i="11"/>
  <c r="L18" i="11"/>
  <c r="X19" i="10"/>
  <c r="V18" i="10"/>
  <c r="Q19" i="10" s="1"/>
  <c r="P17" i="10"/>
  <c r="N17" i="8"/>
  <c r="R18" i="8" s="1"/>
  <c r="X19" i="8" s="1"/>
  <c r="U22" i="12"/>
  <c r="S22" i="12"/>
  <c r="Z18" i="9" l="1"/>
  <c r="L19" i="9"/>
  <c r="V19" i="9"/>
  <c r="Q20" i="9" s="1"/>
  <c r="X20" i="9"/>
  <c r="W19" i="7"/>
  <c r="Y19" i="7" s="1"/>
  <c r="W18" i="5"/>
  <c r="P20" i="1"/>
  <c r="L21" i="1" s="1"/>
  <c r="X22" i="1"/>
  <c r="V21" i="1"/>
  <c r="Q22" i="1" s="1"/>
  <c r="S20" i="7"/>
  <c r="T20" i="7"/>
  <c r="U20" i="7"/>
  <c r="N19" i="7"/>
  <c r="O19" i="7"/>
  <c r="W18" i="6"/>
  <c r="Y18" i="6" s="1"/>
  <c r="V17" i="5"/>
  <c r="W18" i="11"/>
  <c r="Y18" i="11" s="1"/>
  <c r="Q17" i="5"/>
  <c r="O18" i="6"/>
  <c r="N18" i="6"/>
  <c r="R19" i="6" s="1"/>
  <c r="O18" i="11"/>
  <c r="N18" i="11"/>
  <c r="R19" i="11" s="1"/>
  <c r="Z17" i="10"/>
  <c r="L18" i="10"/>
  <c r="U19" i="10"/>
  <c r="T19" i="10"/>
  <c r="S19" i="10"/>
  <c r="V18" i="8"/>
  <c r="Q19" i="8" s="1"/>
  <c r="T19" i="8" s="1"/>
  <c r="P17" i="8"/>
  <c r="L18" i="8" s="1"/>
  <c r="O18" i="8" s="1"/>
  <c r="V22" i="12"/>
  <c r="Q23" i="12" s="1"/>
  <c r="T23" i="12" s="1"/>
  <c r="U20" i="9" l="1"/>
  <c r="S20" i="9"/>
  <c r="T20" i="9"/>
  <c r="O19" i="9"/>
  <c r="N19" i="9"/>
  <c r="O18" i="5"/>
  <c r="W19" i="9"/>
  <c r="Y19" i="9" s="1"/>
  <c r="Z20" i="1"/>
  <c r="S22" i="1"/>
  <c r="T22" i="1"/>
  <c r="U22" i="1"/>
  <c r="O21" i="1"/>
  <c r="N21" i="1"/>
  <c r="R22" i="1" s="1"/>
  <c r="R20" i="7"/>
  <c r="P19" i="7"/>
  <c r="W18" i="10"/>
  <c r="Y18" i="10" s="1"/>
  <c r="P17" i="5"/>
  <c r="X20" i="6"/>
  <c r="V19" i="6"/>
  <c r="Q20" i="6" s="1"/>
  <c r="P18" i="6"/>
  <c r="X20" i="11"/>
  <c r="V19" i="11"/>
  <c r="Q20" i="11" s="1"/>
  <c r="P18" i="11"/>
  <c r="O18" i="10"/>
  <c r="N18" i="10"/>
  <c r="R19" i="10" s="1"/>
  <c r="Z17" i="8"/>
  <c r="S19" i="8"/>
  <c r="U19" i="8"/>
  <c r="Z22" i="12"/>
  <c r="N22" i="5" s="1"/>
  <c r="S23" i="12"/>
  <c r="U23" i="12"/>
  <c r="N18" i="8"/>
  <c r="R19" i="8" s="1"/>
  <c r="R20" i="9" l="1"/>
  <c r="P19" i="9"/>
  <c r="W21" i="1"/>
  <c r="Y21" i="1" s="1"/>
  <c r="U20" i="5"/>
  <c r="O19" i="5"/>
  <c r="P21" i="1"/>
  <c r="L22" i="1" s="1"/>
  <c r="X23" i="1"/>
  <c r="V22" i="1"/>
  <c r="Q23" i="1" s="1"/>
  <c r="Z19" i="7"/>
  <c r="L20" i="7"/>
  <c r="X21" i="7"/>
  <c r="V20" i="7"/>
  <c r="Q21" i="7" s="1"/>
  <c r="W18" i="8"/>
  <c r="Y18" i="8" s="1"/>
  <c r="T17" i="5"/>
  <c r="W23" i="12"/>
  <c r="Y23" i="12" s="1"/>
  <c r="L19" i="6"/>
  <c r="Z18" i="6"/>
  <c r="T20" i="6"/>
  <c r="U20" i="6"/>
  <c r="S20" i="6"/>
  <c r="U20" i="11"/>
  <c r="T20" i="11"/>
  <c r="S20" i="11"/>
  <c r="Z18" i="11"/>
  <c r="Q18" i="5" s="1"/>
  <c r="L19" i="11"/>
  <c r="X20" i="10"/>
  <c r="V19" i="10"/>
  <c r="Q20" i="10" s="1"/>
  <c r="P18" i="10"/>
  <c r="V23" i="12"/>
  <c r="Q24" i="12" s="1"/>
  <c r="T24" i="12" s="1"/>
  <c r="P18" i="8"/>
  <c r="L19" i="8" s="1"/>
  <c r="O19" i="8" s="1"/>
  <c r="X20" i="8"/>
  <c r="V19" i="8"/>
  <c r="Q20" i="8" s="1"/>
  <c r="T20" i="8" s="1"/>
  <c r="L20" i="9" l="1"/>
  <c r="Z19" i="9"/>
  <c r="W20" i="9" s="1"/>
  <c r="Y20" i="9" s="1"/>
  <c r="V20" i="9"/>
  <c r="Q21" i="9" s="1"/>
  <c r="X21" i="9"/>
  <c r="Z21" i="1"/>
  <c r="W20" i="7"/>
  <c r="Y20" i="7" s="1"/>
  <c r="W19" i="5"/>
  <c r="U23" i="1"/>
  <c r="T23" i="1"/>
  <c r="S23" i="1"/>
  <c r="O22" i="1"/>
  <c r="N22" i="1"/>
  <c r="R23" i="1" s="1"/>
  <c r="X24" i="1" s="1"/>
  <c r="T21" i="7"/>
  <c r="U21" i="7"/>
  <c r="S21" i="7"/>
  <c r="N20" i="7"/>
  <c r="R21" i="7" s="1"/>
  <c r="X22" i="7" s="1"/>
  <c r="O20" i="7"/>
  <c r="W19" i="6"/>
  <c r="Y19" i="6" s="1"/>
  <c r="V18" i="5"/>
  <c r="W19" i="11"/>
  <c r="Y19" i="11" s="1"/>
  <c r="O19" i="6"/>
  <c r="N19" i="6"/>
  <c r="R20" i="6" s="1"/>
  <c r="O19" i="11"/>
  <c r="N19" i="11"/>
  <c r="R20" i="11" s="1"/>
  <c r="Z18" i="10"/>
  <c r="P18" i="5" s="1"/>
  <c r="L19" i="10"/>
  <c r="U20" i="10"/>
  <c r="T20" i="10"/>
  <c r="S20" i="10"/>
  <c r="U24" i="12"/>
  <c r="S24" i="12"/>
  <c r="Z23" i="12"/>
  <c r="W24" i="12" s="1"/>
  <c r="Y24" i="12" s="1"/>
  <c r="Z18" i="8"/>
  <c r="U20" i="8"/>
  <c r="S20" i="8"/>
  <c r="N19" i="8"/>
  <c r="R20" i="8" s="1"/>
  <c r="X21" i="8" s="1"/>
  <c r="P20" i="7" l="1"/>
  <c r="L21" i="7" s="1"/>
  <c r="T21" i="9"/>
  <c r="U21" i="9"/>
  <c r="S21" i="9"/>
  <c r="O20" i="9"/>
  <c r="N20" i="9"/>
  <c r="W22" i="1"/>
  <c r="Y22" i="1" s="1"/>
  <c r="U21" i="5"/>
  <c r="P22" i="1"/>
  <c r="Z22" i="1" s="1"/>
  <c r="V23" i="1"/>
  <c r="Q24" i="1" s="1"/>
  <c r="V21" i="7"/>
  <c r="Q22" i="7" s="1"/>
  <c r="W19" i="8"/>
  <c r="Y19" i="8" s="1"/>
  <c r="T18" i="5"/>
  <c r="W19" i="10"/>
  <c r="Y19" i="10" s="1"/>
  <c r="X21" i="6"/>
  <c r="V20" i="6"/>
  <c r="Q21" i="6" s="1"/>
  <c r="P19" i="6"/>
  <c r="X21" i="11"/>
  <c r="V20" i="11"/>
  <c r="Q21" i="11" s="1"/>
  <c r="P19" i="11"/>
  <c r="O19" i="10"/>
  <c r="N19" i="10"/>
  <c r="R20" i="10" s="1"/>
  <c r="V24" i="12"/>
  <c r="Z24" i="12" s="1"/>
  <c r="N24" i="5" s="1"/>
  <c r="P19" i="8"/>
  <c r="V20" i="8"/>
  <c r="Q21" i="8" s="1"/>
  <c r="T21" i="8" s="1"/>
  <c r="Z20" i="7" l="1"/>
  <c r="W21" i="7" s="1"/>
  <c r="Y21" i="7" s="1"/>
  <c r="R21" i="9"/>
  <c r="P20" i="9"/>
  <c r="L23" i="1"/>
  <c r="N23" i="1" s="1"/>
  <c r="R24" i="1" s="1"/>
  <c r="U24" i="1"/>
  <c r="T24" i="1"/>
  <c r="S24" i="1"/>
  <c r="U22" i="5"/>
  <c r="W23" i="1"/>
  <c r="Y23" i="1" s="1"/>
  <c r="S22" i="7"/>
  <c r="T22" i="7"/>
  <c r="U22" i="7"/>
  <c r="O21" i="7"/>
  <c r="N21" i="7"/>
  <c r="L20" i="6"/>
  <c r="Z19" i="6"/>
  <c r="U21" i="6"/>
  <c r="T21" i="6"/>
  <c r="S21" i="6"/>
  <c r="Z19" i="11"/>
  <c r="L20" i="11"/>
  <c r="U21" i="11"/>
  <c r="T21" i="11"/>
  <c r="S21" i="11"/>
  <c r="X21" i="10"/>
  <c r="V20" i="10"/>
  <c r="Q21" i="10" s="1"/>
  <c r="P19" i="10"/>
  <c r="U21" i="8"/>
  <c r="S21" i="8"/>
  <c r="L20" i="8"/>
  <c r="O20" i="8" s="1"/>
  <c r="Z19" i="8"/>
  <c r="W20" i="5" l="1"/>
  <c r="Z20" i="9"/>
  <c r="L21" i="9"/>
  <c r="X22" i="9"/>
  <c r="V21" i="9"/>
  <c r="Q22" i="9" s="1"/>
  <c r="O23" i="1"/>
  <c r="P23" i="1" s="1"/>
  <c r="W20" i="6"/>
  <c r="Y20" i="6" s="1"/>
  <c r="V19" i="5"/>
  <c r="W20" i="8"/>
  <c r="Y20" i="8" s="1"/>
  <c r="T19" i="5"/>
  <c r="W20" i="11"/>
  <c r="Y20" i="11" s="1"/>
  <c r="Q19" i="5"/>
  <c r="V24" i="1"/>
  <c r="R22" i="7"/>
  <c r="P21" i="7"/>
  <c r="O20" i="6"/>
  <c r="N20" i="6"/>
  <c r="R21" i="6" s="1"/>
  <c r="O20" i="11"/>
  <c r="N20" i="11"/>
  <c r="R21" i="11" s="1"/>
  <c r="Z19" i="10"/>
  <c r="L20" i="10"/>
  <c r="S21" i="10"/>
  <c r="U21" i="10"/>
  <c r="T21" i="10"/>
  <c r="N20" i="8"/>
  <c r="R21" i="8" s="1"/>
  <c r="W21" i="9" l="1"/>
  <c r="Y21" i="9" s="1"/>
  <c r="O20" i="5"/>
  <c r="U22" i="9"/>
  <c r="S22" i="9"/>
  <c r="T22" i="9"/>
  <c r="O21" i="9"/>
  <c r="N21" i="9"/>
  <c r="W20" i="10"/>
  <c r="Y20" i="10" s="1"/>
  <c r="P19" i="5"/>
  <c r="Z23" i="1"/>
  <c r="W24" i="1" s="1"/>
  <c r="Y24" i="1" s="1"/>
  <c r="L24" i="1"/>
  <c r="X23" i="7"/>
  <c r="V22" i="7"/>
  <c r="Q23" i="7" s="1"/>
  <c r="L22" i="7"/>
  <c r="Z21" i="7"/>
  <c r="X22" i="6"/>
  <c r="V21" i="6"/>
  <c r="Q22" i="6" s="1"/>
  <c r="P20" i="6"/>
  <c r="X22" i="11"/>
  <c r="V21" i="11"/>
  <c r="Q22" i="11" s="1"/>
  <c r="P20" i="11"/>
  <c r="O20" i="10"/>
  <c r="N20" i="10"/>
  <c r="R21" i="10" s="1"/>
  <c r="X22" i="8"/>
  <c r="V21" i="8"/>
  <c r="Q22" i="8" s="1"/>
  <c r="T22" i="8" s="1"/>
  <c r="P20" i="8"/>
  <c r="R22" i="9" l="1"/>
  <c r="P21" i="9"/>
  <c r="W22" i="7"/>
  <c r="Y22" i="7" s="1"/>
  <c r="W21" i="5"/>
  <c r="O21" i="5"/>
  <c r="O24" i="1"/>
  <c r="N24" i="1"/>
  <c r="O22" i="7"/>
  <c r="N22" i="7"/>
  <c r="T23" i="7"/>
  <c r="U23" i="7"/>
  <c r="S23" i="7"/>
  <c r="T22" i="6"/>
  <c r="U22" i="6"/>
  <c r="S22" i="6"/>
  <c r="Z20" i="6"/>
  <c r="L21" i="6"/>
  <c r="Z20" i="11"/>
  <c r="L21" i="11"/>
  <c r="U22" i="11"/>
  <c r="T22" i="11"/>
  <c r="S22" i="11"/>
  <c r="X22" i="10"/>
  <c r="V21" i="10"/>
  <c r="Q22" i="10" s="1"/>
  <c r="P20" i="10"/>
  <c r="Z20" i="8"/>
  <c r="L21" i="8"/>
  <c r="O21" i="8" s="1"/>
  <c r="U22" i="8"/>
  <c r="S22" i="8"/>
  <c r="Z21" i="9" l="1"/>
  <c r="W22" i="9" s="1"/>
  <c r="Y22" i="9" s="1"/>
  <c r="L22" i="9"/>
  <c r="X23" i="9"/>
  <c r="V22" i="9"/>
  <c r="Q23" i="9" s="1"/>
  <c r="P24" i="1"/>
  <c r="Z24" i="1" s="1"/>
  <c r="U24" i="5" s="1"/>
  <c r="R23" i="7"/>
  <c r="P22" i="7"/>
  <c r="W21" i="8"/>
  <c r="Y21" i="8" s="1"/>
  <c r="T20" i="5"/>
  <c r="W21" i="6"/>
  <c r="Y21" i="6" s="1"/>
  <c r="V20" i="5"/>
  <c r="W21" i="11"/>
  <c r="Y21" i="11" s="1"/>
  <c r="Q20" i="5"/>
  <c r="O21" i="6"/>
  <c r="N21" i="6"/>
  <c r="R22" i="6" s="1"/>
  <c r="O21" i="11"/>
  <c r="N21" i="11"/>
  <c r="R22" i="11" s="1"/>
  <c r="Z20" i="10"/>
  <c r="L21" i="10"/>
  <c r="U22" i="10"/>
  <c r="T22" i="10"/>
  <c r="S22" i="10"/>
  <c r="N21" i="8"/>
  <c r="R22" i="8" s="1"/>
  <c r="S23" i="9" l="1"/>
  <c r="T23" i="9"/>
  <c r="U23" i="9"/>
  <c r="N22" i="9"/>
  <c r="O22" i="9"/>
  <c r="L23" i="7"/>
  <c r="Z22" i="7"/>
  <c r="X24" i="7"/>
  <c r="V23" i="7"/>
  <c r="Q24" i="7" s="1"/>
  <c r="W21" i="10"/>
  <c r="Y21" i="10" s="1"/>
  <c r="P20" i="5"/>
  <c r="X23" i="6"/>
  <c r="V22" i="6"/>
  <c r="Q23" i="6" s="1"/>
  <c r="P21" i="6"/>
  <c r="X23" i="11"/>
  <c r="V22" i="11"/>
  <c r="Q23" i="11" s="1"/>
  <c r="P21" i="11"/>
  <c r="O21" i="10"/>
  <c r="N21" i="10"/>
  <c r="R22" i="10" s="1"/>
  <c r="P21" i="8"/>
  <c r="Z21" i="8" s="1"/>
  <c r="X23" i="8"/>
  <c r="V22" i="8"/>
  <c r="Q23" i="8" s="1"/>
  <c r="T23" i="8" s="1"/>
  <c r="R23" i="9" l="1"/>
  <c r="P22" i="9"/>
  <c r="W22" i="8"/>
  <c r="Y22" i="8" s="1"/>
  <c r="T21" i="5"/>
  <c r="W23" i="7"/>
  <c r="Y23" i="7" s="1"/>
  <c r="W22" i="5"/>
  <c r="T24" i="7"/>
  <c r="S24" i="7"/>
  <c r="U24" i="7"/>
  <c r="O23" i="7"/>
  <c r="N23" i="7"/>
  <c r="Z21" i="6"/>
  <c r="L22" i="6"/>
  <c r="T23" i="6"/>
  <c r="U23" i="6"/>
  <c r="S23" i="6"/>
  <c r="Z21" i="11"/>
  <c r="L22" i="11"/>
  <c r="U23" i="11"/>
  <c r="T23" i="11"/>
  <c r="S23" i="11"/>
  <c r="X23" i="10"/>
  <c r="V22" i="10"/>
  <c r="Q23" i="10" s="1"/>
  <c r="P21" i="10"/>
  <c r="L22" i="8"/>
  <c r="O22" i="8" s="1"/>
  <c r="S23" i="8"/>
  <c r="U23" i="8"/>
  <c r="L23" i="9" l="1"/>
  <c r="Z22" i="9"/>
  <c r="X24" i="9"/>
  <c r="V23" i="9"/>
  <c r="Q24" i="9" s="1"/>
  <c r="W22" i="6"/>
  <c r="Y22" i="6" s="1"/>
  <c r="V21" i="5"/>
  <c r="W22" i="11"/>
  <c r="Y22" i="11" s="1"/>
  <c r="Q21" i="5"/>
  <c r="R24" i="7"/>
  <c r="V24" i="7" s="1"/>
  <c r="P23" i="7"/>
  <c r="O22" i="6"/>
  <c r="N22" i="6"/>
  <c r="R23" i="6" s="1"/>
  <c r="O22" i="11"/>
  <c r="N22" i="11"/>
  <c r="R23" i="11" s="1"/>
  <c r="S23" i="10"/>
  <c r="U23" i="10"/>
  <c r="T23" i="10"/>
  <c r="Z21" i="10"/>
  <c r="L22" i="10"/>
  <c r="N22" i="8"/>
  <c r="R23" i="8" s="1"/>
  <c r="X24" i="8" s="1"/>
  <c r="U24" i="9" l="1"/>
  <c r="S24" i="9"/>
  <c r="T24" i="9"/>
  <c r="O22" i="5"/>
  <c r="W23" i="9"/>
  <c r="Y23" i="9" s="1"/>
  <c r="O23" i="9"/>
  <c r="N23" i="9"/>
  <c r="W22" i="10"/>
  <c r="Y22" i="10" s="1"/>
  <c r="P21" i="5"/>
  <c r="L24" i="7"/>
  <c r="Z23" i="7"/>
  <c r="W24" i="7" s="1"/>
  <c r="Y24" i="7" s="1"/>
  <c r="X24" i="6"/>
  <c r="V23" i="6"/>
  <c r="Q24" i="6" s="1"/>
  <c r="P22" i="6"/>
  <c r="X24" i="11"/>
  <c r="V23" i="11"/>
  <c r="Q24" i="11" s="1"/>
  <c r="P22" i="11"/>
  <c r="O22" i="10"/>
  <c r="N22" i="10"/>
  <c r="R23" i="10" s="1"/>
  <c r="P22" i="8"/>
  <c r="L23" i="8" s="1"/>
  <c r="O23" i="8" s="1"/>
  <c r="V23" i="8"/>
  <c r="Q24" i="8" s="1"/>
  <c r="T24" i="8" s="1"/>
  <c r="R24" i="9" l="1"/>
  <c r="V24" i="9" s="1"/>
  <c r="P23" i="9"/>
  <c r="N24" i="7"/>
  <c r="O24" i="7"/>
  <c r="Z22" i="6"/>
  <c r="L23" i="6"/>
  <c r="T24" i="6"/>
  <c r="U24" i="6"/>
  <c r="S24" i="6"/>
  <c r="Z22" i="11"/>
  <c r="Q22" i="5" s="1"/>
  <c r="L23" i="11"/>
  <c r="U24" i="11"/>
  <c r="T24" i="11"/>
  <c r="S24" i="11"/>
  <c r="X24" i="10"/>
  <c r="V23" i="10"/>
  <c r="Q24" i="10" s="1"/>
  <c r="P22" i="10"/>
  <c r="Z22" i="8"/>
  <c r="S24" i="8"/>
  <c r="U24" i="8"/>
  <c r="N23" i="8"/>
  <c r="R24" i="8" s="1"/>
  <c r="Z23" i="9" l="1"/>
  <c r="W24" i="9" s="1"/>
  <c r="Y24" i="9" s="1"/>
  <c r="L24" i="9"/>
  <c r="W23" i="6"/>
  <c r="Y23" i="6" s="1"/>
  <c r="V22" i="5"/>
  <c r="W23" i="8"/>
  <c r="Y23" i="8" s="1"/>
  <c r="T22" i="5"/>
  <c r="P24" i="7"/>
  <c r="Z24" i="7" s="1"/>
  <c r="W24" i="5" s="1"/>
  <c r="W23" i="11"/>
  <c r="Y23" i="11" s="1"/>
  <c r="O23" i="6"/>
  <c r="N23" i="6"/>
  <c r="R24" i="6" s="1"/>
  <c r="V24" i="6" s="1"/>
  <c r="O23" i="11"/>
  <c r="N23" i="11"/>
  <c r="R24" i="11" s="1"/>
  <c r="V24" i="11" s="1"/>
  <c r="Z22" i="10"/>
  <c r="P22" i="5" s="1"/>
  <c r="L23" i="10"/>
  <c r="U24" i="10"/>
  <c r="T24" i="10"/>
  <c r="S24" i="10"/>
  <c r="V24" i="8"/>
  <c r="P23" i="8"/>
  <c r="O24" i="9" l="1"/>
  <c r="N24" i="9"/>
  <c r="W23" i="10"/>
  <c r="Y23" i="10" s="1"/>
  <c r="P23" i="6"/>
  <c r="P23" i="11"/>
  <c r="O23" i="10"/>
  <c r="N23" i="10"/>
  <c r="R24" i="10" s="1"/>
  <c r="V24" i="10" s="1"/>
  <c r="L24" i="8"/>
  <c r="O24" i="8" s="1"/>
  <c r="Z23" i="8"/>
  <c r="W24" i="8" s="1"/>
  <c r="Y24" i="8" s="1"/>
  <c r="P24" i="9" l="1"/>
  <c r="Z24" i="9" s="1"/>
  <c r="O24" i="5" s="1"/>
  <c r="Z23" i="6"/>
  <c r="W24" i="6" s="1"/>
  <c r="Y24" i="6" s="1"/>
  <c r="L24" i="6"/>
  <c r="Z23" i="11"/>
  <c r="W24" i="11" s="1"/>
  <c r="Y24" i="11" s="1"/>
  <c r="L24" i="11"/>
  <c r="P23" i="10"/>
  <c r="N24" i="8"/>
  <c r="P24" i="8" s="1"/>
  <c r="Z24" i="8" s="1"/>
  <c r="T24" i="5" s="1"/>
  <c r="O24" i="6" l="1"/>
  <c r="N24" i="6"/>
  <c r="O24" i="11"/>
  <c r="N24" i="11"/>
  <c r="Z23" i="10"/>
  <c r="W24" i="10" s="1"/>
  <c r="Y24" i="10" s="1"/>
  <c r="L24" i="10"/>
  <c r="P24" i="6" l="1"/>
  <c r="Z24" i="6" s="1"/>
  <c r="V24" i="5" s="1"/>
  <c r="P24" i="11"/>
  <c r="Z24" i="11" s="1"/>
  <c r="Q24" i="5" s="1"/>
  <c r="O24" i="10"/>
  <c r="N24" i="10"/>
  <c r="P24" i="10" l="1"/>
  <c r="Z24" i="10" s="1"/>
  <c r="P24" i="5" s="1"/>
</calcChain>
</file>

<file path=xl/sharedStrings.xml><?xml version="1.0" encoding="utf-8"?>
<sst xmlns="http://schemas.openxmlformats.org/spreadsheetml/2006/main" count="1332" uniqueCount="585">
  <si>
    <t>Value</t>
  </si>
  <si>
    <t>p1</t>
  </si>
  <si>
    <t>no</t>
  </si>
  <si>
    <t>p2</t>
  </si>
  <si>
    <t>testing 72 h</t>
  </si>
  <si>
    <t>p2/p3</t>
  </si>
  <si>
    <t>testing  48 h</t>
  </si>
  <si>
    <t>testing 24 h</t>
  </si>
  <si>
    <t>testing 0 h</t>
  </si>
  <si>
    <t>p4</t>
  </si>
  <si>
    <t>travel</t>
  </si>
  <si>
    <t>qrtn 1 day</t>
  </si>
  <si>
    <t>qrtn 2 day</t>
  </si>
  <si>
    <t>qrtn 3 day</t>
  </si>
  <si>
    <t>qrtn 4 day</t>
  </si>
  <si>
    <t>qrtn 5 day</t>
  </si>
  <si>
    <t>qrtn 6 day</t>
  </si>
  <si>
    <t>qrtn 7 day</t>
  </si>
  <si>
    <t>qrtn 8 day</t>
  </si>
  <si>
    <t>qrtn 9 day</t>
  </si>
  <si>
    <t>qrtn 10 day</t>
  </si>
  <si>
    <t>qrtn 11 day</t>
  </si>
  <si>
    <t>qrtn 12 day</t>
  </si>
  <si>
    <t>qrtn 14 day</t>
  </si>
  <si>
    <t>N</t>
  </si>
  <si>
    <t>∂</t>
  </si>
  <si>
    <t>β</t>
  </si>
  <si>
    <t>γ</t>
  </si>
  <si>
    <t>LP</t>
  </si>
  <si>
    <t>IP</t>
  </si>
  <si>
    <t>π</t>
  </si>
  <si>
    <t>μ</t>
  </si>
  <si>
    <t>τ</t>
  </si>
  <si>
    <t>α</t>
  </si>
  <si>
    <t>ω</t>
  </si>
  <si>
    <t>ϑ</t>
  </si>
  <si>
    <t>σ</t>
  </si>
  <si>
    <t>δ</t>
  </si>
  <si>
    <t>ρ</t>
  </si>
  <si>
    <t>Par.</t>
  </si>
  <si>
    <t>CC</t>
  </si>
  <si>
    <t>VE</t>
  </si>
  <si>
    <t>I3</t>
  </si>
  <si>
    <t>I4</t>
  </si>
  <si>
    <t>I5</t>
  </si>
  <si>
    <t>I6</t>
  </si>
  <si>
    <t>I7</t>
  </si>
  <si>
    <t>I8</t>
  </si>
  <si>
    <t>I9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</si>
  <si>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</si>
  <si>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</si>
  <si>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</si>
  <si>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</si>
  <si>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</si>
  <si>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</si>
  <si>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</si>
  <si>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</si>
  <si>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</si>
  <si>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</si>
  <si>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</si>
  <si>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</si>
  <si>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</si>
  <si>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</si>
  <si>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</si>
  <si>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</si>
  <si>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</si>
  <si>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</si>
  <si>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</si>
  <si>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</si>
  <si>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</si>
  <si>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</si>
  <si>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K3</t>
  </si>
  <si>
    <t>L3</t>
  </si>
  <si>
    <t>M3</t>
  </si>
  <si>
    <t>K4</t>
  </si>
  <si>
    <t>L4</t>
  </si>
  <si>
    <t>M4</t>
  </si>
  <si>
    <t>K5</t>
  </si>
  <si>
    <t>L5</t>
  </si>
  <si>
    <t>M5</t>
  </si>
  <si>
    <t>K6</t>
  </si>
  <si>
    <t>L6</t>
  </si>
  <si>
    <t>M6</t>
  </si>
  <si>
    <t>K7</t>
  </si>
  <si>
    <t>L7</t>
  </si>
  <si>
    <t>M7</t>
  </si>
  <si>
    <t>K8</t>
  </si>
  <si>
    <t>L8</t>
  </si>
  <si>
    <t>M8</t>
  </si>
  <si>
    <t>K9</t>
  </si>
  <si>
    <t>L9</t>
  </si>
  <si>
    <t>M9</t>
  </si>
  <si>
    <t>K10</t>
  </si>
  <si>
    <t>L10</t>
  </si>
  <si>
    <t>M10</t>
  </si>
  <si>
    <t>P3</t>
  </si>
  <si>
    <t>Q3</t>
  </si>
  <si>
    <t>R3</t>
  </si>
  <si>
    <t>P4</t>
  </si>
  <si>
    <t>Q4</t>
  </si>
  <si>
    <t>R4</t>
  </si>
  <si>
    <t>P5</t>
  </si>
  <si>
    <t>R5</t>
  </si>
  <si>
    <t>P6</t>
  </si>
  <si>
    <t>R6</t>
  </si>
  <si>
    <t>P7</t>
  </si>
  <si>
    <t>R7</t>
  </si>
  <si>
    <t>P8</t>
  </si>
  <si>
    <t>R8</t>
  </si>
  <si>
    <t>P9</t>
  </si>
  <si>
    <t>R9</t>
  </si>
  <si>
    <t>P10</t>
  </si>
  <si>
    <t>R10</t>
  </si>
  <si>
    <t>P11</t>
  </si>
  <si>
    <t>R11</t>
  </si>
  <si>
    <t>P12</t>
  </si>
  <si>
    <t>R12</t>
  </si>
  <si>
    <t>P13</t>
  </si>
  <si>
    <t>R13</t>
  </si>
  <si>
    <t>P14</t>
  </si>
  <si>
    <t>R14</t>
  </si>
  <si>
    <t>P15</t>
  </si>
  <si>
    <t>R15</t>
  </si>
  <si>
    <t>P16</t>
  </si>
  <si>
    <t>R16</t>
  </si>
  <si>
    <t>P17</t>
  </si>
  <si>
    <t>R17</t>
  </si>
  <si>
    <t>P18</t>
  </si>
  <si>
    <t>R18</t>
  </si>
  <si>
    <t>P19</t>
  </si>
  <si>
    <t>R19</t>
  </si>
  <si>
    <t>P20</t>
  </si>
  <si>
    <t>R20</t>
  </si>
  <si>
    <t>P21</t>
  </si>
  <si>
    <t>R21</t>
  </si>
  <si>
    <t>P22</t>
  </si>
  <si>
    <t>R22</t>
  </si>
  <si>
    <t>P23</t>
  </si>
  <si>
    <t>R23</t>
  </si>
  <si>
    <t>P24</t>
  </si>
  <si>
    <t>R24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</si>
  <si>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</si>
  <si>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</si>
  <si>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</si>
  <si>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</si>
  <si>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</si>
  <si>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</si>
  <si>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</si>
  <si>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</si>
  <si>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</si>
  <si>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</si>
  <si>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</si>
  <si>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</si>
  <si>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</si>
  <si>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</si>
  <si>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</si>
  <si>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</si>
  <si>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</si>
  <si>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</si>
  <si>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</si>
  <si>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</si>
  <si>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</si>
  <si>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</si>
  <si>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</si>
  <si>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</si>
  <si>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</si>
  <si>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</si>
  <si>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</si>
  <si>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</si>
  <si>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N5</t>
  </si>
  <si>
    <t>N6</t>
  </si>
  <si>
    <t>N7</t>
  </si>
  <si>
    <t>N8</t>
  </si>
  <si>
    <t>N3</t>
  </si>
  <si>
    <t>O3</t>
  </si>
  <si>
    <t>S3</t>
  </si>
  <si>
    <t>T3</t>
  </si>
  <si>
    <t>U3</t>
  </si>
  <si>
    <t>V3</t>
  </si>
  <si>
    <t>W3</t>
  </si>
  <si>
    <t>X3</t>
  </si>
  <si>
    <t>Y3</t>
  </si>
  <si>
    <t>N4</t>
  </si>
  <si>
    <t>O4</t>
  </si>
  <si>
    <t>S4</t>
  </si>
  <si>
    <t>T4</t>
  </si>
  <si>
    <t>U4</t>
  </si>
  <si>
    <t>V4</t>
  </si>
  <si>
    <t>W4</t>
  </si>
  <si>
    <t>X4</t>
  </si>
  <si>
    <t>Y4</t>
  </si>
  <si>
    <t>O5</t>
  </si>
  <si>
    <t>S5</t>
  </si>
  <si>
    <t>T5</t>
  </si>
  <si>
    <t>U5</t>
  </si>
  <si>
    <t>V5</t>
  </si>
  <si>
    <t>W5</t>
  </si>
  <si>
    <t>X5</t>
  </si>
  <si>
    <t>Y5</t>
  </si>
  <si>
    <t>O6</t>
  </si>
  <si>
    <t>S6</t>
  </si>
  <si>
    <t>T6</t>
  </si>
  <si>
    <t>U6</t>
  </si>
  <si>
    <t>V6</t>
  </si>
  <si>
    <t>W6</t>
  </si>
  <si>
    <t>X6</t>
  </si>
  <si>
    <t>Y6</t>
  </si>
  <si>
    <t>O7</t>
  </si>
  <si>
    <t>S7</t>
  </si>
  <si>
    <t>T7</t>
  </si>
  <si>
    <t>U7</t>
  </si>
  <si>
    <t>V7</t>
  </si>
  <si>
    <t>W7</t>
  </si>
  <si>
    <t>X7</t>
  </si>
  <si>
    <t>Y7</t>
  </si>
  <si>
    <t>O8</t>
  </si>
  <si>
    <t>S8</t>
  </si>
  <si>
    <t>T8</t>
  </si>
  <si>
    <t>U8</t>
  </si>
  <si>
    <t>V8</t>
  </si>
  <si>
    <t>W8</t>
  </si>
  <si>
    <t>X8</t>
  </si>
  <si>
    <t>Y8</t>
  </si>
  <si>
    <t>N9</t>
  </si>
  <si>
    <t>O9</t>
  </si>
  <si>
    <t>S9</t>
  </si>
  <si>
    <t>T9</t>
  </si>
  <si>
    <t>U9</t>
  </si>
  <si>
    <t>V9</t>
  </si>
  <si>
    <t>W9</t>
  </si>
  <si>
    <t>X9</t>
  </si>
  <si>
    <t>Y9</t>
  </si>
  <si>
    <t>N10</t>
  </si>
  <si>
    <t>O10</t>
  </si>
  <si>
    <t>S10</t>
  </si>
  <si>
    <t>T10</t>
  </si>
  <si>
    <t>U10</t>
  </si>
  <si>
    <t>V10</t>
  </si>
  <si>
    <t>W10</t>
  </si>
  <si>
    <t>X10</t>
  </si>
  <si>
    <t>Y10</t>
  </si>
  <si>
    <t>N11</t>
  </si>
  <si>
    <t>O11</t>
  </si>
  <si>
    <t>S11</t>
  </si>
  <si>
    <t>T11</t>
  </si>
  <si>
    <t>U11</t>
  </si>
  <si>
    <t>V11</t>
  </si>
  <si>
    <t>W11</t>
  </si>
  <si>
    <t>X11</t>
  </si>
  <si>
    <t>Y11</t>
  </si>
  <si>
    <t>N12</t>
  </si>
  <si>
    <t>O12</t>
  </si>
  <si>
    <t>S12</t>
  </si>
  <si>
    <t>T12</t>
  </si>
  <si>
    <t>U12</t>
  </si>
  <si>
    <t>V12</t>
  </si>
  <si>
    <t>W12</t>
  </si>
  <si>
    <t>X12</t>
  </si>
  <si>
    <t>Y12</t>
  </si>
  <si>
    <t>N13</t>
  </si>
  <si>
    <t>O13</t>
  </si>
  <si>
    <t>S13</t>
  </si>
  <si>
    <t>T13</t>
  </si>
  <si>
    <t>U13</t>
  </si>
  <si>
    <t>V13</t>
  </si>
  <si>
    <t>W13</t>
  </si>
  <si>
    <t>X13</t>
  </si>
  <si>
    <t>Y13</t>
  </si>
  <si>
    <t>N14</t>
  </si>
  <si>
    <t>O14</t>
  </si>
  <si>
    <t>S14</t>
  </si>
  <si>
    <t>T14</t>
  </si>
  <si>
    <t>U14</t>
  </si>
  <si>
    <t>V14</t>
  </si>
  <si>
    <t>W14</t>
  </si>
  <si>
    <t>X14</t>
  </si>
  <si>
    <t>Y14</t>
  </si>
  <si>
    <t>N15</t>
  </si>
  <si>
    <t>O15</t>
  </si>
  <si>
    <t>S15</t>
  </si>
  <si>
    <t>T15</t>
  </si>
  <si>
    <t>U15</t>
  </si>
  <si>
    <t>V15</t>
  </si>
  <si>
    <t>W15</t>
  </si>
  <si>
    <t>X15</t>
  </si>
  <si>
    <t>Y15</t>
  </si>
  <si>
    <t>N16</t>
  </si>
  <si>
    <t>O16</t>
  </si>
  <si>
    <t>S16</t>
  </si>
  <si>
    <t>T16</t>
  </si>
  <si>
    <t>U16</t>
  </si>
  <si>
    <t>V16</t>
  </si>
  <si>
    <t>W16</t>
  </si>
  <si>
    <t>X16</t>
  </si>
  <si>
    <t>Y16</t>
  </si>
  <si>
    <t>N17</t>
  </si>
  <si>
    <t>O17</t>
  </si>
  <si>
    <t>S17</t>
  </si>
  <si>
    <t>T17</t>
  </si>
  <si>
    <t>U17</t>
  </si>
  <si>
    <t>V17</t>
  </si>
  <si>
    <t>W17</t>
  </si>
  <si>
    <t>X17</t>
  </si>
  <si>
    <t>Y17</t>
  </si>
  <si>
    <t>N18</t>
  </si>
  <si>
    <t>O18</t>
  </si>
  <si>
    <t>S18</t>
  </si>
  <si>
    <t>T18</t>
  </si>
  <si>
    <t>U18</t>
  </si>
  <si>
    <t>V18</t>
  </si>
  <si>
    <t>W18</t>
  </si>
  <si>
    <t>X18</t>
  </si>
  <si>
    <t>Y18</t>
  </si>
  <si>
    <t>N19</t>
  </si>
  <si>
    <t>O19</t>
  </si>
  <si>
    <t>S19</t>
  </si>
  <si>
    <t>T19</t>
  </si>
  <si>
    <t>U19</t>
  </si>
  <si>
    <t>V19</t>
  </si>
  <si>
    <t>W19</t>
  </si>
  <si>
    <t>X19</t>
  </si>
  <si>
    <t>Y19</t>
  </si>
  <si>
    <t>N20</t>
  </si>
  <si>
    <t>O20</t>
  </si>
  <si>
    <t>S20</t>
  </si>
  <si>
    <t>T20</t>
  </si>
  <si>
    <t>U20</t>
  </si>
  <si>
    <t>V20</t>
  </si>
  <si>
    <t>W20</t>
  </si>
  <si>
    <t>X20</t>
  </si>
  <si>
    <t>Y20</t>
  </si>
  <si>
    <t>N21</t>
  </si>
  <si>
    <t>O21</t>
  </si>
  <si>
    <t>S21</t>
  </si>
  <si>
    <t>T21</t>
  </si>
  <si>
    <t>U21</t>
  </si>
  <si>
    <t>V21</t>
  </si>
  <si>
    <t>W21</t>
  </si>
  <si>
    <t>X21</t>
  </si>
  <si>
    <t>Y21</t>
  </si>
  <si>
    <t>N22</t>
  </si>
  <si>
    <t>O22</t>
  </si>
  <si>
    <t>S22</t>
  </si>
  <si>
    <t>T22</t>
  </si>
  <si>
    <t>U22</t>
  </si>
  <si>
    <t>V22</t>
  </si>
  <si>
    <t>W22</t>
  </si>
  <si>
    <t>X22</t>
  </si>
  <si>
    <t>Y22</t>
  </si>
  <si>
    <t>N23</t>
  </si>
  <si>
    <t>O23</t>
  </si>
  <si>
    <t>S23</t>
  </si>
  <si>
    <t>T23</t>
  </si>
  <si>
    <t>U23</t>
  </si>
  <si>
    <t>V23</t>
  </si>
  <si>
    <t>W23</t>
  </si>
  <si>
    <t>X23</t>
  </si>
  <si>
    <t>Y23</t>
  </si>
  <si>
    <t>N24</t>
  </si>
  <si>
    <t>O24</t>
  </si>
  <si>
    <t>S24</t>
  </si>
  <si>
    <t>T24</t>
  </si>
  <si>
    <t>U24</t>
  </si>
  <si>
    <t>V24</t>
  </si>
  <si>
    <t>W24</t>
  </si>
  <si>
    <t>X24</t>
  </si>
  <si>
    <t>Y24</t>
  </si>
  <si>
    <t>C3</t>
  </si>
  <si>
    <t>C4</t>
  </si>
  <si>
    <t>C5</t>
  </si>
  <si>
    <t>C6</t>
  </si>
  <si>
    <t>C7</t>
  </si>
  <si>
    <t>C8</t>
  </si>
  <si>
    <t>C9</t>
  </si>
  <si>
    <t>C10</t>
  </si>
  <si>
    <t>C14</t>
  </si>
  <si>
    <t>C11</t>
  </si>
  <si>
    <t>C15</t>
  </si>
  <si>
    <t>C18</t>
  </si>
  <si>
    <t>C19</t>
  </si>
  <si>
    <t>C20</t>
  </si>
  <si>
    <t>C21</t>
  </si>
  <si>
    <t>pA</t>
  </si>
  <si>
    <t>pQ1</t>
  </si>
  <si>
    <t>pQ2</t>
  </si>
  <si>
    <t>pQ3</t>
  </si>
  <si>
    <t>pQ4</t>
  </si>
  <si>
    <t>pQ5</t>
  </si>
  <si>
    <t>pQ6</t>
  </si>
  <si>
    <t>pQ7</t>
  </si>
  <si>
    <t>pQ8</t>
  </si>
  <si>
    <t>pQ9</t>
  </si>
  <si>
    <t>pQ10</t>
  </si>
  <si>
    <t>pQ11</t>
  </si>
  <si>
    <t>pQ12</t>
  </si>
  <si>
    <t>pQ13</t>
  </si>
  <si>
    <t>pQ14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</si>
  <si>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</si>
  <si>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</si>
  <si>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</si>
  <si>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</si>
  <si>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</si>
  <si>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</si>
  <si>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</si>
  <si>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</si>
  <si>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</si>
  <si>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</si>
  <si>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</si>
  <si>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</si>
  <si>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</si>
  <si>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</si>
  <si>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</si>
  <si>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</si>
  <si>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</si>
  <si>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</si>
  <si>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</si>
  <si>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</si>
  <si>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Z4</t>
  </si>
  <si>
    <t>Z5</t>
  </si>
  <si>
    <t>Z6</t>
  </si>
  <si>
    <t>Z7</t>
  </si>
  <si>
    <t>Z8</t>
  </si>
  <si>
    <t>Z9</t>
  </si>
  <si>
    <t>I10</t>
  </si>
  <si>
    <t>Z10</t>
  </si>
  <si>
    <t>I11</t>
  </si>
  <si>
    <t>L11</t>
  </si>
  <si>
    <t>Z11</t>
  </si>
  <si>
    <t>I12</t>
  </si>
  <si>
    <t>L12</t>
  </si>
  <si>
    <t>Z12</t>
  </si>
  <si>
    <t>I13</t>
  </si>
  <si>
    <t>L13</t>
  </si>
  <si>
    <t>Z13</t>
  </si>
  <si>
    <t>I14</t>
  </si>
  <si>
    <t>L14</t>
  </si>
  <si>
    <t>Z14</t>
  </si>
  <si>
    <t>I15</t>
  </si>
  <si>
    <t>L15</t>
  </si>
  <si>
    <t>Z15</t>
  </si>
  <si>
    <t>I16</t>
  </si>
  <si>
    <t>L16</t>
  </si>
  <si>
    <t>Z16</t>
  </si>
  <si>
    <t>I17</t>
  </si>
  <si>
    <t>L17</t>
  </si>
  <si>
    <t>Z17</t>
  </si>
  <si>
    <t>I18</t>
  </si>
  <si>
    <t>L18</t>
  </si>
  <si>
    <t>Z18</t>
  </si>
  <si>
    <t>I19</t>
  </si>
  <si>
    <t>L19</t>
  </si>
  <si>
    <t>Z19</t>
  </si>
  <si>
    <t>I20</t>
  </si>
  <si>
    <t>L20</t>
  </si>
  <si>
    <t>Z20</t>
  </si>
  <si>
    <t>I21</t>
  </si>
  <si>
    <t>L21</t>
  </si>
  <si>
    <t>Z21</t>
  </si>
  <si>
    <t>I22</t>
  </si>
  <si>
    <t>L22</t>
  </si>
  <si>
    <t>Z22</t>
  </si>
  <si>
    <t>I23</t>
  </si>
  <si>
    <t>L23</t>
  </si>
  <si>
    <t>Z23</t>
  </si>
  <si>
    <t>I24</t>
  </si>
  <si>
    <t>L24</t>
  </si>
  <si>
    <t>Z24</t>
  </si>
  <si>
    <t>p3</t>
  </si>
  <si>
    <t>t</t>
  </si>
  <si>
    <t>p</t>
  </si>
  <si>
    <t>intvn.</t>
  </si>
  <si>
    <r>
      <t>S</t>
    </r>
    <r>
      <rPr>
        <vertAlign val="subscript"/>
        <sz val="14"/>
        <color theme="1"/>
        <rFont val="Amasis MT Pro Light"/>
        <family val="1"/>
      </rPr>
      <t>(t-1,p-1)</t>
    </r>
  </si>
  <si>
    <r>
      <t>ασS</t>
    </r>
    <r>
      <rPr>
        <vertAlign val="subscript"/>
        <sz val="14"/>
        <color theme="1"/>
        <rFont val="Amasis MT Pro Light"/>
        <family val="1"/>
      </rPr>
      <t>(t,p)</t>
    </r>
  </si>
  <si>
    <r>
      <t>S</t>
    </r>
    <r>
      <rPr>
        <vertAlign val="subscript"/>
        <sz val="14"/>
        <color theme="1"/>
        <rFont val="Amasis MT Pro Light"/>
        <family val="1"/>
      </rPr>
      <t>(t,p)</t>
    </r>
  </si>
  <si>
    <r>
      <t>E</t>
    </r>
    <r>
      <rPr>
        <vertAlign val="subscript"/>
        <sz val="14"/>
        <color theme="1"/>
        <rFont val="Amasis MT Pro Light"/>
        <family val="1"/>
      </rPr>
      <t>(t-1,p-1)</t>
    </r>
  </si>
  <si>
    <r>
      <t>ασS</t>
    </r>
    <r>
      <rPr>
        <vertAlign val="subscript"/>
        <sz val="14"/>
        <color theme="1"/>
        <rFont val="Amasis MT Pro Light"/>
        <family val="1"/>
      </rPr>
      <t>(t-1,p-1)</t>
    </r>
  </si>
  <si>
    <r>
      <t>(1-μ)E</t>
    </r>
    <r>
      <rPr>
        <vertAlign val="subscript"/>
        <sz val="14"/>
        <color theme="1"/>
        <rFont val="Amasis MT Pro Light"/>
        <family val="1"/>
      </rPr>
      <t>(t,p)</t>
    </r>
  </si>
  <si>
    <r>
      <t>E</t>
    </r>
    <r>
      <rPr>
        <vertAlign val="subscript"/>
        <sz val="14"/>
        <color theme="1"/>
        <rFont val="Amasis MT Pro Light"/>
        <family val="1"/>
      </rPr>
      <t>(t,p)</t>
    </r>
  </si>
  <si>
    <r>
      <rPr>
        <sz val="14"/>
        <color theme="1"/>
        <rFont val="Amasis MT Pro Light"/>
        <family val="1"/>
      </rPr>
      <t>I</t>
    </r>
    <r>
      <rPr>
        <vertAlign val="subscript"/>
        <sz val="14"/>
        <color theme="1"/>
        <rFont val="Amasis MT Pro Light"/>
        <family val="1"/>
      </rPr>
      <t>(t-1,p-1)</t>
    </r>
  </si>
  <si>
    <r>
      <t>βE</t>
    </r>
    <r>
      <rPr>
        <vertAlign val="subscript"/>
        <sz val="14"/>
        <color theme="1"/>
        <rFont val="Amasis MT Pro Light"/>
        <family val="1"/>
      </rPr>
      <t>(t-1,p-1)</t>
    </r>
  </si>
  <si>
    <r>
      <t>(1-τ)I</t>
    </r>
    <r>
      <rPr>
        <vertAlign val="subscript"/>
        <sz val="14"/>
        <color theme="1"/>
        <rFont val="Amasis MT Pro Light"/>
        <family val="1"/>
      </rPr>
      <t>(t,p)</t>
    </r>
  </si>
  <si>
    <r>
      <t>π(1-ρ)I</t>
    </r>
    <r>
      <rPr>
        <vertAlign val="subscript"/>
        <sz val="14"/>
        <color theme="1"/>
        <rFont val="Amasis MT Pro Light"/>
        <family val="1"/>
      </rPr>
      <t>(t,p)</t>
    </r>
  </si>
  <si>
    <r>
      <t>I</t>
    </r>
    <r>
      <rPr>
        <vertAlign val="subscript"/>
        <sz val="14"/>
        <color theme="1"/>
        <rFont val="Amasis MT Pro Light"/>
        <family val="1"/>
      </rPr>
      <t>(t,p)</t>
    </r>
  </si>
  <si>
    <r>
      <t>R</t>
    </r>
    <r>
      <rPr>
        <vertAlign val="subscript"/>
        <sz val="14"/>
        <color theme="1"/>
        <rFont val="Amasis MT Pro Light"/>
        <family val="1"/>
      </rPr>
      <t>(t-1,p-1)</t>
    </r>
  </si>
  <si>
    <r>
      <t>γI</t>
    </r>
    <r>
      <rPr>
        <vertAlign val="subscript"/>
        <sz val="14"/>
        <color theme="1"/>
        <rFont val="Amasis MT Pro Light"/>
        <family val="1"/>
      </rPr>
      <t>(t-1,p-1)</t>
    </r>
  </si>
  <si>
    <r>
      <t>R</t>
    </r>
    <r>
      <rPr>
        <vertAlign val="subscript"/>
        <sz val="14"/>
        <color theme="1"/>
        <rFont val="Amasis MT Pro Light"/>
        <family val="1"/>
      </rPr>
      <t>(t,p)</t>
    </r>
  </si>
  <si>
    <r>
      <t>(1-μ)E</t>
    </r>
    <r>
      <rPr>
        <vertAlign val="subscript"/>
        <sz val="14"/>
        <color theme="1"/>
        <rFont val="Amasis MT Pro Light"/>
        <family val="1"/>
      </rPr>
      <t>(t-1,p-1)</t>
    </r>
  </si>
  <si>
    <r>
      <t>(1-τ)I</t>
    </r>
    <r>
      <rPr>
        <vertAlign val="subscript"/>
        <sz val="14"/>
        <color theme="1"/>
        <rFont val="Amasis MT Pro Light"/>
        <family val="1"/>
      </rPr>
      <t>(t-1,p-1)</t>
    </r>
  </si>
  <si>
    <r>
      <t>π(1-ρ)I</t>
    </r>
    <r>
      <rPr>
        <vertAlign val="subscript"/>
        <sz val="14"/>
        <color theme="1"/>
        <rFont val="Amasis MT Pro Light"/>
        <family val="1"/>
      </rPr>
      <t>(t-1,p-1)</t>
    </r>
  </si>
  <si>
    <t>Parameters</t>
  </si>
  <si>
    <t>Rate of being infectious(β)</t>
  </si>
  <si>
    <t>Infectious Period</t>
  </si>
  <si>
    <t>Rate of being recovered (γ)</t>
  </si>
  <si>
    <t xml:space="preserve">Testing Sensitivity </t>
  </si>
  <si>
    <t>Cluster Characters</t>
  </si>
  <si>
    <t>Cluster Infection Rate (α)</t>
  </si>
  <si>
    <t>Non-cluster</t>
  </si>
  <si>
    <t>Cluster 1</t>
  </si>
  <si>
    <t>Cluster 2</t>
  </si>
  <si>
    <t>Cluster 3</t>
  </si>
  <si>
    <t>Vaccine Efficacy</t>
  </si>
  <si>
    <t>Non-C</t>
  </si>
  <si>
    <t>C 1</t>
  </si>
  <si>
    <t>C 2</t>
  </si>
  <si>
    <t>Vaccination is NOT required</t>
  </si>
  <si>
    <t>Quarantine</t>
  </si>
  <si>
    <t>48 Hours</t>
  </si>
  <si>
    <t>Yes</t>
  </si>
  <si>
    <t>72 Hours</t>
  </si>
  <si>
    <t>24 Hours</t>
  </si>
  <si>
    <t>0 Hours</t>
  </si>
  <si>
    <t>Column1</t>
  </si>
  <si>
    <t>Column2</t>
  </si>
  <si>
    <t>1 day</t>
  </si>
  <si>
    <t>2 day</t>
  </si>
  <si>
    <t>3 day</t>
  </si>
  <si>
    <t>4 day</t>
  </si>
  <si>
    <t>5 day</t>
  </si>
  <si>
    <t>6 day</t>
  </si>
  <si>
    <t>7 day</t>
  </si>
  <si>
    <t>8 day</t>
  </si>
  <si>
    <t>9 day</t>
  </si>
  <si>
    <t>10 day</t>
  </si>
  <si>
    <t>11 day</t>
  </si>
  <si>
    <t>12 day</t>
  </si>
  <si>
    <t>13 day</t>
  </si>
  <si>
    <t>14 day</t>
  </si>
  <si>
    <t>Testing time</t>
  </si>
  <si>
    <t>Vaccination is  required</t>
  </si>
  <si>
    <t>No</t>
  </si>
  <si>
    <t>0 = Not implementing</t>
  </si>
  <si>
    <t>1 = Implementing</t>
  </si>
  <si>
    <t>PARAMETERS &amp; SCENARIOS</t>
  </si>
  <si>
    <t>No testing</t>
  </si>
  <si>
    <t>No quarantine</t>
  </si>
  <si>
    <t>Vaccination is NOT  required</t>
  </si>
  <si>
    <t>C 3</t>
  </si>
  <si>
    <t>2 days</t>
  </si>
  <si>
    <t>3 days</t>
  </si>
  <si>
    <t>4 days</t>
  </si>
  <si>
    <t>5 days</t>
  </si>
  <si>
    <t>6 days</t>
  </si>
  <si>
    <t>7 days</t>
  </si>
  <si>
    <t>8 days</t>
  </si>
  <si>
    <t>9 days</t>
  </si>
  <si>
    <t>10 days</t>
  </si>
  <si>
    <t>11 days</t>
  </si>
  <si>
    <t>12 days</t>
  </si>
  <si>
    <t>13 days</t>
  </si>
  <si>
    <t>14 days</t>
  </si>
  <si>
    <r>
      <t xml:space="preserve">Vaccine Coverage (ω) </t>
    </r>
    <r>
      <rPr>
        <sz val="11"/>
        <color rgb="FFFF0000"/>
        <rFont val="Amasis MT Pro"/>
        <family val="1"/>
      </rPr>
      <t>If req. vac.; value = 1</t>
    </r>
  </si>
  <si>
    <t>p1/p2</t>
  </si>
  <si>
    <t>p1/p2/p3</t>
  </si>
  <si>
    <t>Before entry</t>
  </si>
  <si>
    <t>After entry</t>
  </si>
  <si>
    <t>Initial Travelers (N)</t>
  </si>
  <si>
    <t>Incubation period</t>
  </si>
  <si>
    <t>Severe symptom prob. (π)</t>
  </si>
  <si>
    <t>False Neg. during incubation (μ)</t>
  </si>
  <si>
    <t>False Neg. during infectious (τ)</t>
  </si>
  <si>
    <t>Transmission Reduction  (ϑ)</t>
  </si>
  <si>
    <t>Severity Reduction  (δ)</t>
  </si>
  <si>
    <t>Vaccination is required</t>
  </si>
  <si>
    <t>Z3</t>
  </si>
  <si>
    <r>
      <t>MC</t>
    </r>
    <r>
      <rPr>
        <vertAlign val="subscript"/>
        <sz val="14"/>
        <color theme="1"/>
        <rFont val="Amasis MT Pro Light"/>
        <family val="1"/>
      </rPr>
      <t>(t,p)</t>
    </r>
  </si>
  <si>
    <t>Sheets Description</t>
  </si>
  <si>
    <t>NVNC</t>
  </si>
  <si>
    <t>NVC1</t>
  </si>
  <si>
    <t>NVC2</t>
  </si>
  <si>
    <t>NVC3</t>
  </si>
  <si>
    <t>VNC</t>
  </si>
  <si>
    <t>VC1</t>
  </si>
  <si>
    <t>VC2</t>
  </si>
  <si>
    <t>VC3</t>
  </si>
  <si>
    <t>Not requiring vaccination certificate and no cluster of departure country (universal)</t>
  </si>
  <si>
    <t>Not requiring vaccination certificate with departure country cluster 1</t>
  </si>
  <si>
    <t>Not requiring vaccination certificate with departure country cluster 2</t>
  </si>
  <si>
    <t>Not requiring vaccination certificate with departure country cluster 3</t>
  </si>
  <si>
    <t>Requiring vaccination certificate and no cluster of departure country (universal)</t>
  </si>
  <si>
    <t>Requiring vaccination certificate with departure country cluster 1</t>
  </si>
  <si>
    <t>Requiring vaccination certificate with departure country cluster 2</t>
  </si>
  <si>
    <t>Requiring vaccination certificate with departure country cluster 3</t>
  </si>
  <si>
    <r>
      <t>MC</t>
    </r>
    <r>
      <rPr>
        <vertAlign val="subscript"/>
        <sz val="14"/>
        <rFont val="Amasis MT Pro Light"/>
        <family val="1"/>
      </rPr>
      <t>(t,p)</t>
    </r>
  </si>
  <si>
    <t>entry</t>
  </si>
  <si>
    <t>Entry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</si>
</sst>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0.0000"/>
    <numFmt numFmtId="166" formatCode="0.000000"/>
    <numFmt numFmtId="167" formatCode="#,##0.00000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Amasis MT Pro Light"/>
      <family val="1"/>
    </font>
    <font>
      <sz val="12"/>
      <color theme="1"/>
      <name val="Amasis MT Pro Light"/>
      <family val="1"/>
    </font>
    <font>
      <b/>
      <sz val="11"/>
      <color theme="1"/>
      <name val="Amasis MT Pro Light"/>
      <family val="1"/>
    </font>
    <font>
      <b/>
      <sz val="14"/>
      <color theme="1"/>
      <name val="Amasis MT Pro Light"/>
      <family val="1"/>
    </font>
    <font>
      <sz val="11"/>
      <color theme="1"/>
      <name val="Amasis MT Pro Light"/>
      <family val="1"/>
    </font>
    <font>
      <sz val="11"/>
      <name val="Amasis MT Pro Light"/>
      <family val="1"/>
    </font>
    <font>
      <i/>
      <sz val="11"/>
      <name val="Amasis MT Pro Light"/>
      <family val="1"/>
    </font>
    <font>
      <b/>
      <sz val="12"/>
      <color theme="1"/>
      <name val="Amasis MT Pro Light"/>
      <family val="1"/>
    </font>
    <font>
      <sz val="14"/>
      <color theme="1"/>
      <name val="Amasis MT Pro Light"/>
      <family val="1"/>
    </font>
    <font>
      <vertAlign val="subscript"/>
      <sz val="14"/>
      <color theme="1"/>
      <name val="Amasis MT Pro Light"/>
      <family val="1"/>
    </font>
    <font>
      <sz val="14"/>
      <name val="Amasis MT Pro Light"/>
      <family val="1"/>
    </font>
    <font>
      <vertAlign val="subscript"/>
      <sz val="14"/>
      <name val="Amasis MT Pro Light"/>
      <family val="1"/>
    </font>
    <font>
      <b/>
      <sz val="11"/>
      <color theme="1"/>
      <name val="Amasis MT Pro"/>
      <family val="1"/>
    </font>
    <font>
      <sz val="11"/>
      <color theme="1"/>
      <name val="Amasis MT Pro"/>
      <family val="1"/>
    </font>
    <font>
      <i/>
      <sz val="11"/>
      <color theme="1"/>
      <name val="Amasis MT Pro"/>
      <family val="1"/>
    </font>
    <font>
      <sz val="10"/>
      <color theme="1"/>
      <name val="Amasis MT Pro"/>
      <family val="1"/>
    </font>
    <font>
      <sz val="11"/>
      <color rgb="FFFF0000"/>
      <name val="Amasis MT Pro"/>
      <family val="1"/>
    </font>
    <font>
      <b/>
      <sz val="16"/>
      <color theme="0"/>
      <name val="Calibri"/>
      <family val="2"/>
      <scheme val="minor"/>
    </font>
    <font>
      <b/>
      <sz val="10"/>
      <color theme="1"/>
      <name val="Amasis MT Pro"/>
      <family val="1"/>
    </font>
    <font>
      <b/>
      <sz val="9"/>
      <color theme="1"/>
      <name val="Amasis MT Pro"/>
      <family val="1"/>
    </font>
    <font>
      <sz val="9"/>
      <color theme="1"/>
      <name val="Amasis MT Pro"/>
      <family val="1"/>
    </font>
    <font>
      <sz val="9"/>
      <color theme="1"/>
      <name val="Calibri"/>
      <family val="2"/>
      <scheme val="minor"/>
    </font>
    <font>
      <b/>
      <sz val="11"/>
      <color theme="0"/>
      <name val="Amasis MT Pro Light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FDD8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E5ECE"/>
        <bgColor indexed="64"/>
      </patternFill>
    </fill>
    <fill>
      <patternFill patternType="solid">
        <fgColor rgb="FFFFB13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3" borderId="0" xfId="0" applyFont="1" applyFill="1"/>
    <xf numFmtId="0" fontId="6" fillId="3" borderId="0" xfId="0" applyFont="1" applyFill="1" applyAlignment="1">
      <alignment horizontal="center"/>
    </xf>
    <xf numFmtId="0" fontId="4" fillId="0" borderId="5" xfId="0" applyFont="1" applyBorder="1" applyAlignment="1">
      <alignment horizontal="center"/>
    </xf>
    <xf numFmtId="0" fontId="7" fillId="3" borderId="0" xfId="0" applyFont="1" applyFill="1"/>
    <xf numFmtId="0" fontId="8" fillId="3" borderId="5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4" fontId="3" fillId="3" borderId="0" xfId="0" applyNumberFormat="1" applyFont="1" applyFill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4" fontId="7" fillId="3" borderId="5" xfId="0" applyNumberFormat="1" applyFont="1" applyFill="1" applyBorder="1" applyAlignment="1">
      <alignment horizontal="center"/>
    </xf>
    <xf numFmtId="4" fontId="7" fillId="3" borderId="4" xfId="0" applyNumberFormat="1" applyFont="1" applyFill="1" applyBorder="1" applyAlignment="1">
      <alignment horizontal="center"/>
    </xf>
    <xf numFmtId="4" fontId="7" fillId="2" borderId="6" xfId="0" applyNumberFormat="1" applyFont="1" applyFill="1" applyBorder="1" applyAlignment="1">
      <alignment horizontal="center"/>
    </xf>
    <xf numFmtId="4" fontId="7" fillId="4" borderId="4" xfId="0" applyNumberFormat="1" applyFont="1" applyFill="1" applyBorder="1" applyAlignment="1">
      <alignment horizontal="center"/>
    </xf>
    <xf numFmtId="4" fontId="7" fillId="3" borderId="7" xfId="0" applyNumberFormat="1" applyFont="1" applyFill="1" applyBorder="1" applyAlignment="1">
      <alignment horizontal="center"/>
    </xf>
    <xf numFmtId="4" fontId="7" fillId="4" borderId="7" xfId="0" applyNumberFormat="1" applyFont="1" applyFill="1" applyBorder="1" applyAlignment="1">
      <alignment horizontal="center"/>
    </xf>
    <xf numFmtId="4" fontId="7" fillId="3" borderId="11" xfId="0" applyNumberFormat="1" applyFont="1" applyFill="1" applyBorder="1" applyAlignment="1">
      <alignment horizontal="center"/>
    </xf>
    <xf numFmtId="4" fontId="7" fillId="4" borderId="12" xfId="0" applyNumberFormat="1" applyFont="1" applyFill="1" applyBorder="1" applyAlignment="1">
      <alignment horizontal="center"/>
    </xf>
    <xf numFmtId="4" fontId="7" fillId="2" borderId="13" xfId="0" applyNumberFormat="1" applyFont="1" applyFill="1" applyBorder="1" applyAlignment="1">
      <alignment horizontal="center"/>
    </xf>
    <xf numFmtId="4" fontId="7" fillId="3" borderId="12" xfId="0" applyNumberFormat="1" applyFont="1" applyFill="1" applyBorder="1" applyAlignment="1">
      <alignment horizontal="center"/>
    </xf>
    <xf numFmtId="3" fontId="7" fillId="0" borderId="6" xfId="0" applyNumberFormat="1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4" fontId="7" fillId="5" borderId="19" xfId="0" applyNumberFormat="1" applyFont="1" applyFill="1" applyBorder="1" applyAlignment="1">
      <alignment horizontal="center"/>
    </xf>
    <xf numFmtId="4" fontId="7" fillId="5" borderId="20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11" fillId="6" borderId="2" xfId="0" quotePrefix="1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4" fontId="7" fillId="5" borderId="6" xfId="0" applyNumberFormat="1" applyFont="1" applyFill="1" applyBorder="1" applyAlignment="1">
      <alignment horizontal="center"/>
    </xf>
    <xf numFmtId="4" fontId="7" fillId="7" borderId="6" xfId="0" applyNumberFormat="1" applyFont="1" applyFill="1" applyBorder="1" applyAlignment="1">
      <alignment horizontal="center"/>
    </xf>
    <xf numFmtId="4" fontId="7" fillId="6" borderId="5" xfId="0" applyNumberFormat="1" applyFont="1" applyFill="1" applyBorder="1" applyAlignment="1">
      <alignment horizontal="center" vertical="center"/>
    </xf>
    <xf numFmtId="4" fontId="7" fillId="6" borderId="4" xfId="0" applyNumberFormat="1" applyFont="1" applyFill="1" applyBorder="1" applyAlignment="1">
      <alignment horizontal="center" vertical="center"/>
    </xf>
    <xf numFmtId="4" fontId="7" fillId="6" borderId="6" xfId="0" applyNumberFormat="1" applyFont="1" applyFill="1" applyBorder="1" applyAlignment="1">
      <alignment horizontal="center" vertical="center"/>
    </xf>
    <xf numFmtId="4" fontId="7" fillId="3" borderId="5" xfId="0" applyNumberFormat="1" applyFont="1" applyFill="1" applyBorder="1" applyAlignment="1">
      <alignment horizontal="center" vertical="center"/>
    </xf>
    <xf numFmtId="4" fontId="7" fillId="3" borderId="4" xfId="0" applyNumberFormat="1" applyFont="1" applyFill="1" applyBorder="1" applyAlignment="1">
      <alignment horizontal="center" vertical="center"/>
    </xf>
    <xf numFmtId="4" fontId="7" fillId="0" borderId="4" xfId="0" applyNumberFormat="1" applyFont="1" applyBorder="1" applyAlignment="1">
      <alignment horizontal="center" vertical="center"/>
    </xf>
    <xf numFmtId="4" fontId="7" fillId="4" borderId="4" xfId="0" applyNumberFormat="1" applyFont="1" applyFill="1" applyBorder="1" applyAlignment="1">
      <alignment horizontal="center" vertical="center"/>
    </xf>
    <xf numFmtId="4" fontId="7" fillId="2" borderId="6" xfId="0" applyNumberFormat="1" applyFont="1" applyFill="1" applyBorder="1" applyAlignment="1">
      <alignment horizontal="center" vertical="center"/>
    </xf>
    <xf numFmtId="4" fontId="7" fillId="5" borderId="5" xfId="0" applyNumberFormat="1" applyFont="1" applyFill="1" applyBorder="1" applyAlignment="1">
      <alignment horizontal="center" vertical="center"/>
    </xf>
    <xf numFmtId="4" fontId="7" fillId="5" borderId="4" xfId="0" applyNumberFormat="1" applyFont="1" applyFill="1" applyBorder="1" applyAlignment="1">
      <alignment horizontal="center" vertical="center"/>
    </xf>
    <xf numFmtId="4" fontId="8" fillId="5" borderId="4" xfId="0" applyNumberFormat="1" applyFont="1" applyFill="1" applyBorder="1" applyAlignment="1">
      <alignment horizontal="center" vertical="center"/>
    </xf>
    <xf numFmtId="4" fontId="7" fillId="5" borderId="6" xfId="0" applyNumberFormat="1" applyFont="1" applyFill="1" applyBorder="1" applyAlignment="1">
      <alignment horizontal="center" vertical="center"/>
    </xf>
    <xf numFmtId="4" fontId="7" fillId="7" borderId="5" xfId="0" applyNumberFormat="1" applyFont="1" applyFill="1" applyBorder="1" applyAlignment="1">
      <alignment horizontal="center" vertical="center"/>
    </xf>
    <xf numFmtId="4" fontId="7" fillId="7" borderId="4" xfId="0" applyNumberFormat="1" applyFont="1" applyFill="1" applyBorder="1" applyAlignment="1">
      <alignment horizontal="center" vertical="center"/>
    </xf>
    <xf numFmtId="4" fontId="7" fillId="7" borderId="6" xfId="0" applyNumberFormat="1" applyFont="1" applyFill="1" applyBorder="1" applyAlignment="1">
      <alignment horizontal="center" vertical="center"/>
    </xf>
    <xf numFmtId="4" fontId="7" fillId="8" borderId="5" xfId="0" applyNumberFormat="1" applyFont="1" applyFill="1" applyBorder="1" applyAlignment="1">
      <alignment horizontal="center" vertical="center"/>
    </xf>
    <xf numFmtId="4" fontId="7" fillId="8" borderId="4" xfId="0" applyNumberFormat="1" applyFont="1" applyFill="1" applyBorder="1" applyAlignment="1">
      <alignment horizontal="center" vertical="center"/>
    </xf>
    <xf numFmtId="4" fontId="7" fillId="3" borderId="31" xfId="0" applyNumberFormat="1" applyFont="1" applyFill="1" applyBorder="1" applyAlignment="1">
      <alignment horizontal="center"/>
    </xf>
    <xf numFmtId="4" fontId="7" fillId="2" borderId="19" xfId="0" applyNumberFormat="1" applyFont="1" applyFill="1" applyBorder="1" applyAlignment="1">
      <alignment horizontal="center"/>
    </xf>
    <xf numFmtId="4" fontId="7" fillId="3" borderId="7" xfId="0" applyNumberFormat="1" applyFont="1" applyFill="1" applyBorder="1" applyAlignment="1">
      <alignment horizontal="center" vertical="center"/>
    </xf>
    <xf numFmtId="4" fontId="7" fillId="4" borderId="9" xfId="0" applyNumberFormat="1" applyFont="1" applyFill="1" applyBorder="1" applyAlignment="1">
      <alignment horizontal="center"/>
    </xf>
    <xf numFmtId="4" fontId="7" fillId="6" borderId="30" xfId="0" applyNumberFormat="1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4" fontId="7" fillId="2" borderId="33" xfId="0" applyNumberFormat="1" applyFont="1" applyFill="1" applyBorder="1" applyAlignment="1">
      <alignment horizontal="center"/>
    </xf>
    <xf numFmtId="4" fontId="7" fillId="2" borderId="33" xfId="0" applyNumberFormat="1" applyFont="1" applyFill="1" applyBorder="1" applyAlignment="1">
      <alignment horizontal="center" vertical="center"/>
    </xf>
    <xf numFmtId="4" fontId="7" fillId="8" borderId="33" xfId="0" applyNumberFormat="1" applyFont="1" applyFill="1" applyBorder="1" applyAlignment="1">
      <alignment horizontal="center" vertical="center"/>
    </xf>
    <xf numFmtId="4" fontId="7" fillId="2" borderId="34" xfId="0" applyNumberFormat="1" applyFont="1" applyFill="1" applyBorder="1" applyAlignment="1">
      <alignment horizontal="center"/>
    </xf>
    <xf numFmtId="4" fontId="7" fillId="0" borderId="36" xfId="0" applyNumberFormat="1" applyFont="1" applyBorder="1" applyAlignment="1">
      <alignment horizontal="center"/>
    </xf>
    <xf numFmtId="4" fontId="7" fillId="0" borderId="36" xfId="0" applyNumberFormat="1" applyFont="1" applyBorder="1" applyAlignment="1">
      <alignment horizontal="center" vertical="center"/>
    </xf>
    <xf numFmtId="4" fontId="7" fillId="0" borderId="37" xfId="0" applyNumberFormat="1" applyFont="1" applyBorder="1" applyAlignment="1">
      <alignment horizontal="center"/>
    </xf>
    <xf numFmtId="4" fontId="7" fillId="9" borderId="36" xfId="0" applyNumberFormat="1" applyFont="1" applyFill="1" applyBorder="1" applyAlignment="1">
      <alignment horizontal="center"/>
    </xf>
    <xf numFmtId="0" fontId="13" fillId="9" borderId="35" xfId="0" applyFont="1" applyFill="1" applyBorder="1" applyAlignment="1">
      <alignment horizontal="center"/>
    </xf>
    <xf numFmtId="0" fontId="15" fillId="2" borderId="21" xfId="0" applyFont="1" applyFill="1" applyBorder="1"/>
    <xf numFmtId="0" fontId="15" fillId="2" borderId="22" xfId="0" applyFont="1" applyFill="1" applyBorder="1"/>
    <xf numFmtId="0" fontId="15" fillId="2" borderId="23" xfId="0" applyFont="1" applyFill="1" applyBorder="1" applyAlignment="1">
      <alignment horizontal="center"/>
    </xf>
    <xf numFmtId="0" fontId="16" fillId="3" borderId="24" xfId="0" applyFont="1" applyFill="1" applyBorder="1"/>
    <xf numFmtId="0" fontId="16" fillId="3" borderId="0" xfId="0" applyFont="1" applyFill="1"/>
    <xf numFmtId="3" fontId="16" fillId="3" borderId="25" xfId="0" applyNumberFormat="1" applyFont="1" applyFill="1" applyBorder="1" applyAlignment="1">
      <alignment horizontal="center"/>
    </xf>
    <xf numFmtId="165" fontId="16" fillId="3" borderId="25" xfId="0" applyNumberFormat="1" applyFont="1" applyFill="1" applyBorder="1" applyAlignment="1">
      <alignment horizontal="center"/>
    </xf>
    <xf numFmtId="0" fontId="15" fillId="2" borderId="24" xfId="0" applyFont="1" applyFill="1" applyBorder="1"/>
    <xf numFmtId="0" fontId="16" fillId="2" borderId="0" xfId="0" applyFont="1" applyFill="1"/>
    <xf numFmtId="165" fontId="16" fillId="2" borderId="25" xfId="0" applyNumberFormat="1" applyFont="1" applyFill="1" applyBorder="1" applyAlignment="1">
      <alignment horizontal="center"/>
    </xf>
    <xf numFmtId="0" fontId="16" fillId="3" borderId="25" xfId="0" applyFont="1" applyFill="1" applyBorder="1" applyAlignment="1">
      <alignment horizontal="center"/>
    </xf>
    <xf numFmtId="0" fontId="15" fillId="2" borderId="0" xfId="0" applyFont="1" applyFill="1"/>
    <xf numFmtId="0" fontId="16" fillId="2" borderId="25" xfId="0" applyFont="1" applyFill="1" applyBorder="1" applyAlignment="1">
      <alignment horizontal="center"/>
    </xf>
    <xf numFmtId="0" fontId="17" fillId="3" borderId="0" xfId="0" applyFont="1" applyFill="1"/>
    <xf numFmtId="0" fontId="17" fillId="3" borderId="25" xfId="0" applyFont="1" applyFill="1" applyBorder="1" applyAlignment="1">
      <alignment horizontal="center"/>
    </xf>
    <xf numFmtId="0" fontId="18" fillId="3" borderId="25" xfId="0" applyFont="1" applyFill="1" applyBorder="1" applyAlignment="1">
      <alignment horizontal="center"/>
    </xf>
    <xf numFmtId="166" fontId="18" fillId="3" borderId="25" xfId="0" applyNumberFormat="1" applyFont="1" applyFill="1" applyBorder="1" applyAlignment="1">
      <alignment horizontal="center"/>
    </xf>
    <xf numFmtId="0" fontId="18" fillId="3" borderId="25" xfId="0" applyFont="1" applyFill="1" applyBorder="1" applyAlignment="1">
      <alignment horizontal="center" vertical="center"/>
    </xf>
    <xf numFmtId="165" fontId="18" fillId="3" borderId="25" xfId="0" applyNumberFormat="1" applyFont="1" applyFill="1" applyBorder="1" applyAlignment="1">
      <alignment horizontal="center" vertical="center"/>
    </xf>
    <xf numFmtId="0" fontId="16" fillId="3" borderId="26" xfId="0" applyFont="1" applyFill="1" applyBorder="1"/>
    <xf numFmtId="0" fontId="16" fillId="3" borderId="27" xfId="0" applyFont="1" applyFill="1" applyBorder="1"/>
    <xf numFmtId="0" fontId="16" fillId="3" borderId="28" xfId="0" applyFont="1" applyFill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3" fontId="16" fillId="0" borderId="6" xfId="0" applyNumberFormat="1" applyFont="1" applyBorder="1" applyAlignment="1">
      <alignment horizontal="center"/>
    </xf>
    <xf numFmtId="164" fontId="16" fillId="0" borderId="6" xfId="0" applyNumberFormat="1" applyFont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167" fontId="16" fillId="0" borderId="6" xfId="0" applyNumberFormat="1" applyFont="1" applyBorder="1" applyAlignment="1">
      <alignment horizontal="center"/>
    </xf>
    <xf numFmtId="166" fontId="16" fillId="0" borderId="6" xfId="0" applyNumberFormat="1" applyFont="1" applyBorder="1" applyAlignment="1">
      <alignment horizontal="center"/>
    </xf>
    <xf numFmtId="0" fontId="16" fillId="0" borderId="24" xfId="0" applyFont="1" applyBorder="1" applyAlignment="1">
      <alignment horizontal="right"/>
    </xf>
    <xf numFmtId="0" fontId="16" fillId="3" borderId="24" xfId="0" applyFont="1" applyFill="1" applyBorder="1" applyAlignment="1">
      <alignment horizontal="right"/>
    </xf>
    <xf numFmtId="0" fontId="16" fillId="3" borderId="26" xfId="0" applyFont="1" applyFill="1" applyBorder="1" applyAlignment="1">
      <alignment horizontal="right"/>
    </xf>
    <xf numFmtId="0" fontId="15" fillId="10" borderId="29" xfId="0" applyFont="1" applyFill="1" applyBorder="1" applyAlignment="1">
      <alignment horizontal="center"/>
    </xf>
    <xf numFmtId="0" fontId="15" fillId="3" borderId="29" xfId="0" applyFont="1" applyFill="1" applyBorder="1" applyAlignment="1">
      <alignment horizontal="center"/>
    </xf>
    <xf numFmtId="0" fontId="15" fillId="3" borderId="38" xfId="0" applyFont="1" applyFill="1" applyBorder="1" applyAlignment="1">
      <alignment horizontal="center"/>
    </xf>
    <xf numFmtId="0" fontId="21" fillId="10" borderId="29" xfId="0" applyFont="1" applyFill="1" applyBorder="1" applyAlignment="1">
      <alignment horizontal="center"/>
    </xf>
    <xf numFmtId="0" fontId="21" fillId="3" borderId="29" xfId="0" applyFont="1" applyFill="1" applyBorder="1" applyAlignment="1">
      <alignment horizontal="center"/>
    </xf>
    <xf numFmtId="0" fontId="21" fillId="3" borderId="38" xfId="0" applyFont="1" applyFill="1" applyBorder="1" applyAlignment="1">
      <alignment horizontal="center"/>
    </xf>
    <xf numFmtId="3" fontId="16" fillId="10" borderId="39" xfId="0" applyNumberFormat="1" applyFont="1" applyFill="1" applyBorder="1" applyAlignment="1">
      <alignment horizontal="center"/>
    </xf>
    <xf numFmtId="3" fontId="16" fillId="0" borderId="39" xfId="0" applyNumberFormat="1" applyFont="1" applyBorder="1" applyAlignment="1">
      <alignment horizontal="center"/>
    </xf>
    <xf numFmtId="3" fontId="16" fillId="3" borderId="40" xfId="0" applyNumberFormat="1" applyFont="1" applyFill="1" applyBorder="1" applyAlignment="1">
      <alignment horizontal="center"/>
    </xf>
    <xf numFmtId="3" fontId="16" fillId="3" borderId="41" xfId="0" applyNumberFormat="1" applyFont="1" applyFill="1" applyBorder="1" applyAlignment="1">
      <alignment horizontal="center"/>
    </xf>
    <xf numFmtId="3" fontId="16" fillId="10" borderId="41" xfId="0" applyNumberFormat="1" applyFont="1" applyFill="1" applyBorder="1" applyAlignment="1">
      <alignment horizontal="center"/>
    </xf>
    <xf numFmtId="3" fontId="16" fillId="3" borderId="42" xfId="0" applyNumberFormat="1" applyFont="1" applyFill="1" applyBorder="1" applyAlignment="1">
      <alignment horizontal="center"/>
    </xf>
    <xf numFmtId="3" fontId="16" fillId="10" borderId="27" xfId="0" applyNumberFormat="1" applyFont="1" applyFill="1" applyBorder="1" applyAlignment="1">
      <alignment horizontal="center"/>
    </xf>
    <xf numFmtId="3" fontId="16" fillId="3" borderId="27" xfId="0" applyNumberFormat="1" applyFont="1" applyFill="1" applyBorder="1" applyAlignment="1">
      <alignment horizontal="center"/>
    </xf>
    <xf numFmtId="1" fontId="16" fillId="10" borderId="41" xfId="0" applyNumberFormat="1" applyFont="1" applyFill="1" applyBorder="1" applyAlignment="1">
      <alignment horizontal="center"/>
    </xf>
    <xf numFmtId="1" fontId="16" fillId="3" borderId="41" xfId="0" applyNumberFormat="1" applyFont="1" applyFill="1" applyBorder="1" applyAlignment="1">
      <alignment horizontal="center"/>
    </xf>
    <xf numFmtId="3" fontId="16" fillId="3" borderId="28" xfId="0" applyNumberFormat="1" applyFont="1" applyFill="1" applyBorder="1" applyAlignment="1">
      <alignment horizontal="center"/>
    </xf>
    <xf numFmtId="1" fontId="16" fillId="10" borderId="27" xfId="0" applyNumberFormat="1" applyFont="1" applyFill="1" applyBorder="1" applyAlignment="1">
      <alignment horizontal="center"/>
    </xf>
    <xf numFmtId="1" fontId="16" fillId="3" borderId="27" xfId="0" applyNumberFormat="1" applyFont="1" applyFill="1" applyBorder="1" applyAlignment="1">
      <alignment horizontal="center"/>
    </xf>
    <xf numFmtId="1" fontId="16" fillId="3" borderId="42" xfId="0" applyNumberFormat="1" applyFont="1" applyFill="1" applyBorder="1" applyAlignment="1">
      <alignment horizontal="center"/>
    </xf>
    <xf numFmtId="1" fontId="16" fillId="3" borderId="28" xfId="0" applyNumberFormat="1" applyFont="1" applyFill="1" applyBorder="1" applyAlignment="1">
      <alignment horizontal="center"/>
    </xf>
    <xf numFmtId="0" fontId="23" fillId="3" borderId="0" xfId="0" applyFont="1" applyFill="1"/>
    <xf numFmtId="0" fontId="23" fillId="3" borderId="24" xfId="0" applyFont="1" applyFill="1" applyBorder="1"/>
    <xf numFmtId="0" fontId="23" fillId="3" borderId="25" xfId="0" applyFont="1" applyFill="1" applyBorder="1" applyAlignment="1">
      <alignment horizontal="center"/>
    </xf>
    <xf numFmtId="0" fontId="22" fillId="10" borderId="24" xfId="0" applyFont="1" applyFill="1" applyBorder="1"/>
    <xf numFmtId="0" fontId="23" fillId="10" borderId="25" xfId="0" applyFont="1" applyFill="1" applyBorder="1"/>
    <xf numFmtId="0" fontId="23" fillId="10" borderId="25" xfId="0" applyFont="1" applyFill="1" applyBorder="1" applyAlignment="1">
      <alignment horizontal="center"/>
    </xf>
    <xf numFmtId="0" fontId="24" fillId="3" borderId="0" xfId="0" applyFont="1" applyFill="1"/>
    <xf numFmtId="0" fontId="23" fillId="3" borderId="26" xfId="0" applyFont="1" applyFill="1" applyBorder="1"/>
    <xf numFmtId="0" fontId="23" fillId="3" borderId="28" xfId="0" applyFont="1" applyFill="1" applyBorder="1" applyAlignment="1">
      <alignment horizontal="center"/>
    </xf>
    <xf numFmtId="0" fontId="23" fillId="3" borderId="0" xfId="0" applyFont="1" applyFill="1" applyAlignment="1">
      <alignment horizontal="center"/>
    </xf>
    <xf numFmtId="0" fontId="22" fillId="3" borderId="0" xfId="0" applyFont="1" applyFill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3" borderId="0" xfId="0" applyFont="1" applyFill="1" applyAlignment="1">
      <alignment horizontal="right"/>
    </xf>
    <xf numFmtId="0" fontId="16" fillId="3" borderId="27" xfId="0" applyFont="1" applyFill="1" applyBorder="1" applyAlignment="1">
      <alignment horizontal="right"/>
    </xf>
    <xf numFmtId="3" fontId="16" fillId="3" borderId="39" xfId="0" applyNumberFormat="1" applyFont="1" applyFill="1" applyBorder="1" applyAlignment="1">
      <alignment horizontal="center"/>
    </xf>
    <xf numFmtId="0" fontId="16" fillId="3" borderId="29" xfId="0" applyFont="1" applyFill="1" applyBorder="1" applyAlignment="1">
      <alignment horizontal="right"/>
    </xf>
    <xf numFmtId="3" fontId="16" fillId="10" borderId="29" xfId="0" applyNumberFormat="1" applyFont="1" applyFill="1" applyBorder="1" applyAlignment="1">
      <alignment horizontal="center"/>
    </xf>
    <xf numFmtId="3" fontId="16" fillId="3" borderId="43" xfId="0" applyNumberFormat="1" applyFont="1" applyFill="1" applyBorder="1" applyAlignment="1">
      <alignment horizontal="center"/>
    </xf>
    <xf numFmtId="3" fontId="16" fillId="10" borderId="43" xfId="0" applyNumberFormat="1" applyFont="1" applyFill="1" applyBorder="1" applyAlignment="1">
      <alignment horizontal="center"/>
    </xf>
    <xf numFmtId="3" fontId="16" fillId="3" borderId="44" xfId="0" applyNumberFormat="1" applyFont="1" applyFill="1" applyBorder="1" applyAlignment="1">
      <alignment horizontal="center"/>
    </xf>
    <xf numFmtId="0" fontId="16" fillId="3" borderId="45" xfId="0" applyFont="1" applyFill="1" applyBorder="1" applyAlignment="1">
      <alignment horizontal="right"/>
    </xf>
    <xf numFmtId="0" fontId="0" fillId="2" borderId="21" xfId="0" applyFill="1" applyBorder="1" applyAlignment="1">
      <alignment textRotation="90"/>
    </xf>
    <xf numFmtId="0" fontId="15" fillId="3" borderId="46" xfId="0" applyFont="1" applyFill="1" applyBorder="1" applyAlignment="1">
      <alignment horizontal="center" vertical="center" textRotation="90"/>
    </xf>
    <xf numFmtId="3" fontId="16" fillId="10" borderId="0" xfId="0" applyNumberFormat="1" applyFont="1" applyFill="1" applyAlignment="1">
      <alignment horizontal="center"/>
    </xf>
    <xf numFmtId="3" fontId="16" fillId="3" borderId="0" xfId="0" applyNumberFormat="1" applyFont="1" applyFill="1" applyAlignment="1">
      <alignment horizontal="center"/>
    </xf>
    <xf numFmtId="0" fontId="15" fillId="3" borderId="35" xfId="0" applyFont="1" applyFill="1" applyBorder="1" applyAlignment="1">
      <alignment horizontal="center" vertical="center"/>
    </xf>
    <xf numFmtId="0" fontId="16" fillId="3" borderId="49" xfId="0" applyFont="1" applyFill="1" applyBorder="1" applyAlignment="1">
      <alignment horizontal="left" vertical="center"/>
    </xf>
    <xf numFmtId="0" fontId="16" fillId="3" borderId="9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15" fillId="3" borderId="36" xfId="0" applyFont="1" applyFill="1" applyBorder="1" applyAlignment="1">
      <alignment horizontal="center" vertical="center"/>
    </xf>
    <xf numFmtId="0" fontId="16" fillId="3" borderId="48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left" vertical="center"/>
    </xf>
    <xf numFmtId="0" fontId="16" fillId="3" borderId="6" xfId="0" applyFont="1" applyFill="1" applyBorder="1" applyAlignment="1">
      <alignment horizontal="left" vertical="center"/>
    </xf>
    <xf numFmtId="0" fontId="15" fillId="3" borderId="37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left" vertical="center"/>
    </xf>
    <xf numFmtId="0" fontId="16" fillId="3" borderId="12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/>
    </xf>
    <xf numFmtId="4" fontId="25" fillId="11" borderId="15" xfId="0" applyNumberFormat="1" applyFont="1" applyFill="1" applyBorder="1" applyAlignment="1">
      <alignment horizontal="center" vertical="center"/>
    </xf>
    <xf numFmtId="4" fontId="25" fillId="11" borderId="17" xfId="0" applyNumberFormat="1" applyFont="1" applyFill="1" applyBorder="1" applyAlignment="1">
      <alignment horizontal="center" vertical="center"/>
    </xf>
    <xf numFmtId="4" fontId="25" fillId="11" borderId="16" xfId="0" applyNumberFormat="1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23" fillId="3" borderId="24" xfId="0" applyFont="1" applyFill="1" applyBorder="1" applyAlignment="1">
      <alignment horizontal="center" vertical="center"/>
    </xf>
    <xf numFmtId="0" fontId="23" fillId="3" borderId="25" xfId="0" applyFont="1" applyFill="1" applyBorder="1" applyAlignment="1">
      <alignment horizontal="center" vertical="center"/>
    </xf>
    <xf numFmtId="0" fontId="15" fillId="3" borderId="46" xfId="0" applyFont="1" applyFill="1" applyBorder="1" applyAlignment="1">
      <alignment horizontal="center" vertical="center" textRotation="90"/>
    </xf>
    <xf numFmtId="0" fontId="15" fillId="3" borderId="8" xfId="0" applyFont="1" applyFill="1" applyBorder="1" applyAlignment="1">
      <alignment horizontal="center" vertical="center" textRotation="90"/>
    </xf>
    <xf numFmtId="0" fontId="15" fillId="3" borderId="46" xfId="0" applyFont="1" applyFill="1" applyBorder="1" applyAlignment="1">
      <alignment horizontal="center" vertical="center" textRotation="90" wrapText="1"/>
    </xf>
    <xf numFmtId="0" fontId="15" fillId="3" borderId="47" xfId="0" applyFont="1" applyFill="1" applyBorder="1" applyAlignment="1">
      <alignment horizontal="center" vertical="center" textRotation="90" wrapText="1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horizontal="center" vertical="center"/>
    </xf>
    <xf numFmtId="0" fontId="22" fillId="2" borderId="23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13F"/>
      <color rgb="FF7FDD8C"/>
      <color rgb="FF9E5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3</xdr:row>
      <xdr:rowOff>45720</xdr:rowOff>
    </xdr:from>
    <xdr:to>
      <xdr:col>10</xdr:col>
      <xdr:colOff>121920</xdr:colOff>
      <xdr:row>3</xdr:row>
      <xdr:rowOff>53340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497D8A92-8EA8-F17C-7166-8C5B2DFE6C42}"/>
            </a:ext>
          </a:extLst>
        </xdr:cNvPr>
        <xdr:cNvCxnSpPr/>
      </xdr:nvCxnSpPr>
      <xdr:spPr>
        <a:xfrm>
          <a:off x="2766060" y="632460"/>
          <a:ext cx="1028700" cy="7620"/>
        </a:xfrm>
        <a:prstGeom prst="straightConnector1">
          <a:avLst/>
        </a:prstGeom>
        <a:ln w="12700">
          <a:solidFill>
            <a:schemeClr val="tx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3</xdr:row>
      <xdr:rowOff>259080</xdr:rowOff>
    </xdr:from>
    <xdr:to>
      <xdr:col>10</xdr:col>
      <xdr:colOff>91440</xdr:colOff>
      <xdr:row>4</xdr:row>
      <xdr:rowOff>182880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973D5727-883C-43AA-A8C3-ADBD99FFE2CE}"/>
            </a:ext>
          </a:extLst>
        </xdr:cNvPr>
        <xdr:cNvCxnSpPr/>
      </xdr:nvCxnSpPr>
      <xdr:spPr>
        <a:xfrm flipH="1">
          <a:off x="2781300" y="845820"/>
          <a:ext cx="982980" cy="220980"/>
        </a:xfrm>
        <a:prstGeom prst="straightConnector1">
          <a:avLst/>
        </a:prstGeom>
        <a:ln w="12700"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541020</xdr:colOff>
      <xdr:row>3</xdr:row>
      <xdr:rowOff>160020</xdr:rowOff>
    </xdr:from>
    <xdr:to>
      <xdr:col>12</xdr:col>
      <xdr:colOff>182880</xdr:colOff>
      <xdr:row>4</xdr:row>
      <xdr:rowOff>167640</xdr:rowOff>
    </xdr:to>
    <xdr:cxnSp macro="">
      <xdr:nvCxnSpPr>
        <xdr:cNvPr id="78" name="Connector: Curved 77">
          <a:extLst>
            <a:ext uri="{FF2B5EF4-FFF2-40B4-BE49-F238E27FC236}">
              <a16:creationId xmlns:a16="http://schemas.microsoft.com/office/drawing/2014/main" id="{4545E11A-4B75-9F4A-E6F2-67C261AEAD1A}"/>
            </a:ext>
          </a:extLst>
        </xdr:cNvPr>
        <xdr:cNvCxnSpPr/>
      </xdr:nvCxnSpPr>
      <xdr:spPr>
        <a:xfrm>
          <a:off x="3497580" y="746760"/>
          <a:ext cx="1226820" cy="304800"/>
        </a:xfrm>
        <a:prstGeom prst="curvedConnector3">
          <a:avLst>
            <a:gd name="adj1" fmla="val 50000"/>
          </a:avLst>
        </a:prstGeom>
        <a:ln>
          <a:headEnd type="oval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472440</xdr:colOff>
      <xdr:row>4</xdr:row>
      <xdr:rowOff>152400</xdr:rowOff>
    </xdr:from>
    <xdr:to>
      <xdr:col>17</xdr:col>
      <xdr:colOff>144780</xdr:colOff>
      <xdr:row>5</xdr:row>
      <xdr:rowOff>190500</xdr:rowOff>
    </xdr:to>
    <xdr:cxnSp macro="">
      <xdr:nvCxnSpPr>
        <xdr:cNvPr id="81" name="Connector: Curved 80">
          <a:extLst>
            <a:ext uri="{FF2B5EF4-FFF2-40B4-BE49-F238E27FC236}">
              <a16:creationId xmlns:a16="http://schemas.microsoft.com/office/drawing/2014/main" id="{916DA38E-A3DF-43CF-93FC-E5ACA822575B}"/>
            </a:ext>
          </a:extLst>
        </xdr:cNvPr>
        <xdr:cNvCxnSpPr/>
      </xdr:nvCxnSpPr>
      <xdr:spPr>
        <a:xfrm>
          <a:off x="5730240" y="1036320"/>
          <a:ext cx="1965960" cy="381000"/>
        </a:xfrm>
        <a:prstGeom prst="curvedConnector3">
          <a:avLst>
            <a:gd name="adj1" fmla="val 50000"/>
          </a:avLst>
        </a:prstGeom>
        <a:ln>
          <a:headEnd type="oval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426720</xdr:colOff>
      <xdr:row>5</xdr:row>
      <xdr:rowOff>198120</xdr:rowOff>
    </xdr:from>
    <xdr:to>
      <xdr:col>23</xdr:col>
      <xdr:colOff>137160</xdr:colOff>
      <xdr:row>6</xdr:row>
      <xdr:rowOff>220980</xdr:rowOff>
    </xdr:to>
    <xdr:cxnSp macro="">
      <xdr:nvCxnSpPr>
        <xdr:cNvPr id="83" name="Connector: Curved 82">
          <a:extLst>
            <a:ext uri="{FF2B5EF4-FFF2-40B4-BE49-F238E27FC236}">
              <a16:creationId xmlns:a16="http://schemas.microsoft.com/office/drawing/2014/main" id="{FA8B80A6-61F0-4742-884A-A71EF0CB74C5}"/>
            </a:ext>
          </a:extLst>
        </xdr:cNvPr>
        <xdr:cNvCxnSpPr/>
      </xdr:nvCxnSpPr>
      <xdr:spPr>
        <a:xfrm>
          <a:off x="8610600" y="1424940"/>
          <a:ext cx="2895600" cy="365760"/>
        </a:xfrm>
        <a:prstGeom prst="curvedConnector3">
          <a:avLst>
            <a:gd name="adj1" fmla="val 50000"/>
          </a:avLst>
        </a:prstGeom>
        <a:ln>
          <a:headEnd type="oval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335280</xdr:colOff>
      <xdr:row>4</xdr:row>
      <xdr:rowOff>53340</xdr:rowOff>
    </xdr:from>
    <xdr:to>
      <xdr:col>15</xdr:col>
      <xdr:colOff>137160</xdr:colOff>
      <xdr:row>4</xdr:row>
      <xdr:rowOff>68580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466DD525-5DB5-4E08-82E5-1B81B18A3360}"/>
            </a:ext>
          </a:extLst>
        </xdr:cNvPr>
        <xdr:cNvCxnSpPr/>
      </xdr:nvCxnSpPr>
      <xdr:spPr>
        <a:xfrm>
          <a:off x="4343400" y="868680"/>
          <a:ext cx="2529840" cy="15240"/>
        </a:xfrm>
        <a:prstGeom prst="straightConnector1">
          <a:avLst/>
        </a:prstGeom>
        <a:ln w="12700">
          <a:solidFill>
            <a:schemeClr val="tx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388620</xdr:colOff>
      <xdr:row>4</xdr:row>
      <xdr:rowOff>213360</xdr:rowOff>
    </xdr:from>
    <xdr:to>
      <xdr:col>15</xdr:col>
      <xdr:colOff>83820</xdr:colOff>
      <xdr:row>5</xdr:row>
      <xdr:rowOff>213360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6A58435F-F69C-43D5-8900-3D0D67BCDC78}"/>
            </a:ext>
          </a:extLst>
        </xdr:cNvPr>
        <xdr:cNvCxnSpPr/>
      </xdr:nvCxnSpPr>
      <xdr:spPr>
        <a:xfrm flipH="1">
          <a:off x="4396740" y="1097280"/>
          <a:ext cx="2423160" cy="342900"/>
        </a:xfrm>
        <a:prstGeom prst="straightConnector1">
          <a:avLst/>
        </a:prstGeom>
        <a:ln w="12700"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358140</xdr:colOff>
      <xdr:row>5</xdr:row>
      <xdr:rowOff>182880</xdr:rowOff>
    </xdr:from>
    <xdr:to>
      <xdr:col>21</xdr:col>
      <xdr:colOff>99060</xdr:colOff>
      <xdr:row>6</xdr:row>
      <xdr:rowOff>228600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4785F5F1-12DE-454B-9CCB-7FF89E26F366}"/>
            </a:ext>
          </a:extLst>
        </xdr:cNvPr>
        <xdr:cNvCxnSpPr/>
      </xdr:nvCxnSpPr>
      <xdr:spPr>
        <a:xfrm flipH="1">
          <a:off x="7444740" y="1409700"/>
          <a:ext cx="3116580" cy="388620"/>
        </a:xfrm>
        <a:prstGeom prst="straightConnector1">
          <a:avLst/>
        </a:prstGeom>
        <a:ln w="12700"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381000</xdr:colOff>
      <xdr:row>6</xdr:row>
      <xdr:rowOff>205740</xdr:rowOff>
    </xdr:from>
    <xdr:to>
      <xdr:col>24</xdr:col>
      <xdr:colOff>91440</xdr:colOff>
      <xdr:row>7</xdr:row>
      <xdr:rowOff>320040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90C8AA13-46A5-4717-AD26-C4170867677D}"/>
            </a:ext>
          </a:extLst>
        </xdr:cNvPr>
        <xdr:cNvCxnSpPr/>
      </xdr:nvCxnSpPr>
      <xdr:spPr>
        <a:xfrm flipH="1">
          <a:off x="11216640" y="1775460"/>
          <a:ext cx="815340" cy="434340"/>
        </a:xfrm>
        <a:prstGeom prst="straightConnector1">
          <a:avLst/>
        </a:prstGeom>
        <a:ln w="12700"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297180</xdr:colOff>
      <xdr:row>6</xdr:row>
      <xdr:rowOff>60960</xdr:rowOff>
    </xdr:from>
    <xdr:to>
      <xdr:col>24</xdr:col>
      <xdr:colOff>137160</xdr:colOff>
      <xdr:row>6</xdr:row>
      <xdr:rowOff>68580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7C2A468E-310F-4BE1-A9B4-957136421BC3}"/>
            </a:ext>
          </a:extLst>
        </xdr:cNvPr>
        <xdr:cNvCxnSpPr/>
      </xdr:nvCxnSpPr>
      <xdr:spPr>
        <a:xfrm>
          <a:off x="11132820" y="1630680"/>
          <a:ext cx="944880" cy="7620"/>
        </a:xfrm>
        <a:prstGeom prst="straightConnector1">
          <a:avLst/>
        </a:prstGeom>
        <a:ln w="12700">
          <a:solidFill>
            <a:schemeClr val="tx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219710</xdr:colOff>
      <xdr:row>1</xdr:row>
      <xdr:rowOff>258657</xdr:rowOff>
    </xdr:from>
    <xdr:to>
      <xdr:col>26</xdr:col>
      <xdr:colOff>742949</xdr:colOff>
      <xdr:row>23</xdr:row>
      <xdr:rowOff>163408</xdr:rowOff>
    </xdr:to>
    <xdr:sp macro="" textlink="">
      <xdr:nvSpPr>
        <xdr:cNvPr id="108" name="Arrow: Down 107">
          <a:extLst>
            <a:ext uri="{FF2B5EF4-FFF2-40B4-BE49-F238E27FC236}">
              <a16:creationId xmlns:a16="http://schemas.microsoft.com/office/drawing/2014/main" id="{84342DD1-D929-3B2F-3C04-38EF786B4B8D}"/>
            </a:ext>
          </a:extLst>
        </xdr:cNvPr>
        <xdr:cNvSpPr/>
      </xdr:nvSpPr>
      <xdr:spPr>
        <a:xfrm>
          <a:off x="12792710" y="491490"/>
          <a:ext cx="523239" cy="5545668"/>
        </a:xfrm>
        <a:prstGeom prst="downArrow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8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Fill Down</a:t>
          </a:r>
        </a:p>
      </xdr:txBody>
    </xdr:sp>
    <xdr:clientData/>
  </xdr:twoCellAnchor>
  <xdr:twoCellAnchor editAs="oneCell">
    <xdr:from>
      <xdr:col>22</xdr:col>
      <xdr:colOff>3687</xdr:colOff>
      <xdr:row>7</xdr:row>
      <xdr:rowOff>168752</xdr:rowOff>
    </xdr:from>
    <xdr:to>
      <xdr:col>25</xdr:col>
      <xdr:colOff>59448</xdr:colOff>
      <xdr:row>11</xdr:row>
      <xdr:rowOff>96396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6BA95BB-9ADF-7E75-A30A-ED832D7D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9722183">
          <a:off x="10839327" y="2058512"/>
          <a:ext cx="1503562" cy="984073"/>
        </a:xfrm>
        <a:prstGeom prst="rect">
          <a:avLst/>
        </a:prstGeom>
      </xdr:spPr>
    </xdr:pic>
    <xdr:clientData/>
  </xdr:twoCellAnchor>
  <xdr:twoCellAnchor editAs="oneCell">
    <xdr:from>
      <xdr:col>15</xdr:col>
      <xdr:colOff>144780</xdr:colOff>
      <xdr:row>9</xdr:row>
      <xdr:rowOff>114300</xdr:rowOff>
    </xdr:from>
    <xdr:to>
      <xdr:col>25</xdr:col>
      <xdr:colOff>171449</xdr:colOff>
      <xdr:row>14</xdr:row>
      <xdr:rowOff>129721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93BB05D5-5455-3C46-B34C-1A6D0D7E7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0860" y="2606040"/>
          <a:ext cx="5570220" cy="1115665"/>
        </a:xfrm>
        <a:prstGeom prst="rect">
          <a:avLst/>
        </a:prstGeom>
      </xdr:spPr>
    </xdr:pic>
    <xdr:clientData/>
  </xdr:twoCellAnchor>
  <xdr:twoCellAnchor>
    <xdr:from>
      <xdr:col>16</xdr:col>
      <xdr:colOff>254000</xdr:colOff>
      <xdr:row>5</xdr:row>
      <xdr:rowOff>59266</xdr:rowOff>
    </xdr:from>
    <xdr:to>
      <xdr:col>21</xdr:col>
      <xdr:colOff>194733</xdr:colOff>
      <xdr:row>5</xdr:row>
      <xdr:rowOff>64346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EA3C978A-356F-41C4-8F31-3D31CD69C62F}"/>
            </a:ext>
          </a:extLst>
        </xdr:cNvPr>
        <xdr:cNvCxnSpPr/>
      </xdr:nvCxnSpPr>
      <xdr:spPr>
        <a:xfrm flipV="1">
          <a:off x="7357533" y="1286933"/>
          <a:ext cx="3327400" cy="5080"/>
        </a:xfrm>
        <a:prstGeom prst="straightConnector1">
          <a:avLst/>
        </a:prstGeom>
        <a:ln w="12700">
          <a:solidFill>
            <a:schemeClr val="tx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EC3C75-D9D0-410C-B82B-5A91F3DE7A11}" name="Table3" displayName="Table3" ref="A2:B4" totalsRowShown="0">
  <autoFilter ref="A2:B4" xr:uid="{C8EC3C75-D9D0-410C-B82B-5A91F3DE7A11}"/>
  <tableColumns count="2">
    <tableColumn id="1" xr3:uid="{74577489-F14C-4B24-BF16-27D433EEC402}" name="Column1"/>
    <tableColumn id="2" xr3:uid="{7075DA79-35E9-4F46-8543-547A8DFD7510}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B7B9-294D-4D23-B2CC-65E753622946}">
  <dimension ref="A1:AK40"/>
  <sheetViews>
    <sheetView zoomScale="90" zoomScaleNormal="90" workbookViewId="0">
      <selection activeCell="AC18" sqref="AC18"/>
    </sheetView>
  </sheetViews>
  <sheetFormatPr defaultRowHeight="15.6" x14ac:dyDescent="0.3"/>
  <cols>
    <col min="1" max="1" width="1.88671875" style="2" customWidth="1"/>
    <col min="2" max="2" width="4.88671875" style="5" customWidth="1"/>
    <col min="3" max="3" width="6.88671875" style="1" bestFit="1" customWidth="1"/>
    <col min="4" max="4" width="1.6640625" style="2" customWidth="1"/>
    <col min="5" max="5" width="9.88671875" style="1" customWidth="1"/>
    <col min="6" max="6" width="10.88671875" style="1" bestFit="1" customWidth="1"/>
    <col min="7" max="7" width="3" style="1" bestFit="1" customWidth="1"/>
    <col min="8" max="8" width="1.44140625" style="3" customWidth="1"/>
    <col min="9" max="9" width="7.5546875" style="1" bestFit="1" customWidth="1"/>
    <col min="10" max="10" width="10.44140625" style="1" bestFit="1" customWidth="1"/>
    <col min="11" max="11" width="4.88671875" bestFit="1" customWidth="1"/>
    <col min="12" max="12" width="7.6640625" bestFit="1" customWidth="1"/>
    <col min="13" max="13" width="10.44140625" bestFit="1" customWidth="1"/>
    <col min="14" max="14" width="9.33203125" bestFit="1" customWidth="1"/>
    <col min="15" max="15" width="12.33203125" bestFit="1" customWidth="1"/>
    <col min="16" max="16" width="5.109375" bestFit="1" customWidth="1"/>
    <col min="17" max="17" width="6.6640625" bestFit="1" customWidth="1"/>
    <col min="18" max="18" width="9.33203125" bestFit="1" customWidth="1"/>
    <col min="19" max="19" width="8.33203125" bestFit="1" customWidth="1"/>
    <col min="20" max="20" width="11.5546875" bestFit="1" customWidth="1"/>
    <col min="21" max="21" width="13.33203125" bestFit="1" customWidth="1"/>
    <col min="22" max="22" width="5.44140625" bestFit="1" customWidth="1"/>
    <col min="23" max="23" width="7.6640625" bestFit="1" customWidth="1"/>
    <col min="24" max="24" width="8.33203125" bestFit="1" customWidth="1"/>
    <col min="25" max="25" width="5.109375" bestFit="1" customWidth="1"/>
    <col min="26" max="26" width="8.44140625" bestFit="1" customWidth="1"/>
    <col min="27" max="27" width="11.6640625" style="2" customWidth="1"/>
    <col min="28" max="28" width="4" style="2" customWidth="1"/>
    <col min="29" max="35" width="8.88671875" style="2"/>
    <col min="36" max="36" width="19" style="2" customWidth="1"/>
    <col min="37" max="37" width="8.88671875" style="2"/>
  </cols>
  <sheetData>
    <row r="1" spans="2:36" s="2" customFormat="1" ht="18" customHeight="1" thickBot="1" x14ac:dyDescent="0.35">
      <c r="B1" s="4"/>
      <c r="C1" s="3"/>
      <c r="E1" s="3"/>
      <c r="F1" s="3"/>
      <c r="G1" s="3"/>
      <c r="H1" s="3"/>
      <c r="I1" s="3"/>
      <c r="J1" s="3"/>
    </row>
    <row r="2" spans="2:36" ht="22.2" thickBot="1" x14ac:dyDescent="0.55000000000000004">
      <c r="B2" s="29" t="s">
        <v>39</v>
      </c>
      <c r="C2" s="6" t="s">
        <v>0</v>
      </c>
      <c r="D2" s="7"/>
      <c r="E2" s="46" t="s">
        <v>469</v>
      </c>
      <c r="F2" s="47" t="s">
        <v>470</v>
      </c>
      <c r="G2" s="48" t="s">
        <v>468</v>
      </c>
      <c r="H2" s="8"/>
      <c r="I2" s="54" t="s">
        <v>471</v>
      </c>
      <c r="J2" s="56" t="s">
        <v>475</v>
      </c>
      <c r="K2" s="55" t="s">
        <v>473</v>
      </c>
      <c r="L2" s="52" t="s">
        <v>474</v>
      </c>
      <c r="M2" s="57" t="s">
        <v>475</v>
      </c>
      <c r="N2" s="57" t="s">
        <v>479</v>
      </c>
      <c r="O2" s="57" t="s">
        <v>486</v>
      </c>
      <c r="P2" s="53" t="s">
        <v>477</v>
      </c>
      <c r="Q2" s="58" t="s">
        <v>478</v>
      </c>
      <c r="R2" s="59" t="s">
        <v>479</v>
      </c>
      <c r="S2" s="59" t="s">
        <v>484</v>
      </c>
      <c r="T2" s="59" t="s">
        <v>487</v>
      </c>
      <c r="U2" s="59" t="s">
        <v>488</v>
      </c>
      <c r="V2" s="60" t="s">
        <v>482</v>
      </c>
      <c r="W2" s="61" t="s">
        <v>483</v>
      </c>
      <c r="X2" s="62" t="s">
        <v>484</v>
      </c>
      <c r="Y2" s="87" t="s">
        <v>485</v>
      </c>
      <c r="Z2" s="96" t="s">
        <v>582</v>
      </c>
    </row>
    <row r="3" spans="2:36" ht="18.600000000000001" thickBot="1" x14ac:dyDescent="0.4">
      <c r="B3" s="45" t="s">
        <v>24</v>
      </c>
      <c r="C3" s="41" t="s">
        <v>367</v>
      </c>
      <c r="D3" s="10"/>
      <c r="E3" s="11" t="s">
        <v>1</v>
      </c>
      <c r="F3" s="12" t="s">
        <v>2</v>
      </c>
      <c r="G3" s="13">
        <v>1</v>
      </c>
      <c r="H3" s="42"/>
      <c r="I3" s="31" t="s">
        <v>42</v>
      </c>
      <c r="J3" s="32" t="s">
        <v>49</v>
      </c>
      <c r="K3" s="33" t="s">
        <v>71</v>
      </c>
      <c r="L3" s="31" t="s">
        <v>72</v>
      </c>
      <c r="M3" s="32" t="s">
        <v>73</v>
      </c>
      <c r="N3" s="32" t="s">
        <v>173</v>
      </c>
      <c r="O3" s="34" t="s">
        <v>174</v>
      </c>
      <c r="P3" s="33" t="s">
        <v>95</v>
      </c>
      <c r="Q3" s="31" t="s">
        <v>96</v>
      </c>
      <c r="R3" s="32" t="s">
        <v>97</v>
      </c>
      <c r="S3" s="32" t="s">
        <v>175</v>
      </c>
      <c r="T3" s="34" t="s">
        <v>176</v>
      </c>
      <c r="U3" s="32" t="s">
        <v>177</v>
      </c>
      <c r="V3" s="33" t="s">
        <v>178</v>
      </c>
      <c r="W3" s="31" t="s">
        <v>179</v>
      </c>
      <c r="X3" s="32" t="s">
        <v>180</v>
      </c>
      <c r="Y3" s="88" t="s">
        <v>181</v>
      </c>
      <c r="Z3" s="92" t="s">
        <v>563</v>
      </c>
      <c r="AC3" s="187" t="s">
        <v>565</v>
      </c>
      <c r="AD3" s="188"/>
      <c r="AE3" s="188"/>
      <c r="AF3" s="188"/>
      <c r="AG3" s="188"/>
      <c r="AH3" s="188"/>
      <c r="AI3" s="188"/>
      <c r="AJ3" s="189"/>
    </row>
    <row r="4" spans="2:36" ht="23.4" customHeight="1" x14ac:dyDescent="0.35">
      <c r="B4" s="45" t="s">
        <v>25</v>
      </c>
      <c r="C4" s="41" t="s">
        <v>368</v>
      </c>
      <c r="D4" s="10"/>
      <c r="E4" s="11" t="s">
        <v>1</v>
      </c>
      <c r="F4" s="12" t="s">
        <v>2</v>
      </c>
      <c r="G4" s="13">
        <v>2</v>
      </c>
      <c r="H4" s="42"/>
      <c r="I4" s="65" t="s">
        <v>43</v>
      </c>
      <c r="J4" s="66" t="s">
        <v>50</v>
      </c>
      <c r="K4" s="67" t="s">
        <v>74</v>
      </c>
      <c r="L4" s="68" t="s">
        <v>75</v>
      </c>
      <c r="M4" s="69" t="s">
        <v>76</v>
      </c>
      <c r="N4" s="70" t="s">
        <v>182</v>
      </c>
      <c r="O4" s="71" t="s">
        <v>183</v>
      </c>
      <c r="P4" s="72" t="s">
        <v>98</v>
      </c>
      <c r="Q4" s="68" t="s">
        <v>99</v>
      </c>
      <c r="R4" s="69" t="s">
        <v>100</v>
      </c>
      <c r="S4" s="69" t="s">
        <v>184</v>
      </c>
      <c r="T4" s="71" t="s">
        <v>185</v>
      </c>
      <c r="U4" s="69" t="s">
        <v>186</v>
      </c>
      <c r="V4" s="72" t="s">
        <v>187</v>
      </c>
      <c r="W4" s="68" t="s">
        <v>188</v>
      </c>
      <c r="X4" s="69" t="s">
        <v>189</v>
      </c>
      <c r="Y4" s="89" t="s">
        <v>190</v>
      </c>
      <c r="Z4" s="93" t="s">
        <v>417</v>
      </c>
      <c r="AC4" s="175" t="s">
        <v>566</v>
      </c>
      <c r="AD4" s="176" t="s">
        <v>574</v>
      </c>
      <c r="AE4" s="177"/>
      <c r="AF4" s="177"/>
      <c r="AG4" s="177"/>
      <c r="AH4" s="177"/>
      <c r="AI4" s="177"/>
      <c r="AJ4" s="178"/>
    </row>
    <row r="5" spans="2:36" ht="27" customHeight="1" x14ac:dyDescent="0.35">
      <c r="B5" s="45" t="s">
        <v>28</v>
      </c>
      <c r="C5" s="41" t="s">
        <v>369</v>
      </c>
      <c r="D5" s="10"/>
      <c r="E5" s="11" t="s">
        <v>551</v>
      </c>
      <c r="F5" s="12" t="s">
        <v>4</v>
      </c>
      <c r="G5" s="13">
        <v>3</v>
      </c>
      <c r="H5" s="42"/>
      <c r="I5" s="65" t="s">
        <v>44</v>
      </c>
      <c r="J5" s="69" t="s">
        <v>51</v>
      </c>
      <c r="K5" s="72" t="s">
        <v>77</v>
      </c>
      <c r="L5" s="73" t="s">
        <v>78</v>
      </c>
      <c r="M5" s="74" t="s">
        <v>79</v>
      </c>
      <c r="N5" s="75" t="s">
        <v>169</v>
      </c>
      <c r="O5" s="74" t="s">
        <v>191</v>
      </c>
      <c r="P5" s="76" t="s">
        <v>101</v>
      </c>
      <c r="Q5" s="68" t="s">
        <v>397</v>
      </c>
      <c r="R5" s="70" t="s">
        <v>102</v>
      </c>
      <c r="S5" s="69" t="s">
        <v>192</v>
      </c>
      <c r="T5" s="69" t="s">
        <v>193</v>
      </c>
      <c r="U5" s="69" t="s">
        <v>194</v>
      </c>
      <c r="V5" s="72" t="s">
        <v>195</v>
      </c>
      <c r="W5" s="68" t="s">
        <v>196</v>
      </c>
      <c r="X5" s="69" t="s">
        <v>197</v>
      </c>
      <c r="Y5" s="89" t="s">
        <v>198</v>
      </c>
      <c r="Z5" s="93" t="s">
        <v>418</v>
      </c>
      <c r="AC5" s="179" t="s">
        <v>567</v>
      </c>
      <c r="AD5" s="180" t="s">
        <v>575</v>
      </c>
      <c r="AE5" s="181"/>
      <c r="AF5" s="181"/>
      <c r="AG5" s="181"/>
      <c r="AH5" s="181"/>
      <c r="AI5" s="181"/>
      <c r="AJ5" s="182"/>
    </row>
    <row r="6" spans="2:36" ht="27" customHeight="1" x14ac:dyDescent="0.35">
      <c r="B6" s="45" t="s">
        <v>26</v>
      </c>
      <c r="C6" s="41" t="s">
        <v>370</v>
      </c>
      <c r="D6" s="10"/>
      <c r="E6" s="11" t="s">
        <v>552</v>
      </c>
      <c r="F6" s="12" t="s">
        <v>6</v>
      </c>
      <c r="G6" s="13">
        <v>4</v>
      </c>
      <c r="H6" s="42"/>
      <c r="I6" s="68" t="s">
        <v>45</v>
      </c>
      <c r="J6" s="69" t="s">
        <v>52</v>
      </c>
      <c r="K6" s="72" t="s">
        <v>80</v>
      </c>
      <c r="L6" s="73" t="s">
        <v>81</v>
      </c>
      <c r="M6" s="69" t="s">
        <v>82</v>
      </c>
      <c r="N6" s="69" t="s">
        <v>170</v>
      </c>
      <c r="O6" s="69" t="s">
        <v>199</v>
      </c>
      <c r="P6" s="72" t="s">
        <v>103</v>
      </c>
      <c r="Q6" s="77" t="s">
        <v>398</v>
      </c>
      <c r="R6" s="78" t="s">
        <v>104</v>
      </c>
      <c r="S6" s="78" t="s">
        <v>200</v>
      </c>
      <c r="T6" s="78" t="s">
        <v>201</v>
      </c>
      <c r="U6" s="78" t="s">
        <v>202</v>
      </c>
      <c r="V6" s="79" t="s">
        <v>203</v>
      </c>
      <c r="W6" s="68" t="s">
        <v>204</v>
      </c>
      <c r="X6" s="69" t="s">
        <v>205</v>
      </c>
      <c r="Y6" s="89" t="s">
        <v>206</v>
      </c>
      <c r="Z6" s="93" t="s">
        <v>419</v>
      </c>
      <c r="AC6" s="179" t="s">
        <v>568</v>
      </c>
      <c r="AD6" s="180" t="s">
        <v>576</v>
      </c>
      <c r="AE6" s="181"/>
      <c r="AF6" s="181"/>
      <c r="AG6" s="181"/>
      <c r="AH6" s="181"/>
      <c r="AI6" s="181"/>
      <c r="AJ6" s="182"/>
    </row>
    <row r="7" spans="2:36" ht="25.2" customHeight="1" x14ac:dyDescent="0.35">
      <c r="B7" s="45" t="s">
        <v>29</v>
      </c>
      <c r="C7" s="41" t="s">
        <v>371</v>
      </c>
      <c r="D7" s="10"/>
      <c r="E7" s="11" t="s">
        <v>552</v>
      </c>
      <c r="F7" s="12" t="s">
        <v>7</v>
      </c>
      <c r="G7" s="13">
        <v>5</v>
      </c>
      <c r="H7" s="42"/>
      <c r="I7" s="68" t="s">
        <v>46</v>
      </c>
      <c r="J7" s="69" t="s">
        <v>53</v>
      </c>
      <c r="K7" s="72" t="s">
        <v>83</v>
      </c>
      <c r="L7" s="68" t="s">
        <v>84</v>
      </c>
      <c r="M7" s="69" t="s">
        <v>85</v>
      </c>
      <c r="N7" s="69" t="s">
        <v>171</v>
      </c>
      <c r="O7" s="69" t="s">
        <v>207</v>
      </c>
      <c r="P7" s="72" t="s">
        <v>105</v>
      </c>
      <c r="Q7" s="77" t="s">
        <v>399</v>
      </c>
      <c r="R7" s="69" t="s">
        <v>106</v>
      </c>
      <c r="S7" s="70" t="s">
        <v>208</v>
      </c>
      <c r="T7" s="69" t="s">
        <v>209</v>
      </c>
      <c r="U7" s="69" t="s">
        <v>210</v>
      </c>
      <c r="V7" s="72" t="s">
        <v>211</v>
      </c>
      <c r="W7" s="80" t="s">
        <v>212</v>
      </c>
      <c r="X7" s="81" t="s">
        <v>213</v>
      </c>
      <c r="Y7" s="90" t="s">
        <v>214</v>
      </c>
      <c r="Z7" s="93" t="s">
        <v>420</v>
      </c>
      <c r="AC7" s="179" t="s">
        <v>569</v>
      </c>
      <c r="AD7" s="180" t="s">
        <v>577</v>
      </c>
      <c r="AE7" s="181"/>
      <c r="AF7" s="181"/>
      <c r="AG7" s="181"/>
      <c r="AH7" s="181"/>
      <c r="AI7" s="181"/>
      <c r="AJ7" s="182"/>
    </row>
    <row r="8" spans="2:36" ht="28.95" customHeight="1" thickBot="1" x14ac:dyDescent="0.4">
      <c r="B8" s="45" t="s">
        <v>27</v>
      </c>
      <c r="C8" s="41" t="s">
        <v>372</v>
      </c>
      <c r="D8" s="10"/>
      <c r="E8" s="11" t="s">
        <v>5</v>
      </c>
      <c r="F8" s="12" t="s">
        <v>8</v>
      </c>
      <c r="G8" s="13">
        <v>6</v>
      </c>
      <c r="H8" s="42"/>
      <c r="I8" s="68" t="s">
        <v>47</v>
      </c>
      <c r="J8" s="84" t="s">
        <v>54</v>
      </c>
      <c r="K8" s="72" t="s">
        <v>86</v>
      </c>
      <c r="L8" s="68" t="s">
        <v>87</v>
      </c>
      <c r="M8" s="69" t="s">
        <v>88</v>
      </c>
      <c r="N8" s="69" t="s">
        <v>172</v>
      </c>
      <c r="O8" s="69" t="s">
        <v>215</v>
      </c>
      <c r="P8" s="72" t="s">
        <v>107</v>
      </c>
      <c r="Q8" s="68" t="s">
        <v>400</v>
      </c>
      <c r="R8" s="69" t="s">
        <v>108</v>
      </c>
      <c r="S8" s="69" t="s">
        <v>216</v>
      </c>
      <c r="T8" s="69" t="s">
        <v>217</v>
      </c>
      <c r="U8" s="69" t="s">
        <v>218</v>
      </c>
      <c r="V8" s="72" t="s">
        <v>219</v>
      </c>
      <c r="W8" s="80" t="s">
        <v>220</v>
      </c>
      <c r="X8" s="70" t="s">
        <v>221</v>
      </c>
      <c r="Y8" s="89" t="s">
        <v>222</v>
      </c>
      <c r="Z8" s="93" t="s">
        <v>421</v>
      </c>
      <c r="AC8" s="179" t="s">
        <v>570</v>
      </c>
      <c r="AD8" s="180" t="s">
        <v>578</v>
      </c>
      <c r="AE8" s="181"/>
      <c r="AF8" s="181"/>
      <c r="AG8" s="181"/>
      <c r="AH8" s="181"/>
      <c r="AI8" s="181"/>
      <c r="AJ8" s="182"/>
    </row>
    <row r="9" spans="2:36" ht="18.600000000000001" thickBot="1" x14ac:dyDescent="0.4">
      <c r="B9" s="45" t="s">
        <v>30</v>
      </c>
      <c r="C9" s="41" t="s">
        <v>373</v>
      </c>
      <c r="D9" s="10"/>
      <c r="E9" s="11" t="s">
        <v>9</v>
      </c>
      <c r="F9" s="12" t="s">
        <v>10</v>
      </c>
      <c r="G9" s="13">
        <v>7</v>
      </c>
      <c r="H9" s="42"/>
      <c r="I9" s="82" t="s">
        <v>48</v>
      </c>
      <c r="J9" s="86" t="s">
        <v>55</v>
      </c>
      <c r="K9" s="83" t="s">
        <v>89</v>
      </c>
      <c r="L9" s="31" t="s">
        <v>90</v>
      </c>
      <c r="M9" s="35" t="s">
        <v>91</v>
      </c>
      <c r="N9" s="32" t="s">
        <v>223</v>
      </c>
      <c r="O9" s="34" t="s">
        <v>224</v>
      </c>
      <c r="P9" s="33" t="s">
        <v>109</v>
      </c>
      <c r="Q9" s="31" t="s">
        <v>401</v>
      </c>
      <c r="R9" s="32" t="s">
        <v>110</v>
      </c>
      <c r="S9" s="32" t="s">
        <v>225</v>
      </c>
      <c r="T9" s="34" t="s">
        <v>226</v>
      </c>
      <c r="U9" s="32" t="s">
        <v>227</v>
      </c>
      <c r="V9" s="33" t="s">
        <v>228</v>
      </c>
      <c r="W9" s="31" t="s">
        <v>229</v>
      </c>
      <c r="X9" s="32" t="s">
        <v>230</v>
      </c>
      <c r="Y9" s="88" t="s">
        <v>231</v>
      </c>
      <c r="Z9" s="92" t="s">
        <v>422</v>
      </c>
      <c r="AC9" s="179" t="s">
        <v>571</v>
      </c>
      <c r="AD9" s="180" t="s">
        <v>579</v>
      </c>
      <c r="AE9" s="181"/>
      <c r="AF9" s="181"/>
      <c r="AG9" s="181"/>
      <c r="AH9" s="181"/>
      <c r="AI9" s="181"/>
      <c r="AJ9" s="182"/>
    </row>
    <row r="10" spans="2:36" ht="18" x14ac:dyDescent="0.35">
      <c r="B10" s="45" t="s">
        <v>31</v>
      </c>
      <c r="C10" s="41" t="s">
        <v>374</v>
      </c>
      <c r="D10" s="10"/>
      <c r="E10" s="15" t="s">
        <v>382</v>
      </c>
      <c r="F10" s="16" t="s">
        <v>583</v>
      </c>
      <c r="G10" s="17">
        <v>8</v>
      </c>
      <c r="H10" s="42"/>
      <c r="I10" s="31" t="s">
        <v>423</v>
      </c>
      <c r="J10" s="85" t="s">
        <v>56</v>
      </c>
      <c r="K10" s="33" t="s">
        <v>92</v>
      </c>
      <c r="L10" s="31" t="s">
        <v>93</v>
      </c>
      <c r="M10" s="35" t="s">
        <v>94</v>
      </c>
      <c r="N10" s="32" t="s">
        <v>232</v>
      </c>
      <c r="O10" s="34" t="s">
        <v>233</v>
      </c>
      <c r="P10" s="63" t="s">
        <v>111</v>
      </c>
      <c r="Q10" s="31" t="s">
        <v>402</v>
      </c>
      <c r="R10" s="32" t="s">
        <v>112</v>
      </c>
      <c r="S10" s="32" t="s">
        <v>234</v>
      </c>
      <c r="T10" s="34" t="s">
        <v>235</v>
      </c>
      <c r="U10" s="32" t="s">
        <v>236</v>
      </c>
      <c r="V10" s="64" t="s">
        <v>237</v>
      </c>
      <c r="W10" s="31" t="s">
        <v>238</v>
      </c>
      <c r="X10" s="32" t="s">
        <v>239</v>
      </c>
      <c r="Y10" s="88" t="s">
        <v>240</v>
      </c>
      <c r="Z10" s="95" t="s">
        <v>424</v>
      </c>
      <c r="AC10" s="179" t="s">
        <v>572</v>
      </c>
      <c r="AD10" s="180" t="s">
        <v>580</v>
      </c>
      <c r="AE10" s="181"/>
      <c r="AF10" s="181"/>
      <c r="AG10" s="181"/>
      <c r="AH10" s="181"/>
      <c r="AI10" s="181"/>
      <c r="AJ10" s="182"/>
    </row>
    <row r="11" spans="2:36" ht="18.600000000000001" thickBot="1" x14ac:dyDescent="0.4">
      <c r="B11" s="45" t="s">
        <v>32</v>
      </c>
      <c r="C11" s="41" t="s">
        <v>376</v>
      </c>
      <c r="D11" s="10"/>
      <c r="E11" s="11" t="s">
        <v>383</v>
      </c>
      <c r="F11" s="12" t="s">
        <v>11</v>
      </c>
      <c r="G11" s="13">
        <v>9</v>
      </c>
      <c r="H11" s="42"/>
      <c r="I11" s="31" t="s">
        <v>425</v>
      </c>
      <c r="J11" s="34" t="s">
        <v>57</v>
      </c>
      <c r="K11" s="33" t="s">
        <v>141</v>
      </c>
      <c r="L11" s="31" t="s">
        <v>426</v>
      </c>
      <c r="M11" s="36" t="s">
        <v>155</v>
      </c>
      <c r="N11" s="32" t="s">
        <v>241</v>
      </c>
      <c r="O11" s="32" t="s">
        <v>242</v>
      </c>
      <c r="P11" s="33" t="s">
        <v>113</v>
      </c>
      <c r="Q11" s="31" t="s">
        <v>403</v>
      </c>
      <c r="R11" s="32" t="s">
        <v>114</v>
      </c>
      <c r="S11" s="32" t="s">
        <v>243</v>
      </c>
      <c r="T11" s="32" t="s">
        <v>244</v>
      </c>
      <c r="U11" s="32" t="s">
        <v>245</v>
      </c>
      <c r="V11" s="33" t="s">
        <v>246</v>
      </c>
      <c r="W11" s="31" t="s">
        <v>247</v>
      </c>
      <c r="X11" s="32" t="s">
        <v>248</v>
      </c>
      <c r="Y11" s="88" t="s">
        <v>249</v>
      </c>
      <c r="Z11" s="92" t="s">
        <v>427</v>
      </c>
      <c r="AC11" s="183" t="s">
        <v>573</v>
      </c>
      <c r="AD11" s="184" t="s">
        <v>581</v>
      </c>
      <c r="AE11" s="185"/>
      <c r="AF11" s="185"/>
      <c r="AG11" s="185"/>
      <c r="AH11" s="185"/>
      <c r="AI11" s="185"/>
      <c r="AJ11" s="186"/>
    </row>
    <row r="12" spans="2:36" ht="16.2" x14ac:dyDescent="0.35">
      <c r="B12" s="9"/>
      <c r="C12" s="18"/>
      <c r="D12" s="10"/>
      <c r="E12" s="11" t="s">
        <v>384</v>
      </c>
      <c r="F12" s="12" t="s">
        <v>12</v>
      </c>
      <c r="G12" s="13">
        <v>10</v>
      </c>
      <c r="H12" s="42"/>
      <c r="I12" s="31" t="s">
        <v>428</v>
      </c>
      <c r="J12" s="34" t="s">
        <v>58</v>
      </c>
      <c r="K12" s="33" t="s">
        <v>142</v>
      </c>
      <c r="L12" s="31" t="s">
        <v>429</v>
      </c>
      <c r="M12" s="36" t="s">
        <v>156</v>
      </c>
      <c r="N12" s="32" t="s">
        <v>250</v>
      </c>
      <c r="O12" s="32" t="s">
        <v>251</v>
      </c>
      <c r="P12" s="33" t="s">
        <v>115</v>
      </c>
      <c r="Q12" s="31" t="s">
        <v>404</v>
      </c>
      <c r="R12" s="32" t="s">
        <v>116</v>
      </c>
      <c r="S12" s="32" t="s">
        <v>252</v>
      </c>
      <c r="T12" s="32" t="s">
        <v>253</v>
      </c>
      <c r="U12" s="32" t="s">
        <v>254</v>
      </c>
      <c r="V12" s="33" t="s">
        <v>255</v>
      </c>
      <c r="W12" s="31" t="s">
        <v>256</v>
      </c>
      <c r="X12" s="32" t="s">
        <v>257</v>
      </c>
      <c r="Y12" s="88" t="s">
        <v>258</v>
      </c>
      <c r="Z12" s="92" t="s">
        <v>430</v>
      </c>
    </row>
    <row r="13" spans="2:36" ht="16.2" x14ac:dyDescent="0.35">
      <c r="B13" s="30" t="s">
        <v>40</v>
      </c>
      <c r="C13" s="19" t="s">
        <v>0</v>
      </c>
      <c r="D13" s="10"/>
      <c r="E13" s="11" t="s">
        <v>385</v>
      </c>
      <c r="F13" s="12" t="s">
        <v>13</v>
      </c>
      <c r="G13" s="13">
        <v>11</v>
      </c>
      <c r="H13" s="42"/>
      <c r="I13" s="31" t="s">
        <v>431</v>
      </c>
      <c r="J13" s="34" t="s">
        <v>59</v>
      </c>
      <c r="K13" s="33" t="s">
        <v>143</v>
      </c>
      <c r="L13" s="31" t="s">
        <v>432</v>
      </c>
      <c r="M13" s="36" t="s">
        <v>157</v>
      </c>
      <c r="N13" s="32" t="s">
        <v>259</v>
      </c>
      <c r="O13" s="32" t="s">
        <v>260</v>
      </c>
      <c r="P13" s="33" t="s">
        <v>117</v>
      </c>
      <c r="Q13" s="31" t="s">
        <v>405</v>
      </c>
      <c r="R13" s="32" t="s">
        <v>118</v>
      </c>
      <c r="S13" s="32" t="s">
        <v>261</v>
      </c>
      <c r="T13" s="32" t="s">
        <v>262</v>
      </c>
      <c r="U13" s="32" t="s">
        <v>263</v>
      </c>
      <c r="V13" s="33" t="s">
        <v>264</v>
      </c>
      <c r="W13" s="31" t="s">
        <v>265</v>
      </c>
      <c r="X13" s="32" t="s">
        <v>266</v>
      </c>
      <c r="Y13" s="88" t="s">
        <v>267</v>
      </c>
      <c r="Z13" s="92" t="s">
        <v>433</v>
      </c>
    </row>
    <row r="14" spans="2:36" ht="18" x14ac:dyDescent="0.35">
      <c r="B14" s="45" t="s">
        <v>33</v>
      </c>
      <c r="C14" s="18" t="s">
        <v>375</v>
      </c>
      <c r="D14" s="10"/>
      <c r="E14" s="11" t="s">
        <v>386</v>
      </c>
      <c r="F14" s="12" t="s">
        <v>14</v>
      </c>
      <c r="G14" s="13">
        <v>12</v>
      </c>
      <c r="H14" s="42"/>
      <c r="I14" s="31" t="s">
        <v>434</v>
      </c>
      <c r="J14" s="34" t="s">
        <v>60</v>
      </c>
      <c r="K14" s="33" t="s">
        <v>144</v>
      </c>
      <c r="L14" s="31" t="s">
        <v>435</v>
      </c>
      <c r="M14" s="36" t="s">
        <v>158</v>
      </c>
      <c r="N14" s="32" t="s">
        <v>268</v>
      </c>
      <c r="O14" s="32" t="s">
        <v>269</v>
      </c>
      <c r="P14" s="33" t="s">
        <v>119</v>
      </c>
      <c r="Q14" s="31" t="s">
        <v>406</v>
      </c>
      <c r="R14" s="32" t="s">
        <v>120</v>
      </c>
      <c r="S14" s="32" t="s">
        <v>270</v>
      </c>
      <c r="T14" s="32" t="s">
        <v>271</v>
      </c>
      <c r="U14" s="32" t="s">
        <v>272</v>
      </c>
      <c r="V14" s="33" t="s">
        <v>273</v>
      </c>
      <c r="W14" s="31" t="s">
        <v>274</v>
      </c>
      <c r="X14" s="32" t="s">
        <v>275</v>
      </c>
      <c r="Y14" s="88" t="s">
        <v>276</v>
      </c>
      <c r="Z14" s="92" t="s">
        <v>436</v>
      </c>
    </row>
    <row r="15" spans="2:36" ht="18" x14ac:dyDescent="0.35">
      <c r="B15" s="45" t="s">
        <v>34</v>
      </c>
      <c r="C15" s="18" t="s">
        <v>377</v>
      </c>
      <c r="D15" s="10"/>
      <c r="E15" s="11" t="s">
        <v>387</v>
      </c>
      <c r="F15" s="12" t="s">
        <v>15</v>
      </c>
      <c r="G15" s="13">
        <v>13</v>
      </c>
      <c r="H15" s="42"/>
      <c r="I15" s="31" t="s">
        <v>437</v>
      </c>
      <c r="J15" s="34" t="s">
        <v>61</v>
      </c>
      <c r="K15" s="33" t="s">
        <v>145</v>
      </c>
      <c r="L15" s="31" t="s">
        <v>438</v>
      </c>
      <c r="M15" s="36" t="s">
        <v>159</v>
      </c>
      <c r="N15" s="32" t="s">
        <v>277</v>
      </c>
      <c r="O15" s="32" t="s">
        <v>278</v>
      </c>
      <c r="P15" s="33" t="s">
        <v>121</v>
      </c>
      <c r="Q15" s="31" t="s">
        <v>407</v>
      </c>
      <c r="R15" s="32" t="s">
        <v>122</v>
      </c>
      <c r="S15" s="32" t="s">
        <v>279</v>
      </c>
      <c r="T15" s="32" t="s">
        <v>280</v>
      </c>
      <c r="U15" s="32" t="s">
        <v>281</v>
      </c>
      <c r="V15" s="33" t="s">
        <v>282</v>
      </c>
      <c r="W15" s="31" t="s">
        <v>283</v>
      </c>
      <c r="X15" s="32" t="s">
        <v>284</v>
      </c>
      <c r="Y15" s="88" t="s">
        <v>285</v>
      </c>
      <c r="Z15" s="92" t="s">
        <v>439</v>
      </c>
    </row>
    <row r="16" spans="2:36" ht="16.2" x14ac:dyDescent="0.35">
      <c r="B16" s="9"/>
      <c r="C16" s="18"/>
      <c r="D16" s="10"/>
      <c r="E16" s="11" t="s">
        <v>388</v>
      </c>
      <c r="F16" s="12" t="s">
        <v>16</v>
      </c>
      <c r="G16" s="13">
        <v>14</v>
      </c>
      <c r="H16" s="42"/>
      <c r="I16" s="31" t="s">
        <v>440</v>
      </c>
      <c r="J16" s="34" t="s">
        <v>62</v>
      </c>
      <c r="K16" s="33" t="s">
        <v>146</v>
      </c>
      <c r="L16" s="31" t="s">
        <v>441</v>
      </c>
      <c r="M16" s="36" t="s">
        <v>160</v>
      </c>
      <c r="N16" s="32" t="s">
        <v>286</v>
      </c>
      <c r="O16" s="32" t="s">
        <v>287</v>
      </c>
      <c r="P16" s="33" t="s">
        <v>123</v>
      </c>
      <c r="Q16" s="31" t="s">
        <v>408</v>
      </c>
      <c r="R16" s="32" t="s">
        <v>124</v>
      </c>
      <c r="S16" s="32" t="s">
        <v>288</v>
      </c>
      <c r="T16" s="32" t="s">
        <v>289</v>
      </c>
      <c r="U16" s="32" t="s">
        <v>290</v>
      </c>
      <c r="V16" s="33" t="s">
        <v>291</v>
      </c>
      <c r="W16" s="31" t="s">
        <v>292</v>
      </c>
      <c r="X16" s="32" t="s">
        <v>293</v>
      </c>
      <c r="Y16" s="88" t="s">
        <v>294</v>
      </c>
      <c r="Z16" s="92" t="s">
        <v>442</v>
      </c>
    </row>
    <row r="17" spans="2:26" ht="16.2" x14ac:dyDescent="0.35">
      <c r="B17" s="30" t="s">
        <v>41</v>
      </c>
      <c r="C17" s="19" t="s">
        <v>0</v>
      </c>
      <c r="D17" s="10"/>
      <c r="E17" s="11" t="s">
        <v>389</v>
      </c>
      <c r="F17" s="12" t="s">
        <v>17</v>
      </c>
      <c r="G17" s="13">
        <v>15</v>
      </c>
      <c r="H17" s="42"/>
      <c r="I17" s="31" t="s">
        <v>443</v>
      </c>
      <c r="J17" s="34" t="s">
        <v>63</v>
      </c>
      <c r="K17" s="33" t="s">
        <v>147</v>
      </c>
      <c r="L17" s="31" t="s">
        <v>444</v>
      </c>
      <c r="M17" s="36" t="s">
        <v>161</v>
      </c>
      <c r="N17" s="32" t="s">
        <v>295</v>
      </c>
      <c r="O17" s="32" t="s">
        <v>296</v>
      </c>
      <c r="P17" s="33" t="s">
        <v>125</v>
      </c>
      <c r="Q17" s="31" t="s">
        <v>409</v>
      </c>
      <c r="R17" s="32" t="s">
        <v>126</v>
      </c>
      <c r="S17" s="32" t="s">
        <v>297</v>
      </c>
      <c r="T17" s="32" t="s">
        <v>298</v>
      </c>
      <c r="U17" s="32" t="s">
        <v>299</v>
      </c>
      <c r="V17" s="33" t="s">
        <v>300</v>
      </c>
      <c r="W17" s="31" t="s">
        <v>301</v>
      </c>
      <c r="X17" s="32" t="s">
        <v>302</v>
      </c>
      <c r="Y17" s="88" t="s">
        <v>303</v>
      </c>
      <c r="Z17" s="92" t="s">
        <v>445</v>
      </c>
    </row>
    <row r="18" spans="2:26" ht="18" x14ac:dyDescent="0.35">
      <c r="B18" s="45" t="s">
        <v>35</v>
      </c>
      <c r="C18" s="18" t="s">
        <v>378</v>
      </c>
      <c r="D18" s="10"/>
      <c r="E18" s="11" t="s">
        <v>390</v>
      </c>
      <c r="F18" s="12" t="s">
        <v>18</v>
      </c>
      <c r="G18" s="13">
        <v>16</v>
      </c>
      <c r="H18" s="42"/>
      <c r="I18" s="31" t="s">
        <v>446</v>
      </c>
      <c r="J18" s="34" t="s">
        <v>64</v>
      </c>
      <c r="K18" s="33" t="s">
        <v>148</v>
      </c>
      <c r="L18" s="31" t="s">
        <v>447</v>
      </c>
      <c r="M18" s="36" t="s">
        <v>162</v>
      </c>
      <c r="N18" s="32" t="s">
        <v>304</v>
      </c>
      <c r="O18" s="32" t="s">
        <v>305</v>
      </c>
      <c r="P18" s="33" t="s">
        <v>127</v>
      </c>
      <c r="Q18" s="31" t="s">
        <v>410</v>
      </c>
      <c r="R18" s="32" t="s">
        <v>128</v>
      </c>
      <c r="S18" s="32" t="s">
        <v>306</v>
      </c>
      <c r="T18" s="32" t="s">
        <v>307</v>
      </c>
      <c r="U18" s="32" t="s">
        <v>308</v>
      </c>
      <c r="V18" s="33" t="s">
        <v>309</v>
      </c>
      <c r="W18" s="31" t="s">
        <v>310</v>
      </c>
      <c r="X18" s="32" t="s">
        <v>311</v>
      </c>
      <c r="Y18" s="88" t="s">
        <v>312</v>
      </c>
      <c r="Z18" s="92" t="s">
        <v>448</v>
      </c>
    </row>
    <row r="19" spans="2:26" ht="18" x14ac:dyDescent="0.35">
      <c r="B19" s="45" t="s">
        <v>36</v>
      </c>
      <c r="C19" s="18" t="s">
        <v>379</v>
      </c>
      <c r="D19" s="10"/>
      <c r="E19" s="11" t="s">
        <v>391</v>
      </c>
      <c r="F19" s="12" t="s">
        <v>19</v>
      </c>
      <c r="G19" s="13">
        <v>17</v>
      </c>
      <c r="H19" s="42"/>
      <c r="I19" s="31" t="s">
        <v>449</v>
      </c>
      <c r="J19" s="34" t="s">
        <v>65</v>
      </c>
      <c r="K19" s="33" t="s">
        <v>149</v>
      </c>
      <c r="L19" s="31" t="s">
        <v>450</v>
      </c>
      <c r="M19" s="36" t="s">
        <v>163</v>
      </c>
      <c r="N19" s="32" t="s">
        <v>313</v>
      </c>
      <c r="O19" s="32" t="s">
        <v>314</v>
      </c>
      <c r="P19" s="33" t="s">
        <v>129</v>
      </c>
      <c r="Q19" s="31" t="s">
        <v>411</v>
      </c>
      <c r="R19" s="32" t="s">
        <v>130</v>
      </c>
      <c r="S19" s="32" t="s">
        <v>315</v>
      </c>
      <c r="T19" s="32" t="s">
        <v>316</v>
      </c>
      <c r="U19" s="32" t="s">
        <v>317</v>
      </c>
      <c r="V19" s="33" t="s">
        <v>318</v>
      </c>
      <c r="W19" s="31" t="s">
        <v>319</v>
      </c>
      <c r="X19" s="32" t="s">
        <v>320</v>
      </c>
      <c r="Y19" s="88" t="s">
        <v>321</v>
      </c>
      <c r="Z19" s="92" t="s">
        <v>451</v>
      </c>
    </row>
    <row r="20" spans="2:26" ht="18" x14ac:dyDescent="0.35">
      <c r="B20" s="45" t="s">
        <v>37</v>
      </c>
      <c r="C20" s="18" t="s">
        <v>380</v>
      </c>
      <c r="D20" s="10"/>
      <c r="E20" s="11" t="s">
        <v>392</v>
      </c>
      <c r="F20" s="12" t="s">
        <v>20</v>
      </c>
      <c r="G20" s="13">
        <v>18</v>
      </c>
      <c r="H20" s="42"/>
      <c r="I20" s="31" t="s">
        <v>452</v>
      </c>
      <c r="J20" s="34" t="s">
        <v>66</v>
      </c>
      <c r="K20" s="33" t="s">
        <v>150</v>
      </c>
      <c r="L20" s="31" t="s">
        <v>453</v>
      </c>
      <c r="M20" s="36" t="s">
        <v>164</v>
      </c>
      <c r="N20" s="32" t="s">
        <v>322</v>
      </c>
      <c r="O20" s="32" t="s">
        <v>323</v>
      </c>
      <c r="P20" s="33" t="s">
        <v>131</v>
      </c>
      <c r="Q20" s="31" t="s">
        <v>412</v>
      </c>
      <c r="R20" s="32" t="s">
        <v>132</v>
      </c>
      <c r="S20" s="32" t="s">
        <v>324</v>
      </c>
      <c r="T20" s="32" t="s">
        <v>325</v>
      </c>
      <c r="U20" s="32" t="s">
        <v>326</v>
      </c>
      <c r="V20" s="33" t="s">
        <v>327</v>
      </c>
      <c r="W20" s="31" t="s">
        <v>328</v>
      </c>
      <c r="X20" s="32" t="s">
        <v>329</v>
      </c>
      <c r="Y20" s="88" t="s">
        <v>330</v>
      </c>
      <c r="Z20" s="92" t="s">
        <v>454</v>
      </c>
    </row>
    <row r="21" spans="2:26" ht="18" x14ac:dyDescent="0.35">
      <c r="B21" s="45" t="s">
        <v>38</v>
      </c>
      <c r="C21" s="18" t="s">
        <v>381</v>
      </c>
      <c r="D21" s="10"/>
      <c r="E21" s="11" t="s">
        <v>393</v>
      </c>
      <c r="F21" s="12" t="s">
        <v>21</v>
      </c>
      <c r="G21" s="13">
        <v>19</v>
      </c>
      <c r="H21" s="42"/>
      <c r="I21" s="31" t="s">
        <v>455</v>
      </c>
      <c r="J21" s="34" t="s">
        <v>67</v>
      </c>
      <c r="K21" s="33" t="s">
        <v>151</v>
      </c>
      <c r="L21" s="31" t="s">
        <v>456</v>
      </c>
      <c r="M21" s="36" t="s">
        <v>165</v>
      </c>
      <c r="N21" s="32" t="s">
        <v>331</v>
      </c>
      <c r="O21" s="32" t="s">
        <v>332</v>
      </c>
      <c r="P21" s="33" t="s">
        <v>133</v>
      </c>
      <c r="Q21" s="31" t="s">
        <v>413</v>
      </c>
      <c r="R21" s="32" t="s">
        <v>134</v>
      </c>
      <c r="S21" s="32" t="s">
        <v>333</v>
      </c>
      <c r="T21" s="32" t="s">
        <v>334</v>
      </c>
      <c r="U21" s="32" t="s">
        <v>335</v>
      </c>
      <c r="V21" s="33" t="s">
        <v>336</v>
      </c>
      <c r="W21" s="31" t="s">
        <v>337</v>
      </c>
      <c r="X21" s="32" t="s">
        <v>338</v>
      </c>
      <c r="Y21" s="88" t="s">
        <v>339</v>
      </c>
      <c r="Z21" s="92" t="s">
        <v>457</v>
      </c>
    </row>
    <row r="22" spans="2:26" ht="16.2" x14ac:dyDescent="0.35">
      <c r="B22" s="9"/>
      <c r="C22" s="18"/>
      <c r="D22" s="10"/>
      <c r="E22" s="11" t="s">
        <v>394</v>
      </c>
      <c r="F22" s="12" t="s">
        <v>22</v>
      </c>
      <c r="G22" s="13">
        <v>20</v>
      </c>
      <c r="H22" s="42"/>
      <c r="I22" s="31" t="s">
        <v>458</v>
      </c>
      <c r="J22" s="34" t="s">
        <v>68</v>
      </c>
      <c r="K22" s="33" t="s">
        <v>152</v>
      </c>
      <c r="L22" s="31" t="s">
        <v>459</v>
      </c>
      <c r="M22" s="36" t="s">
        <v>166</v>
      </c>
      <c r="N22" s="32" t="s">
        <v>340</v>
      </c>
      <c r="O22" s="32" t="s">
        <v>341</v>
      </c>
      <c r="P22" s="33" t="s">
        <v>135</v>
      </c>
      <c r="Q22" s="31" t="s">
        <v>414</v>
      </c>
      <c r="R22" s="32" t="s">
        <v>136</v>
      </c>
      <c r="S22" s="32" t="s">
        <v>342</v>
      </c>
      <c r="T22" s="32" t="s">
        <v>343</v>
      </c>
      <c r="U22" s="32" t="s">
        <v>344</v>
      </c>
      <c r="V22" s="33" t="s">
        <v>345</v>
      </c>
      <c r="W22" s="31" t="s">
        <v>346</v>
      </c>
      <c r="X22" s="32" t="s">
        <v>347</v>
      </c>
      <c r="Y22" s="88" t="s">
        <v>348</v>
      </c>
      <c r="Z22" s="92" t="s">
        <v>460</v>
      </c>
    </row>
    <row r="23" spans="2:26" ht="16.2" x14ac:dyDescent="0.35">
      <c r="B23" s="9"/>
      <c r="C23" s="18"/>
      <c r="D23" s="10"/>
      <c r="E23" s="11" t="s">
        <v>395</v>
      </c>
      <c r="F23" s="12" t="s">
        <v>13</v>
      </c>
      <c r="G23" s="13">
        <v>21</v>
      </c>
      <c r="H23" s="42"/>
      <c r="I23" s="31" t="s">
        <v>461</v>
      </c>
      <c r="J23" s="34" t="s">
        <v>69</v>
      </c>
      <c r="K23" s="33" t="s">
        <v>153</v>
      </c>
      <c r="L23" s="31" t="s">
        <v>462</v>
      </c>
      <c r="M23" s="36" t="s">
        <v>167</v>
      </c>
      <c r="N23" s="32" t="s">
        <v>349</v>
      </c>
      <c r="O23" s="32" t="s">
        <v>350</v>
      </c>
      <c r="P23" s="33" t="s">
        <v>137</v>
      </c>
      <c r="Q23" s="31" t="s">
        <v>415</v>
      </c>
      <c r="R23" s="32" t="s">
        <v>138</v>
      </c>
      <c r="S23" s="32" t="s">
        <v>351</v>
      </c>
      <c r="T23" s="32" t="s">
        <v>352</v>
      </c>
      <c r="U23" s="32" t="s">
        <v>353</v>
      </c>
      <c r="V23" s="33" t="s">
        <v>354</v>
      </c>
      <c r="W23" s="31" t="s">
        <v>355</v>
      </c>
      <c r="X23" s="32" t="s">
        <v>356</v>
      </c>
      <c r="Y23" s="88" t="s">
        <v>357</v>
      </c>
      <c r="Z23" s="92" t="s">
        <v>463</v>
      </c>
    </row>
    <row r="24" spans="2:26" ht="16.8" thickBot="1" x14ac:dyDescent="0.4">
      <c r="B24" s="20"/>
      <c r="C24" s="21"/>
      <c r="D24" s="10"/>
      <c r="E24" s="22" t="s">
        <v>396</v>
      </c>
      <c r="F24" s="23" t="s">
        <v>23</v>
      </c>
      <c r="G24" s="24">
        <v>22</v>
      </c>
      <c r="H24" s="42"/>
      <c r="I24" s="37" t="s">
        <v>464</v>
      </c>
      <c r="J24" s="38" t="s">
        <v>70</v>
      </c>
      <c r="K24" s="39" t="s">
        <v>154</v>
      </c>
      <c r="L24" s="37" t="s">
        <v>465</v>
      </c>
      <c r="M24" s="38" t="s">
        <v>168</v>
      </c>
      <c r="N24" s="40" t="s">
        <v>358</v>
      </c>
      <c r="O24" s="40" t="s">
        <v>359</v>
      </c>
      <c r="P24" s="39" t="s">
        <v>139</v>
      </c>
      <c r="Q24" s="37" t="s">
        <v>416</v>
      </c>
      <c r="R24" s="40" t="s">
        <v>140</v>
      </c>
      <c r="S24" s="40" t="s">
        <v>360</v>
      </c>
      <c r="T24" s="40" t="s">
        <v>361</v>
      </c>
      <c r="U24" s="40" t="s">
        <v>362</v>
      </c>
      <c r="V24" s="39" t="s">
        <v>363</v>
      </c>
      <c r="W24" s="37" t="s">
        <v>364</v>
      </c>
      <c r="X24" s="40" t="s">
        <v>365</v>
      </c>
      <c r="Y24" s="91" t="s">
        <v>366</v>
      </c>
      <c r="Z24" s="94" t="s">
        <v>466</v>
      </c>
    </row>
    <row r="25" spans="2:26" s="2" customFormat="1" ht="4.95" customHeight="1" thickBot="1" x14ac:dyDescent="0.4">
      <c r="B25" s="25"/>
      <c r="C25" s="26"/>
      <c r="D25" s="10"/>
      <c r="E25" s="14"/>
      <c r="F25" s="14"/>
      <c r="G25" s="14"/>
      <c r="H25" s="14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2:26" s="2" customFormat="1" ht="16.2" customHeight="1" thickBot="1" x14ac:dyDescent="0.4">
      <c r="B26" s="190">
        <v>1</v>
      </c>
      <c r="C26" s="192"/>
      <c r="D26" s="8"/>
      <c r="E26" s="190">
        <v>2</v>
      </c>
      <c r="F26" s="191"/>
      <c r="G26" s="192"/>
      <c r="H26" s="8"/>
      <c r="I26" s="190">
        <v>3</v>
      </c>
      <c r="J26" s="191"/>
      <c r="K26" s="192"/>
      <c r="L26" s="190">
        <v>4</v>
      </c>
      <c r="M26" s="191"/>
      <c r="N26" s="191"/>
      <c r="O26" s="191"/>
      <c r="P26" s="192"/>
      <c r="Q26" s="190">
        <v>5</v>
      </c>
      <c r="R26" s="191"/>
      <c r="S26" s="191"/>
      <c r="T26" s="191"/>
      <c r="U26" s="191"/>
      <c r="V26" s="192"/>
      <c r="W26" s="190">
        <v>6</v>
      </c>
      <c r="X26" s="191"/>
      <c r="Y26" s="192"/>
      <c r="Z26" s="28">
        <v>7</v>
      </c>
    </row>
    <row r="27" spans="2:26" s="2" customFormat="1" ht="21" customHeight="1" x14ac:dyDescent="0.3">
      <c r="B27" s="4"/>
      <c r="C27" s="3"/>
      <c r="E27" s="3"/>
      <c r="F27" s="3"/>
      <c r="G27" s="3"/>
      <c r="H27" s="3"/>
      <c r="I27" s="3"/>
      <c r="J27" s="3"/>
    </row>
    <row r="28" spans="2:26" s="2" customFormat="1" x14ac:dyDescent="0.3">
      <c r="B28" s="4"/>
      <c r="C28" s="3"/>
      <c r="E28" s="3"/>
      <c r="F28" s="3"/>
      <c r="G28" s="3"/>
      <c r="H28" s="3"/>
      <c r="I28" s="3"/>
      <c r="J28" s="3"/>
    </row>
    <row r="29" spans="2:26" s="2" customFormat="1" x14ac:dyDescent="0.3">
      <c r="B29" s="4"/>
      <c r="C29" s="3"/>
      <c r="E29" s="3"/>
      <c r="F29" s="3"/>
      <c r="G29" s="3"/>
      <c r="H29" s="3"/>
      <c r="I29" s="3"/>
      <c r="J29" s="3"/>
    </row>
    <row r="30" spans="2:26" s="2" customFormat="1" x14ac:dyDescent="0.3">
      <c r="B30" s="4"/>
      <c r="C30" s="3"/>
      <c r="E30" s="3"/>
      <c r="F30" s="3"/>
      <c r="G30" s="3"/>
      <c r="H30" s="3"/>
      <c r="I30" s="3"/>
      <c r="J30" s="3"/>
    </row>
    <row r="31" spans="2:26" s="2" customFormat="1" x14ac:dyDescent="0.3">
      <c r="B31" s="4"/>
      <c r="C31" s="3"/>
      <c r="E31" s="3"/>
      <c r="F31" s="3"/>
      <c r="G31" s="3"/>
      <c r="H31" s="3"/>
      <c r="I31" s="3"/>
      <c r="J31" s="3"/>
    </row>
    <row r="32" spans="2:26" s="2" customFormat="1" x14ac:dyDescent="0.3">
      <c r="B32" s="4"/>
      <c r="C32" s="3"/>
      <c r="E32" s="3"/>
      <c r="F32" s="3"/>
      <c r="G32" s="3"/>
      <c r="H32" s="3"/>
      <c r="I32" s="3"/>
      <c r="J32" s="3"/>
    </row>
    <row r="33" spans="2:10" s="2" customFormat="1" x14ac:dyDescent="0.3">
      <c r="B33" s="4"/>
      <c r="C33" s="3"/>
      <c r="E33" s="3"/>
      <c r="F33" s="3"/>
      <c r="G33" s="3"/>
      <c r="H33" s="3"/>
      <c r="I33" s="3"/>
      <c r="J33" s="3"/>
    </row>
    <row r="34" spans="2:10" s="2" customFormat="1" x14ac:dyDescent="0.3">
      <c r="B34" s="4"/>
      <c r="C34" s="3"/>
      <c r="E34" s="3"/>
      <c r="F34" s="3"/>
      <c r="G34" s="3"/>
      <c r="H34" s="3"/>
      <c r="I34" s="3"/>
      <c r="J34" s="3"/>
    </row>
    <row r="35" spans="2:10" s="2" customFormat="1" x14ac:dyDescent="0.3">
      <c r="B35" s="4"/>
      <c r="C35" s="3"/>
      <c r="E35" s="3"/>
      <c r="F35" s="3"/>
      <c r="G35" s="3"/>
      <c r="H35" s="3"/>
      <c r="I35" s="3"/>
      <c r="J35" s="3"/>
    </row>
    <row r="36" spans="2:10" s="2" customFormat="1" x14ac:dyDescent="0.3">
      <c r="B36" s="4"/>
      <c r="C36" s="3"/>
      <c r="E36" s="3"/>
      <c r="F36" s="3"/>
      <c r="G36" s="3"/>
      <c r="H36" s="3"/>
      <c r="I36" s="3"/>
      <c r="J36" s="3"/>
    </row>
    <row r="37" spans="2:10" s="2" customFormat="1" x14ac:dyDescent="0.3">
      <c r="B37" s="4"/>
      <c r="C37" s="3"/>
      <c r="E37" s="3"/>
      <c r="F37" s="3"/>
      <c r="G37" s="3"/>
      <c r="H37" s="3"/>
      <c r="I37" s="3"/>
      <c r="J37" s="3"/>
    </row>
    <row r="38" spans="2:10" s="2" customFormat="1" x14ac:dyDescent="0.3">
      <c r="B38" s="4"/>
      <c r="C38" s="3"/>
      <c r="E38" s="3"/>
      <c r="F38" s="3"/>
      <c r="G38" s="3"/>
      <c r="H38" s="3"/>
      <c r="I38" s="3"/>
      <c r="J38" s="3"/>
    </row>
    <row r="39" spans="2:10" s="2" customFormat="1" x14ac:dyDescent="0.3">
      <c r="B39" s="4"/>
      <c r="C39" s="3"/>
      <c r="E39" s="3"/>
      <c r="F39" s="3"/>
      <c r="G39" s="3"/>
      <c r="H39" s="3"/>
      <c r="I39" s="3"/>
      <c r="J39" s="3"/>
    </row>
    <row r="40" spans="2:10" s="2" customFormat="1" x14ac:dyDescent="0.3">
      <c r="B40" s="4"/>
      <c r="C40" s="3"/>
      <c r="E40" s="3"/>
      <c r="F40" s="3"/>
      <c r="G40" s="3"/>
      <c r="H40" s="3"/>
      <c r="I40" s="3"/>
      <c r="J40" s="3"/>
    </row>
  </sheetData>
  <mergeCells count="7">
    <mergeCell ref="AC3:AJ3"/>
    <mergeCell ref="W26:Y26"/>
    <mergeCell ref="B26:C26"/>
    <mergeCell ref="E26:G26"/>
    <mergeCell ref="I26:K26"/>
    <mergeCell ref="L26:P26"/>
    <mergeCell ref="Q26:V26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3A59-6B12-4DC4-82C1-C4F89984B0E8}">
  <dimension ref="A1:AA28"/>
  <sheetViews>
    <sheetView workbookViewId="0">
      <selection activeCell="F10" sqref="F10"/>
    </sheetView>
  </sheetViews>
  <sheetFormatPr defaultRowHeight="15.6" x14ac:dyDescent="0.3"/>
  <cols>
    <col min="1" max="1" width="1.88671875" style="2" customWidth="1"/>
    <col min="2" max="2" width="4.88671875" style="5" customWidth="1"/>
    <col min="3" max="3" width="11.33203125" style="1" customWidth="1"/>
    <col min="4" max="4" width="2.6640625" style="2" customWidth="1"/>
    <col min="5" max="5" width="6" style="1" bestFit="1" customWidth="1"/>
    <col min="6" max="6" width="10.88671875" style="1" bestFit="1" customWidth="1"/>
    <col min="7" max="7" width="3" style="1" bestFit="1" customWidth="1"/>
    <col min="8" max="8" width="1.44140625" style="3" customWidth="1"/>
    <col min="9" max="9" width="8.88671875" style="1" bestFit="1" customWidth="1"/>
    <col min="10" max="10" width="7.6640625" style="1" bestFit="1" customWidth="1"/>
    <col min="11" max="12" width="9.33203125" bestFit="1" customWidth="1"/>
    <col min="13" max="13" width="10.44140625" bestFit="1" customWidth="1"/>
    <col min="14" max="14" width="9.33203125" bestFit="1" customWidth="1"/>
    <col min="15" max="15" width="9.6640625" bestFit="1" customWidth="1"/>
    <col min="16" max="16" width="7.5546875" customWidth="1"/>
    <col min="17" max="17" width="6.6640625" bestFit="1" customWidth="1"/>
    <col min="18" max="18" width="9.33203125" bestFit="1" customWidth="1"/>
    <col min="19" max="19" width="8.33203125" bestFit="1" customWidth="1"/>
    <col min="20" max="20" width="8.88671875" bestFit="1" customWidth="1"/>
    <col min="21" max="21" width="10.5546875" bestFit="1" customWidth="1"/>
    <col min="22" max="22" width="5.44140625" bestFit="1" customWidth="1"/>
    <col min="23" max="23" width="7.6640625" bestFit="1" customWidth="1"/>
    <col min="24" max="24" width="8.33203125" bestFit="1" customWidth="1"/>
    <col min="25" max="25" width="6.44140625" bestFit="1" customWidth="1"/>
    <col min="26" max="26" width="7.33203125" customWidth="1"/>
    <col min="27" max="27" width="10.109375" style="2" customWidth="1"/>
  </cols>
  <sheetData>
    <row r="1" spans="2:26" s="2" customFormat="1" ht="6.6" customHeight="1" thickBot="1" x14ac:dyDescent="0.35">
      <c r="B1" s="4"/>
      <c r="C1" s="3"/>
      <c r="E1" s="3"/>
      <c r="F1" s="3"/>
      <c r="G1" s="3"/>
      <c r="H1" s="3"/>
      <c r="I1" s="3"/>
      <c r="J1" s="3"/>
    </row>
    <row r="2" spans="2:26" s="2" customFormat="1" ht="20.399999999999999" customHeight="1" x14ac:dyDescent="0.5">
      <c r="B2" s="29" t="s">
        <v>39</v>
      </c>
      <c r="C2" s="6" t="s">
        <v>0</v>
      </c>
      <c r="D2" s="7"/>
      <c r="E2" s="46" t="s">
        <v>469</v>
      </c>
      <c r="F2" s="47" t="s">
        <v>470</v>
      </c>
      <c r="G2" s="48" t="s">
        <v>468</v>
      </c>
      <c r="H2" s="8"/>
      <c r="I2" s="46" t="s">
        <v>471</v>
      </c>
      <c r="J2" s="49" t="s">
        <v>472</v>
      </c>
      <c r="K2" s="48" t="s">
        <v>473</v>
      </c>
      <c r="L2" s="46" t="s">
        <v>474</v>
      </c>
      <c r="M2" s="47" t="s">
        <v>475</v>
      </c>
      <c r="N2" s="47" t="s">
        <v>479</v>
      </c>
      <c r="O2" s="47" t="s">
        <v>476</v>
      </c>
      <c r="P2" s="48" t="s">
        <v>477</v>
      </c>
      <c r="Q2" s="50" t="s">
        <v>478</v>
      </c>
      <c r="R2" s="47" t="s">
        <v>479</v>
      </c>
      <c r="S2" s="47" t="s">
        <v>484</v>
      </c>
      <c r="T2" s="47" t="s">
        <v>480</v>
      </c>
      <c r="U2" s="47" t="s">
        <v>481</v>
      </c>
      <c r="V2" s="48" t="s">
        <v>482</v>
      </c>
      <c r="W2" s="46" t="s">
        <v>483</v>
      </c>
      <c r="X2" s="47" t="s">
        <v>484</v>
      </c>
      <c r="Y2" s="48" t="s">
        <v>485</v>
      </c>
      <c r="Z2" s="51" t="s">
        <v>564</v>
      </c>
    </row>
    <row r="3" spans="2:26" s="2" customFormat="1" ht="18" x14ac:dyDescent="0.35">
      <c r="B3" s="45" t="s">
        <v>24</v>
      </c>
      <c r="C3" s="121">
        <f>Dashboard!D5</f>
        <v>100000</v>
      </c>
      <c r="D3" s="10"/>
      <c r="E3" s="11" t="s">
        <v>1</v>
      </c>
      <c r="F3" s="12" t="s">
        <v>2</v>
      </c>
      <c r="G3" s="13">
        <v>1</v>
      </c>
      <c r="H3" s="42"/>
      <c r="I3" s="31">
        <f>C3-L3-Q3-W3</f>
        <v>99954.43</v>
      </c>
      <c r="J3" s="32">
        <f>I3*$C$14*$C$19</f>
        <v>45.549233750999989</v>
      </c>
      <c r="K3" s="33">
        <f>I3-J3</f>
        <v>99908.880766249</v>
      </c>
      <c r="L3" s="31">
        <f>C3*$C$14*$C$19*0.5</f>
        <v>22.784999999999997</v>
      </c>
      <c r="M3" s="32">
        <v>0</v>
      </c>
      <c r="N3" s="32">
        <f>L3*$C$6</f>
        <v>5.6962499999999991</v>
      </c>
      <c r="O3" s="34"/>
      <c r="P3" s="33">
        <f>L3+M3-N3-O3</f>
        <v>17.088749999999997</v>
      </c>
      <c r="Q3" s="31">
        <f>C3*$C$14*$C$19*0.5</f>
        <v>22.784999999999997</v>
      </c>
      <c r="R3" s="32">
        <v>0</v>
      </c>
      <c r="S3" s="32">
        <f>Q3*$C$8</f>
        <v>1.6274999999999997</v>
      </c>
      <c r="T3" s="34"/>
      <c r="U3" s="32">
        <f>Q3*$C$9*(1-$C$21)</f>
        <v>2.8709099999999994</v>
      </c>
      <c r="V3" s="33">
        <f>Q3+R3-S3-T3-U3</f>
        <v>18.286589999999997</v>
      </c>
      <c r="W3" s="31">
        <v>0</v>
      </c>
      <c r="X3" s="32">
        <v>0</v>
      </c>
      <c r="Y3" s="33">
        <f>W3+X3</f>
        <v>0</v>
      </c>
      <c r="Z3" s="43">
        <f>P3+V3</f>
        <v>35.375339999999994</v>
      </c>
    </row>
    <row r="4" spans="2:26" s="2" customFormat="1" ht="18" x14ac:dyDescent="0.35">
      <c r="B4" s="45" t="s">
        <v>25</v>
      </c>
      <c r="C4" s="121">
        <f>C14*2</f>
        <v>1.302E-3</v>
      </c>
      <c r="D4" s="10"/>
      <c r="E4" s="11" t="s">
        <v>1</v>
      </c>
      <c r="F4" s="12" t="s">
        <v>2</v>
      </c>
      <c r="G4" s="13">
        <v>2</v>
      </c>
      <c r="H4" s="42"/>
      <c r="I4" s="31">
        <f>K3</f>
        <v>99908.880766249</v>
      </c>
      <c r="J4" s="32">
        <f t="shared" ref="J4:J8" si="0">I4*$C$14*$C$19</f>
        <v>45.528476965179664</v>
      </c>
      <c r="K4" s="33">
        <f t="shared" ref="K4:K24" si="1">I4-J4</f>
        <v>99863.352289283823</v>
      </c>
      <c r="L4" s="31">
        <f>P3</f>
        <v>17.088749999999997</v>
      </c>
      <c r="M4" s="32">
        <f>J3</f>
        <v>45.549233750999989</v>
      </c>
      <c r="N4" s="32">
        <f t="shared" ref="N4:N24" si="2">L4*$C$6</f>
        <v>4.2721874999999994</v>
      </c>
      <c r="O4" s="34"/>
      <c r="P4" s="33">
        <f>L4+M4-N4-O4</f>
        <v>58.365796250999985</v>
      </c>
      <c r="Q4" s="31">
        <f>V3</f>
        <v>18.286589999999997</v>
      </c>
      <c r="R4" s="32">
        <f>N3</f>
        <v>5.6962499999999991</v>
      </c>
      <c r="S4" s="32">
        <f t="shared" ref="S4:S24" si="3">Q4*$C$8</f>
        <v>1.3061849999999997</v>
      </c>
      <c r="T4" s="34"/>
      <c r="U4" s="32">
        <f t="shared" ref="U4:U24" si="4">Q4*$C$9*(1-$C$21)</f>
        <v>2.3041103399999994</v>
      </c>
      <c r="V4" s="33">
        <f t="shared" ref="V4:V24" si="5">Q4+R4-S4-T4-U4</f>
        <v>20.372544659999996</v>
      </c>
      <c r="W4" s="31">
        <f>Z3</f>
        <v>35.375339999999994</v>
      </c>
      <c r="X4" s="32">
        <f>R3</f>
        <v>0</v>
      </c>
      <c r="Y4" s="33">
        <f t="shared" ref="Y4:Y24" si="6">W4+X4</f>
        <v>35.375339999999994</v>
      </c>
      <c r="Z4" s="43">
        <f t="shared" ref="Z4:Z24" si="7">P4+V4</f>
        <v>78.73834091099998</v>
      </c>
    </row>
    <row r="5" spans="2:26" s="2" customFormat="1" ht="18" x14ac:dyDescent="0.35">
      <c r="B5" s="45" t="s">
        <v>28</v>
      </c>
      <c r="C5" s="121">
        <f>Dashboard!D6</f>
        <v>4</v>
      </c>
      <c r="D5" s="10"/>
      <c r="E5" s="11" t="s">
        <v>3</v>
      </c>
      <c r="F5" s="12" t="s">
        <v>4</v>
      </c>
      <c r="G5" s="13">
        <v>3</v>
      </c>
      <c r="H5" s="42"/>
      <c r="I5" s="31">
        <f t="shared" ref="I5:I24" si="8">K4</f>
        <v>99863.352289283823</v>
      </c>
      <c r="J5" s="32">
        <f t="shared" si="0"/>
        <v>45.507729638226635</v>
      </c>
      <c r="K5" s="33">
        <f t="shared" si="1"/>
        <v>99817.8445596456</v>
      </c>
      <c r="L5" s="31">
        <f t="shared" ref="L5:L24" si="9">P4</f>
        <v>58.365796250999985</v>
      </c>
      <c r="M5" s="32">
        <f t="shared" ref="M5:M10" si="10">J4</f>
        <v>45.528476965179664</v>
      </c>
      <c r="N5" s="32">
        <f t="shared" si="2"/>
        <v>14.591449062749996</v>
      </c>
      <c r="O5" s="32">
        <f>L5*(1-$C$10)*Dashboard!J5</f>
        <v>0</v>
      </c>
      <c r="P5" s="33">
        <f t="shared" ref="P5:P24" si="11">L5+M5-N5-O5</f>
        <v>89.30282415342964</v>
      </c>
      <c r="Q5" s="31">
        <f t="shared" ref="Q5:Q24" si="12">V4</f>
        <v>20.372544659999996</v>
      </c>
      <c r="R5" s="32">
        <f t="shared" ref="R5:R24" si="13">N4</f>
        <v>4.2721874999999994</v>
      </c>
      <c r="S5" s="32">
        <f t="shared" si="3"/>
        <v>1.4551817614285709</v>
      </c>
      <c r="T5" s="32">
        <f>(1-$C$11)*Q5*Dashboard!J5</f>
        <v>0</v>
      </c>
      <c r="U5" s="32">
        <f t="shared" si="4"/>
        <v>2.5669406271599993</v>
      </c>
      <c r="V5" s="33">
        <f t="shared" si="5"/>
        <v>20.622609771411426</v>
      </c>
      <c r="W5" s="31">
        <f t="shared" ref="W5:W24" si="14">Z4</f>
        <v>78.73834091099998</v>
      </c>
      <c r="X5" s="32">
        <f t="shared" ref="X5:X24" si="15">R4</f>
        <v>5.6962499999999991</v>
      </c>
      <c r="Y5" s="33">
        <f>W5+X5</f>
        <v>84.434590910999987</v>
      </c>
      <c r="Z5" s="43">
        <f t="shared" si="7"/>
        <v>109.92543392484106</v>
      </c>
    </row>
    <row r="6" spans="2:26" s="2" customFormat="1" ht="18" x14ac:dyDescent="0.35">
      <c r="B6" s="45" t="s">
        <v>26</v>
      </c>
      <c r="C6" s="122">
        <f>1/C5</f>
        <v>0.25</v>
      </c>
      <c r="D6" s="10"/>
      <c r="E6" s="11" t="s">
        <v>5</v>
      </c>
      <c r="F6" s="12" t="s">
        <v>6</v>
      </c>
      <c r="G6" s="13">
        <v>4</v>
      </c>
      <c r="H6" s="42"/>
      <c r="I6" s="31">
        <f t="shared" si="8"/>
        <v>99817.8445596456</v>
      </c>
      <c r="J6" s="32">
        <f t="shared" si="0"/>
        <v>45.486991765830496</v>
      </c>
      <c r="K6" s="33">
        <f t="shared" si="1"/>
        <v>99772.357567879764</v>
      </c>
      <c r="L6" s="31">
        <f t="shared" si="9"/>
        <v>89.30282415342964</v>
      </c>
      <c r="M6" s="32">
        <f t="shared" si="10"/>
        <v>45.507729638226635</v>
      </c>
      <c r="N6" s="32">
        <f t="shared" si="2"/>
        <v>22.32570603835741</v>
      </c>
      <c r="O6" s="32">
        <f>L6*(1-$C$10)*Dashboard!J6</f>
        <v>0</v>
      </c>
      <c r="P6" s="33">
        <f t="shared" si="11"/>
        <v>112.48484775329887</v>
      </c>
      <c r="Q6" s="31">
        <f t="shared" si="12"/>
        <v>20.622609771411426</v>
      </c>
      <c r="R6" s="32">
        <f t="shared" si="13"/>
        <v>14.591449062749996</v>
      </c>
      <c r="S6" s="32">
        <f t="shared" si="3"/>
        <v>1.4730435551008161</v>
      </c>
      <c r="T6" s="32">
        <f>(1-$C$11)*Q6*Dashboard!J6</f>
        <v>0</v>
      </c>
      <c r="U6" s="32">
        <f t="shared" si="4"/>
        <v>2.5984488311978393</v>
      </c>
      <c r="V6" s="33">
        <f t="shared" si="5"/>
        <v>31.142566447862766</v>
      </c>
      <c r="W6" s="31">
        <f t="shared" si="14"/>
        <v>109.92543392484106</v>
      </c>
      <c r="X6" s="32">
        <f t="shared" si="15"/>
        <v>4.2721874999999994</v>
      </c>
      <c r="Y6" s="33">
        <f t="shared" si="6"/>
        <v>114.19762142484106</v>
      </c>
      <c r="Z6" s="43">
        <f t="shared" si="7"/>
        <v>143.62741420116163</v>
      </c>
    </row>
    <row r="7" spans="2:26" s="2" customFormat="1" ht="18" x14ac:dyDescent="0.35">
      <c r="B7" s="45" t="s">
        <v>29</v>
      </c>
      <c r="C7" s="121">
        <f>Dashboard!D8</f>
        <v>14</v>
      </c>
      <c r="D7" s="10"/>
      <c r="E7" s="11" t="s">
        <v>5</v>
      </c>
      <c r="F7" s="12" t="s">
        <v>7</v>
      </c>
      <c r="G7" s="13">
        <v>5</v>
      </c>
      <c r="H7" s="42"/>
      <c r="I7" s="31">
        <f t="shared" si="8"/>
        <v>99772.357567879764</v>
      </c>
      <c r="J7" s="32">
        <f t="shared" si="0"/>
        <v>45.466263343682805</v>
      </c>
      <c r="K7" s="33">
        <f t="shared" si="1"/>
        <v>99726.891304536082</v>
      </c>
      <c r="L7" s="31">
        <f t="shared" si="9"/>
        <v>112.48484775329887</v>
      </c>
      <c r="M7" s="32">
        <f t="shared" si="10"/>
        <v>45.486991765830496</v>
      </c>
      <c r="N7" s="32">
        <f t="shared" si="2"/>
        <v>28.121211938324716</v>
      </c>
      <c r="O7" s="32">
        <f>L7*(1-$C$10)*Dashboard!J7</f>
        <v>0</v>
      </c>
      <c r="P7" s="33">
        <f t="shared" si="11"/>
        <v>129.85062758080466</v>
      </c>
      <c r="Q7" s="31">
        <f t="shared" si="12"/>
        <v>31.142566447862766</v>
      </c>
      <c r="R7" s="32">
        <f t="shared" si="13"/>
        <v>22.32570603835741</v>
      </c>
      <c r="S7" s="32">
        <f t="shared" si="3"/>
        <v>2.2244690319901976</v>
      </c>
      <c r="T7" s="32">
        <f>(1-$C$11)*Q7*Dashboard!J7</f>
        <v>0</v>
      </c>
      <c r="U7" s="32">
        <f t="shared" si="4"/>
        <v>3.9239633724307081</v>
      </c>
      <c r="V7" s="33">
        <f t="shared" si="5"/>
        <v>47.319840081799271</v>
      </c>
      <c r="W7" s="31">
        <f t="shared" si="14"/>
        <v>143.62741420116163</v>
      </c>
      <c r="X7" s="32">
        <f t="shared" si="15"/>
        <v>14.591449062749996</v>
      </c>
      <c r="Y7" s="33">
        <f t="shared" si="6"/>
        <v>158.21886326391163</v>
      </c>
      <c r="Z7" s="43">
        <f t="shared" si="7"/>
        <v>177.17046766260393</v>
      </c>
    </row>
    <row r="8" spans="2:26" s="2" customFormat="1" ht="18" x14ac:dyDescent="0.35">
      <c r="B8" s="45" t="s">
        <v>27</v>
      </c>
      <c r="C8" s="122">
        <f>1/C7</f>
        <v>7.1428571428571425E-2</v>
      </c>
      <c r="D8" s="10"/>
      <c r="E8" s="11" t="s">
        <v>467</v>
      </c>
      <c r="F8" s="12" t="s">
        <v>8</v>
      </c>
      <c r="G8" s="13">
        <v>6</v>
      </c>
      <c r="H8" s="42"/>
      <c r="I8" s="31">
        <f t="shared" si="8"/>
        <v>99726.891304536082</v>
      </c>
      <c r="J8" s="32">
        <f t="shared" si="0"/>
        <v>45.44554436747709</v>
      </c>
      <c r="K8" s="33">
        <f t="shared" si="1"/>
        <v>99681.445760168601</v>
      </c>
      <c r="L8" s="31">
        <f t="shared" si="9"/>
        <v>129.85062758080466</v>
      </c>
      <c r="M8" s="32">
        <f t="shared" si="10"/>
        <v>45.466263343682805</v>
      </c>
      <c r="N8" s="32">
        <f t="shared" si="2"/>
        <v>32.462656895201164</v>
      </c>
      <c r="O8" s="32">
        <f>L8*(1-$C$10)*Dashboard!J8</f>
        <v>0</v>
      </c>
      <c r="P8" s="33">
        <f t="shared" si="11"/>
        <v>142.85423402928632</v>
      </c>
      <c r="Q8" s="31">
        <f t="shared" si="12"/>
        <v>47.319840081799271</v>
      </c>
      <c r="R8" s="32">
        <f t="shared" si="13"/>
        <v>28.121211938324716</v>
      </c>
      <c r="S8" s="32">
        <f t="shared" si="3"/>
        <v>3.3799885772713765</v>
      </c>
      <c r="T8" s="32">
        <f>(1-$C$11)*Q8*Dashboard!J8</f>
        <v>0</v>
      </c>
      <c r="U8" s="32">
        <f t="shared" si="4"/>
        <v>5.9622998503067084</v>
      </c>
      <c r="V8" s="33">
        <f t="shared" si="5"/>
        <v>66.098763592545907</v>
      </c>
      <c r="W8" s="31">
        <f t="shared" si="14"/>
        <v>177.17046766260393</v>
      </c>
      <c r="X8" s="32">
        <f t="shared" si="15"/>
        <v>22.32570603835741</v>
      </c>
      <c r="Y8" s="33">
        <f t="shared" si="6"/>
        <v>199.49617370096132</v>
      </c>
      <c r="Z8" s="43">
        <f t="shared" si="7"/>
        <v>208.95299762183222</v>
      </c>
    </row>
    <row r="9" spans="2:26" s="2" customFormat="1" ht="18" x14ac:dyDescent="0.35">
      <c r="B9" s="45" t="s">
        <v>30</v>
      </c>
      <c r="C9" s="122">
        <f>Dashboard!D11</f>
        <v>0.18</v>
      </c>
      <c r="D9" s="10"/>
      <c r="E9" s="11" t="s">
        <v>9</v>
      </c>
      <c r="F9" s="12" t="s">
        <v>10</v>
      </c>
      <c r="G9" s="13">
        <v>7</v>
      </c>
      <c r="H9" s="42"/>
      <c r="I9" s="31">
        <f t="shared" si="8"/>
        <v>99681.445760168601</v>
      </c>
      <c r="J9" s="32">
        <f>I9*$C$4*$C$19</f>
        <v>90.849669665817657</v>
      </c>
      <c r="K9" s="33">
        <f t="shared" si="1"/>
        <v>99590.59609050279</v>
      </c>
      <c r="L9" s="31">
        <f t="shared" si="9"/>
        <v>142.85423402928632</v>
      </c>
      <c r="M9" s="35">
        <f t="shared" si="10"/>
        <v>45.44554436747709</v>
      </c>
      <c r="N9" s="32">
        <f t="shared" si="2"/>
        <v>35.713558507321579</v>
      </c>
      <c r="O9" s="34"/>
      <c r="P9" s="33">
        <f t="shared" si="11"/>
        <v>152.58621988944182</v>
      </c>
      <c r="Q9" s="31">
        <f t="shared" si="12"/>
        <v>66.098763592545907</v>
      </c>
      <c r="R9" s="32">
        <f t="shared" si="13"/>
        <v>32.462656895201164</v>
      </c>
      <c r="S9" s="32">
        <f t="shared" si="3"/>
        <v>4.7213402566104214</v>
      </c>
      <c r="T9" s="34"/>
      <c r="U9" s="32">
        <f t="shared" si="4"/>
        <v>8.3284442126607843</v>
      </c>
      <c r="V9" s="33">
        <f t="shared" si="5"/>
        <v>85.511636018475869</v>
      </c>
      <c r="W9" s="31">
        <f t="shared" si="14"/>
        <v>208.95299762183222</v>
      </c>
      <c r="X9" s="32">
        <f t="shared" si="15"/>
        <v>28.121211938324716</v>
      </c>
      <c r="Y9" s="33">
        <f t="shared" si="6"/>
        <v>237.07420956015693</v>
      </c>
      <c r="Z9" s="43">
        <f t="shared" si="7"/>
        <v>238.09785590791768</v>
      </c>
    </row>
    <row r="10" spans="2:26" s="2" customFormat="1" ht="18" x14ac:dyDescent="0.35">
      <c r="B10" s="45" t="s">
        <v>31</v>
      </c>
      <c r="C10" s="122">
        <f>Dashboard!D14</f>
        <v>0.84</v>
      </c>
      <c r="D10" s="10"/>
      <c r="E10" s="15" t="s">
        <v>382</v>
      </c>
      <c r="F10" s="16" t="s">
        <v>583</v>
      </c>
      <c r="G10" s="17">
        <v>8</v>
      </c>
      <c r="H10" s="42"/>
      <c r="I10" s="31">
        <f t="shared" si="8"/>
        <v>99590.59609050279</v>
      </c>
      <c r="J10" s="34"/>
      <c r="K10" s="33">
        <f t="shared" si="1"/>
        <v>99590.59609050279</v>
      </c>
      <c r="L10" s="31">
        <f t="shared" si="9"/>
        <v>152.58621988944182</v>
      </c>
      <c r="M10" s="35">
        <f t="shared" si="10"/>
        <v>90.849669665817657</v>
      </c>
      <c r="N10" s="32">
        <f t="shared" si="2"/>
        <v>38.146554972360455</v>
      </c>
      <c r="O10" s="32">
        <f>L10*(1-$C$10)*Dashboard!J9</f>
        <v>24.413795182310697</v>
      </c>
      <c r="P10" s="33">
        <f>L10+M10-N10-O10</f>
        <v>180.87553940058831</v>
      </c>
      <c r="Q10" s="31">
        <f t="shared" si="12"/>
        <v>85.511636018475869</v>
      </c>
      <c r="R10" s="32">
        <f t="shared" si="13"/>
        <v>35.713558507321579</v>
      </c>
      <c r="S10" s="32">
        <f t="shared" si="3"/>
        <v>6.1079740013197048</v>
      </c>
      <c r="T10" s="32">
        <f>(1-$C$11)*Q10*Dashboard!J9</f>
        <v>60.713261573117862</v>
      </c>
      <c r="U10" s="32">
        <f t="shared" si="4"/>
        <v>10.774466138327957</v>
      </c>
      <c r="V10" s="33">
        <f t="shared" si="5"/>
        <v>43.629492813031924</v>
      </c>
      <c r="W10" s="31">
        <f t="shared" si="14"/>
        <v>238.09785590791768</v>
      </c>
      <c r="X10" s="32">
        <f t="shared" si="15"/>
        <v>32.462656895201164</v>
      </c>
      <c r="Y10" s="33">
        <f t="shared" si="6"/>
        <v>270.56051280311885</v>
      </c>
      <c r="Z10" s="43">
        <f t="shared" si="7"/>
        <v>224.50503221362024</v>
      </c>
    </row>
    <row r="11" spans="2:26" s="2" customFormat="1" ht="18" x14ac:dyDescent="0.35">
      <c r="B11" s="45" t="s">
        <v>32</v>
      </c>
      <c r="C11" s="122">
        <f>Dashboard!D15</f>
        <v>0.28999999999999998</v>
      </c>
      <c r="D11" s="10"/>
      <c r="E11" s="11" t="s">
        <v>383</v>
      </c>
      <c r="F11" s="12" t="s">
        <v>11</v>
      </c>
      <c r="G11" s="13">
        <v>9</v>
      </c>
      <c r="H11" s="42"/>
      <c r="I11" s="31">
        <f t="shared" si="8"/>
        <v>99590.59609050279</v>
      </c>
      <c r="J11" s="34"/>
      <c r="K11" s="33">
        <f t="shared" si="1"/>
        <v>99590.59609050279</v>
      </c>
      <c r="L11" s="31">
        <f>P10</f>
        <v>180.87553940058831</v>
      </c>
      <c r="M11" s="36"/>
      <c r="N11" s="32">
        <f t="shared" si="2"/>
        <v>45.218884850147077</v>
      </c>
      <c r="O11" s="32">
        <f>L11*(1-$C$10)*Dashboard!J11</f>
        <v>0</v>
      </c>
      <c r="P11" s="33">
        <f t="shared" si="11"/>
        <v>135.65665455044123</v>
      </c>
      <c r="Q11" s="31">
        <f t="shared" si="12"/>
        <v>43.629492813031924</v>
      </c>
      <c r="R11" s="32">
        <f t="shared" si="13"/>
        <v>38.146554972360455</v>
      </c>
      <c r="S11" s="32">
        <f t="shared" si="3"/>
        <v>3.1163923437879943</v>
      </c>
      <c r="T11" s="32">
        <f>Q11*(1-$C$11)*Dashboard!J11</f>
        <v>0</v>
      </c>
      <c r="U11" s="32">
        <f t="shared" si="4"/>
        <v>5.4973160944420218</v>
      </c>
      <c r="V11" s="33">
        <f t="shared" si="5"/>
        <v>73.162339347162359</v>
      </c>
      <c r="W11" s="31">
        <f t="shared" si="14"/>
        <v>224.50503221362024</v>
      </c>
      <c r="X11" s="32">
        <f t="shared" si="15"/>
        <v>35.713558507321579</v>
      </c>
      <c r="Y11" s="33">
        <f t="shared" si="6"/>
        <v>260.21859072094185</v>
      </c>
      <c r="Z11" s="43">
        <f t="shared" si="7"/>
        <v>208.8189938976036</v>
      </c>
    </row>
    <row r="12" spans="2:26" s="2" customFormat="1" ht="16.2" x14ac:dyDescent="0.35">
      <c r="B12" s="9"/>
      <c r="C12" s="119"/>
      <c r="D12" s="10"/>
      <c r="E12" s="11" t="s">
        <v>384</v>
      </c>
      <c r="F12" s="12" t="s">
        <v>12</v>
      </c>
      <c r="G12" s="13">
        <v>10</v>
      </c>
      <c r="H12" s="42"/>
      <c r="I12" s="31">
        <f t="shared" si="8"/>
        <v>99590.59609050279</v>
      </c>
      <c r="J12" s="34"/>
      <c r="K12" s="33">
        <f t="shared" si="1"/>
        <v>99590.59609050279</v>
      </c>
      <c r="L12" s="31">
        <f t="shared" si="9"/>
        <v>135.65665455044123</v>
      </c>
      <c r="M12" s="36"/>
      <c r="N12" s="32">
        <f t="shared" si="2"/>
        <v>33.914163637610308</v>
      </c>
      <c r="O12" s="32">
        <f>L12*(1-$C$10)*Dashboard!J12</f>
        <v>0</v>
      </c>
      <c r="P12" s="33">
        <f t="shared" si="11"/>
        <v>101.74249091283093</v>
      </c>
      <c r="Q12" s="31">
        <f t="shared" si="12"/>
        <v>73.162339347162359</v>
      </c>
      <c r="R12" s="32">
        <f t="shared" si="13"/>
        <v>45.218884850147077</v>
      </c>
      <c r="S12" s="32">
        <f t="shared" si="3"/>
        <v>5.2258813819401686</v>
      </c>
      <c r="T12" s="32">
        <f>Q12*(1-$C$11)*Dashboard!J12</f>
        <v>0</v>
      </c>
      <c r="U12" s="32">
        <f t="shared" si="4"/>
        <v>9.2184547577424567</v>
      </c>
      <c r="V12" s="33">
        <f t="shared" si="5"/>
        <v>103.93688805762682</v>
      </c>
      <c r="W12" s="31">
        <f t="shared" si="14"/>
        <v>208.8189938976036</v>
      </c>
      <c r="X12" s="32">
        <f t="shared" si="15"/>
        <v>38.146554972360455</v>
      </c>
      <c r="Y12" s="33">
        <f t="shared" si="6"/>
        <v>246.96554886996407</v>
      </c>
      <c r="Z12" s="43">
        <f t="shared" si="7"/>
        <v>205.67937897045775</v>
      </c>
    </row>
    <row r="13" spans="2:26" s="2" customFormat="1" ht="16.2" x14ac:dyDescent="0.35">
      <c r="B13" s="30" t="s">
        <v>40</v>
      </c>
      <c r="C13" s="123" t="s">
        <v>0</v>
      </c>
      <c r="D13" s="10"/>
      <c r="E13" s="11" t="s">
        <v>385</v>
      </c>
      <c r="F13" s="12" t="s">
        <v>13</v>
      </c>
      <c r="G13" s="13">
        <v>11</v>
      </c>
      <c r="H13" s="42"/>
      <c r="I13" s="31">
        <f t="shared" si="8"/>
        <v>99590.59609050279</v>
      </c>
      <c r="J13" s="34"/>
      <c r="K13" s="33">
        <f t="shared" si="1"/>
        <v>99590.59609050279</v>
      </c>
      <c r="L13" s="31">
        <f t="shared" si="9"/>
        <v>101.74249091283093</v>
      </c>
      <c r="M13" s="36"/>
      <c r="N13" s="32">
        <f t="shared" si="2"/>
        <v>25.435622728207733</v>
      </c>
      <c r="O13" s="32">
        <f>L13*(1-$C$10)*Dashboard!J13</f>
        <v>0</v>
      </c>
      <c r="P13" s="33">
        <f t="shared" si="11"/>
        <v>76.306868184623198</v>
      </c>
      <c r="Q13" s="31">
        <f t="shared" si="12"/>
        <v>103.93688805762682</v>
      </c>
      <c r="R13" s="32">
        <f t="shared" si="13"/>
        <v>33.914163637610308</v>
      </c>
      <c r="S13" s="32">
        <f t="shared" si="3"/>
        <v>7.4240634326876291</v>
      </c>
      <c r="T13" s="32">
        <f>Q13*(1-$C$11)*Dashboard!J13</f>
        <v>0</v>
      </c>
      <c r="U13" s="32">
        <f t="shared" si="4"/>
        <v>13.096047895260977</v>
      </c>
      <c r="V13" s="33">
        <f t="shared" si="5"/>
        <v>117.33094036728851</v>
      </c>
      <c r="W13" s="31">
        <f t="shared" si="14"/>
        <v>205.67937897045775</v>
      </c>
      <c r="X13" s="32">
        <f t="shared" si="15"/>
        <v>45.218884850147077</v>
      </c>
      <c r="Y13" s="33">
        <f t="shared" si="6"/>
        <v>250.89826382060483</v>
      </c>
      <c r="Z13" s="43">
        <f t="shared" si="7"/>
        <v>193.63780855191169</v>
      </c>
    </row>
    <row r="14" spans="2:26" s="2" customFormat="1" ht="18" x14ac:dyDescent="0.35">
      <c r="B14" s="45" t="s">
        <v>33</v>
      </c>
      <c r="C14" s="119">
        <f>Dashboard!D21</f>
        <v>6.5099999999999999E-4</v>
      </c>
      <c r="D14" s="10"/>
      <c r="E14" s="11" t="s">
        <v>386</v>
      </c>
      <c r="F14" s="12" t="s">
        <v>14</v>
      </c>
      <c r="G14" s="13">
        <v>12</v>
      </c>
      <c r="H14" s="42"/>
      <c r="I14" s="31">
        <f t="shared" si="8"/>
        <v>99590.59609050279</v>
      </c>
      <c r="J14" s="34"/>
      <c r="K14" s="33">
        <f t="shared" si="1"/>
        <v>99590.59609050279</v>
      </c>
      <c r="L14" s="31">
        <f t="shared" si="9"/>
        <v>76.306868184623198</v>
      </c>
      <c r="M14" s="36"/>
      <c r="N14" s="32">
        <f t="shared" si="2"/>
        <v>19.0767170461558</v>
      </c>
      <c r="O14" s="32">
        <f>L14*(1-$C$10)*Dashboard!J14</f>
        <v>0</v>
      </c>
      <c r="P14" s="33">
        <f t="shared" si="11"/>
        <v>57.230151138467399</v>
      </c>
      <c r="Q14" s="31">
        <f t="shared" si="12"/>
        <v>117.33094036728851</v>
      </c>
      <c r="R14" s="32">
        <f t="shared" si="13"/>
        <v>25.435622728207733</v>
      </c>
      <c r="S14" s="32">
        <f t="shared" si="3"/>
        <v>8.3807814548063213</v>
      </c>
      <c r="T14" s="32">
        <f>Q14*(1-$C$11)*Dashboard!J14</f>
        <v>0</v>
      </c>
      <c r="U14" s="32">
        <f t="shared" si="4"/>
        <v>14.78369848627835</v>
      </c>
      <c r="V14" s="33">
        <f t="shared" si="5"/>
        <v>119.60208315441156</v>
      </c>
      <c r="W14" s="31">
        <f t="shared" si="14"/>
        <v>193.63780855191169</v>
      </c>
      <c r="X14" s="32">
        <f t="shared" si="15"/>
        <v>33.914163637610308</v>
      </c>
      <c r="Y14" s="33">
        <f t="shared" si="6"/>
        <v>227.55197218952199</v>
      </c>
      <c r="Z14" s="43">
        <f t="shared" si="7"/>
        <v>176.83223429287895</v>
      </c>
    </row>
    <row r="15" spans="2:26" s="2" customFormat="1" ht="18" x14ac:dyDescent="0.35">
      <c r="B15" s="45" t="s">
        <v>34</v>
      </c>
      <c r="C15" s="119">
        <v>1</v>
      </c>
      <c r="D15" s="10"/>
      <c r="E15" s="11" t="s">
        <v>387</v>
      </c>
      <c r="F15" s="12" t="s">
        <v>15</v>
      </c>
      <c r="G15" s="13">
        <v>13</v>
      </c>
      <c r="H15" s="42"/>
      <c r="I15" s="31">
        <f t="shared" si="8"/>
        <v>99590.59609050279</v>
      </c>
      <c r="J15" s="34"/>
      <c r="K15" s="33">
        <f t="shared" si="1"/>
        <v>99590.59609050279</v>
      </c>
      <c r="L15" s="31">
        <f t="shared" si="9"/>
        <v>57.230151138467399</v>
      </c>
      <c r="M15" s="36"/>
      <c r="N15" s="32">
        <f t="shared" si="2"/>
        <v>14.30753778461685</v>
      </c>
      <c r="O15" s="32">
        <f>L15*(1-$C$10)*Dashboard!J15</f>
        <v>0</v>
      </c>
      <c r="P15" s="33">
        <f t="shared" si="11"/>
        <v>42.922613353850551</v>
      </c>
      <c r="Q15" s="31">
        <f t="shared" si="12"/>
        <v>119.60208315441156</v>
      </c>
      <c r="R15" s="32">
        <f t="shared" si="13"/>
        <v>19.0767170461558</v>
      </c>
      <c r="S15" s="32">
        <f t="shared" si="3"/>
        <v>8.5430059396008247</v>
      </c>
      <c r="T15" s="32">
        <f>Q15*(1-$C$11)*Dashboard!J15</f>
        <v>0</v>
      </c>
      <c r="U15" s="32">
        <f t="shared" si="4"/>
        <v>15.069862477455855</v>
      </c>
      <c r="V15" s="33">
        <f t="shared" si="5"/>
        <v>115.06593178351069</v>
      </c>
      <c r="W15" s="31">
        <f t="shared" si="14"/>
        <v>176.83223429287895</v>
      </c>
      <c r="X15" s="32">
        <f t="shared" si="15"/>
        <v>25.435622728207733</v>
      </c>
      <c r="Y15" s="33">
        <f t="shared" si="6"/>
        <v>202.26785702108668</v>
      </c>
      <c r="Z15" s="43">
        <f t="shared" si="7"/>
        <v>157.98854513736126</v>
      </c>
    </row>
    <row r="16" spans="2:26" s="2" customFormat="1" ht="16.2" x14ac:dyDescent="0.35">
      <c r="B16" s="9"/>
      <c r="C16" s="119"/>
      <c r="D16" s="10"/>
      <c r="E16" s="11" t="s">
        <v>388</v>
      </c>
      <c r="F16" s="12" t="s">
        <v>16</v>
      </c>
      <c r="G16" s="13">
        <v>14</v>
      </c>
      <c r="H16" s="42"/>
      <c r="I16" s="31">
        <f t="shared" si="8"/>
        <v>99590.59609050279</v>
      </c>
      <c r="J16" s="34"/>
      <c r="K16" s="33">
        <f t="shared" si="1"/>
        <v>99590.59609050279</v>
      </c>
      <c r="L16" s="31">
        <f t="shared" si="9"/>
        <v>42.922613353850551</v>
      </c>
      <c r="M16" s="36"/>
      <c r="N16" s="32">
        <f t="shared" si="2"/>
        <v>10.730653338462638</v>
      </c>
      <c r="O16" s="32">
        <f>L16*(1-$C$10)*Dashboard!J16</f>
        <v>0</v>
      </c>
      <c r="P16" s="33">
        <f t="shared" si="11"/>
        <v>32.191960015387913</v>
      </c>
      <c r="Q16" s="31">
        <f t="shared" si="12"/>
        <v>115.06593178351069</v>
      </c>
      <c r="R16" s="32">
        <f t="shared" si="13"/>
        <v>14.30753778461685</v>
      </c>
      <c r="S16" s="32">
        <f t="shared" si="3"/>
        <v>8.2189951273936206</v>
      </c>
      <c r="T16" s="32">
        <f>Q16*(1-$C$11)*Dashboard!J16</f>
        <v>0</v>
      </c>
      <c r="U16" s="32">
        <f t="shared" si="4"/>
        <v>14.498307404722347</v>
      </c>
      <c r="V16" s="33">
        <f t="shared" si="5"/>
        <v>106.65616703601157</v>
      </c>
      <c r="W16" s="31">
        <f t="shared" si="14"/>
        <v>157.98854513736126</v>
      </c>
      <c r="X16" s="32">
        <f t="shared" si="15"/>
        <v>19.0767170461558</v>
      </c>
      <c r="Y16" s="33">
        <f t="shared" si="6"/>
        <v>177.06526218351706</v>
      </c>
      <c r="Z16" s="43">
        <f t="shared" si="7"/>
        <v>138.84812705139947</v>
      </c>
    </row>
    <row r="17" spans="2:26" s="2" customFormat="1" ht="16.2" x14ac:dyDescent="0.35">
      <c r="B17" s="30" t="s">
        <v>41</v>
      </c>
      <c r="C17" s="123" t="s">
        <v>0</v>
      </c>
      <c r="D17" s="10"/>
      <c r="E17" s="11" t="s">
        <v>389</v>
      </c>
      <c r="F17" s="12" t="s">
        <v>17</v>
      </c>
      <c r="G17" s="13">
        <v>15</v>
      </c>
      <c r="H17" s="42"/>
      <c r="I17" s="31">
        <f t="shared" si="8"/>
        <v>99590.59609050279</v>
      </c>
      <c r="J17" s="34"/>
      <c r="K17" s="33">
        <f t="shared" si="1"/>
        <v>99590.59609050279</v>
      </c>
      <c r="L17" s="31">
        <f t="shared" si="9"/>
        <v>32.191960015387913</v>
      </c>
      <c r="M17" s="36"/>
      <c r="N17" s="32">
        <f t="shared" si="2"/>
        <v>8.0479900038469783</v>
      </c>
      <c r="O17" s="32">
        <f>L17*(1-$C$10)*Dashboard!J17</f>
        <v>0</v>
      </c>
      <c r="P17" s="33">
        <f t="shared" si="11"/>
        <v>24.143970011540937</v>
      </c>
      <c r="Q17" s="31">
        <f t="shared" si="12"/>
        <v>106.65616703601157</v>
      </c>
      <c r="R17" s="32">
        <f t="shared" si="13"/>
        <v>10.730653338462638</v>
      </c>
      <c r="S17" s="32">
        <f t="shared" si="3"/>
        <v>7.6182976454293971</v>
      </c>
      <c r="T17" s="32">
        <f>Q17*(1-$C$11)*Dashboard!J17</f>
        <v>0</v>
      </c>
      <c r="U17" s="32">
        <f t="shared" si="4"/>
        <v>13.438677046537455</v>
      </c>
      <c r="V17" s="33">
        <f t="shared" si="5"/>
        <v>96.329845682507369</v>
      </c>
      <c r="W17" s="31">
        <f t="shared" si="14"/>
        <v>138.84812705139947</v>
      </c>
      <c r="X17" s="32">
        <f t="shared" si="15"/>
        <v>14.30753778461685</v>
      </c>
      <c r="Y17" s="33">
        <f t="shared" si="6"/>
        <v>153.15566483601631</v>
      </c>
      <c r="Z17" s="43">
        <f t="shared" si="7"/>
        <v>120.47381569404831</v>
      </c>
    </row>
    <row r="18" spans="2:26" s="2" customFormat="1" ht="18" x14ac:dyDescent="0.35">
      <c r="B18" s="45" t="s">
        <v>35</v>
      </c>
      <c r="C18" s="119">
        <f>Dashboard!D30</f>
        <v>0.3</v>
      </c>
      <c r="D18" s="10"/>
      <c r="E18" s="11" t="s">
        <v>390</v>
      </c>
      <c r="F18" s="12" t="s">
        <v>18</v>
      </c>
      <c r="G18" s="13">
        <v>16</v>
      </c>
      <c r="H18" s="42"/>
      <c r="I18" s="31">
        <f t="shared" si="8"/>
        <v>99590.59609050279</v>
      </c>
      <c r="J18" s="34"/>
      <c r="K18" s="33">
        <f t="shared" si="1"/>
        <v>99590.59609050279</v>
      </c>
      <c r="L18" s="31">
        <f t="shared" si="9"/>
        <v>24.143970011540937</v>
      </c>
      <c r="M18" s="36"/>
      <c r="N18" s="32">
        <f t="shared" si="2"/>
        <v>6.0359925028852341</v>
      </c>
      <c r="O18" s="32">
        <f>L18*(1-$C$10)*Dashboard!J18</f>
        <v>0</v>
      </c>
      <c r="P18" s="33">
        <f t="shared" si="11"/>
        <v>18.107977508655701</v>
      </c>
      <c r="Q18" s="31">
        <f t="shared" si="12"/>
        <v>96.329845682507369</v>
      </c>
      <c r="R18" s="32">
        <f t="shared" si="13"/>
        <v>8.0479900038469783</v>
      </c>
      <c r="S18" s="32">
        <f t="shared" si="3"/>
        <v>6.8807032630362404</v>
      </c>
      <c r="T18" s="32">
        <f>Q18*(1-$C$11)*Dashboard!J18</f>
        <v>0</v>
      </c>
      <c r="U18" s="32">
        <f t="shared" si="4"/>
        <v>12.137560555995925</v>
      </c>
      <c r="V18" s="33">
        <f t="shared" si="5"/>
        <v>85.359571867322188</v>
      </c>
      <c r="W18" s="31">
        <f t="shared" si="14"/>
        <v>120.47381569404831</v>
      </c>
      <c r="X18" s="32">
        <f t="shared" si="15"/>
        <v>10.730653338462638</v>
      </c>
      <c r="Y18" s="33">
        <f t="shared" si="6"/>
        <v>131.20446903251096</v>
      </c>
      <c r="Z18" s="43">
        <f t="shared" si="7"/>
        <v>103.46754937597788</v>
      </c>
    </row>
    <row r="19" spans="2:26" s="2" customFormat="1" ht="18" x14ac:dyDescent="0.35">
      <c r="B19" s="45" t="s">
        <v>36</v>
      </c>
      <c r="C19" s="119">
        <f>(((C15)*(1-C18))+(1-C15))</f>
        <v>0.7</v>
      </c>
      <c r="D19" s="10"/>
      <c r="E19" s="11" t="s">
        <v>391</v>
      </c>
      <c r="F19" s="12" t="s">
        <v>19</v>
      </c>
      <c r="G19" s="13">
        <v>17</v>
      </c>
      <c r="H19" s="42"/>
      <c r="I19" s="31">
        <f t="shared" si="8"/>
        <v>99590.59609050279</v>
      </c>
      <c r="J19" s="34"/>
      <c r="K19" s="33">
        <f t="shared" si="1"/>
        <v>99590.59609050279</v>
      </c>
      <c r="L19" s="31">
        <f t="shared" si="9"/>
        <v>18.107977508655701</v>
      </c>
      <c r="M19" s="36"/>
      <c r="N19" s="32">
        <f t="shared" si="2"/>
        <v>4.5269943771639252</v>
      </c>
      <c r="O19" s="32">
        <f>L19*(1-$C$10)*Dashboard!J19</f>
        <v>0</v>
      </c>
      <c r="P19" s="33">
        <f t="shared" si="11"/>
        <v>13.580983131491775</v>
      </c>
      <c r="Q19" s="31">
        <f t="shared" si="12"/>
        <v>85.359571867322188</v>
      </c>
      <c r="R19" s="32">
        <f t="shared" si="13"/>
        <v>6.0359925028852341</v>
      </c>
      <c r="S19" s="32">
        <f t="shared" si="3"/>
        <v>6.0971122762372989</v>
      </c>
      <c r="T19" s="32">
        <f>Q19*(1-$C$11)*Dashboard!J19</f>
        <v>0</v>
      </c>
      <c r="U19" s="32">
        <f t="shared" si="4"/>
        <v>10.755306055282594</v>
      </c>
      <c r="V19" s="33">
        <f t="shared" si="5"/>
        <v>74.543146038687539</v>
      </c>
      <c r="W19" s="31">
        <f t="shared" si="14"/>
        <v>103.46754937597788</v>
      </c>
      <c r="X19" s="32">
        <f t="shared" si="15"/>
        <v>8.0479900038469783</v>
      </c>
      <c r="Y19" s="33">
        <f t="shared" si="6"/>
        <v>111.51553937982486</v>
      </c>
      <c r="Z19" s="43">
        <f t="shared" si="7"/>
        <v>88.124129170179316</v>
      </c>
    </row>
    <row r="20" spans="2:26" s="2" customFormat="1" ht="18" x14ac:dyDescent="0.35">
      <c r="B20" s="45" t="s">
        <v>37</v>
      </c>
      <c r="C20" s="119">
        <f>Dashboard!D31</f>
        <v>0.7</v>
      </c>
      <c r="D20" s="10"/>
      <c r="E20" s="11" t="s">
        <v>392</v>
      </c>
      <c r="F20" s="12" t="s">
        <v>20</v>
      </c>
      <c r="G20" s="13">
        <v>18</v>
      </c>
      <c r="H20" s="42"/>
      <c r="I20" s="31">
        <f t="shared" si="8"/>
        <v>99590.59609050279</v>
      </c>
      <c r="J20" s="34"/>
      <c r="K20" s="33">
        <f t="shared" si="1"/>
        <v>99590.59609050279</v>
      </c>
      <c r="L20" s="31">
        <f t="shared" si="9"/>
        <v>13.580983131491775</v>
      </c>
      <c r="M20" s="36"/>
      <c r="N20" s="32">
        <f t="shared" si="2"/>
        <v>3.3952457828729439</v>
      </c>
      <c r="O20" s="32">
        <f>L20*(1-$C$10)*Dashboard!J20</f>
        <v>0</v>
      </c>
      <c r="P20" s="33">
        <f t="shared" si="11"/>
        <v>10.185737348618831</v>
      </c>
      <c r="Q20" s="31">
        <f t="shared" si="12"/>
        <v>74.543146038687539</v>
      </c>
      <c r="R20" s="32">
        <f t="shared" si="13"/>
        <v>4.5269943771639252</v>
      </c>
      <c r="S20" s="32">
        <f t="shared" si="3"/>
        <v>5.3245104313348239</v>
      </c>
      <c r="T20" s="32">
        <f>Q20*(1-$C$11)*Dashboard!J20</f>
        <v>0</v>
      </c>
      <c r="U20" s="32">
        <f t="shared" si="4"/>
        <v>9.3924364008746295</v>
      </c>
      <c r="V20" s="33">
        <f t="shared" si="5"/>
        <v>64.35319358364201</v>
      </c>
      <c r="W20" s="31">
        <f t="shared" si="14"/>
        <v>88.124129170179316</v>
      </c>
      <c r="X20" s="32">
        <f t="shared" si="15"/>
        <v>6.0359925028852341</v>
      </c>
      <c r="Y20" s="33">
        <f t="shared" si="6"/>
        <v>94.160121673064552</v>
      </c>
      <c r="Z20" s="43">
        <f t="shared" si="7"/>
        <v>74.53893093226084</v>
      </c>
    </row>
    <row r="21" spans="2:26" s="2" customFormat="1" ht="18" x14ac:dyDescent="0.35">
      <c r="B21" s="45" t="s">
        <v>38</v>
      </c>
      <c r="C21" s="120">
        <f>(((C15)*(1-C20))+(1-C15))</f>
        <v>0.30000000000000004</v>
      </c>
      <c r="D21" s="10"/>
      <c r="E21" s="11" t="s">
        <v>393</v>
      </c>
      <c r="F21" s="12" t="s">
        <v>21</v>
      </c>
      <c r="G21" s="13">
        <v>19</v>
      </c>
      <c r="H21" s="42"/>
      <c r="I21" s="31">
        <f t="shared" si="8"/>
        <v>99590.59609050279</v>
      </c>
      <c r="J21" s="34"/>
      <c r="K21" s="33">
        <f t="shared" si="1"/>
        <v>99590.59609050279</v>
      </c>
      <c r="L21" s="31">
        <f t="shared" si="9"/>
        <v>10.185737348618831</v>
      </c>
      <c r="M21" s="36"/>
      <c r="N21" s="32">
        <f t="shared" si="2"/>
        <v>2.5464343371547078</v>
      </c>
      <c r="O21" s="32">
        <f>L21*(1-$C$10)*Dashboard!J21</f>
        <v>0</v>
      </c>
      <c r="P21" s="33">
        <f t="shared" si="11"/>
        <v>7.6393030114641238</v>
      </c>
      <c r="Q21" s="31">
        <f t="shared" si="12"/>
        <v>64.35319358364201</v>
      </c>
      <c r="R21" s="32">
        <f t="shared" si="13"/>
        <v>3.3952457828729439</v>
      </c>
      <c r="S21" s="32">
        <f t="shared" si="3"/>
        <v>4.5966566845458576</v>
      </c>
      <c r="T21" s="32">
        <f>Q21*(1-$C$11)*Dashboard!J21</f>
        <v>0</v>
      </c>
      <c r="U21" s="32">
        <f t="shared" si="4"/>
        <v>8.1085023915388934</v>
      </c>
      <c r="V21" s="33">
        <f t="shared" si="5"/>
        <v>55.043280290430211</v>
      </c>
      <c r="W21" s="31">
        <f t="shared" si="14"/>
        <v>74.53893093226084</v>
      </c>
      <c r="X21" s="32">
        <f t="shared" si="15"/>
        <v>4.5269943771639252</v>
      </c>
      <c r="Y21" s="33">
        <f t="shared" si="6"/>
        <v>79.06592530942477</v>
      </c>
      <c r="Z21" s="43">
        <f t="shared" si="7"/>
        <v>62.682583301894333</v>
      </c>
    </row>
    <row r="22" spans="2:26" s="2" customFormat="1" ht="16.2" x14ac:dyDescent="0.35">
      <c r="B22" s="9"/>
      <c r="C22" s="18"/>
      <c r="D22" s="10"/>
      <c r="E22" s="11" t="s">
        <v>394</v>
      </c>
      <c r="F22" s="12" t="s">
        <v>22</v>
      </c>
      <c r="G22" s="13">
        <v>20</v>
      </c>
      <c r="H22" s="42"/>
      <c r="I22" s="31">
        <f t="shared" si="8"/>
        <v>99590.59609050279</v>
      </c>
      <c r="J22" s="34"/>
      <c r="K22" s="33">
        <f t="shared" si="1"/>
        <v>99590.59609050279</v>
      </c>
      <c r="L22" s="31">
        <f t="shared" si="9"/>
        <v>7.6393030114641238</v>
      </c>
      <c r="M22" s="36"/>
      <c r="N22" s="32">
        <f t="shared" si="2"/>
        <v>1.909825752866031</v>
      </c>
      <c r="O22" s="32">
        <f>L22*(1-$C$10)*Dashboard!J22</f>
        <v>0</v>
      </c>
      <c r="P22" s="33">
        <f t="shared" si="11"/>
        <v>5.7294772585980933</v>
      </c>
      <c r="Q22" s="31">
        <f t="shared" si="12"/>
        <v>55.043280290430211</v>
      </c>
      <c r="R22" s="32">
        <f t="shared" si="13"/>
        <v>2.5464343371547078</v>
      </c>
      <c r="S22" s="32">
        <f t="shared" si="3"/>
        <v>3.9316628778878719</v>
      </c>
      <c r="T22" s="32">
        <f>Q22*(1-$C$11)*Dashboard!J22</f>
        <v>0</v>
      </c>
      <c r="U22" s="32">
        <f t="shared" si="4"/>
        <v>6.9354533165942058</v>
      </c>
      <c r="V22" s="33">
        <f t="shared" si="5"/>
        <v>46.722598433102839</v>
      </c>
      <c r="W22" s="31">
        <f t="shared" si="14"/>
        <v>62.682583301894333</v>
      </c>
      <c r="X22" s="32">
        <f t="shared" si="15"/>
        <v>3.3952457828729439</v>
      </c>
      <c r="Y22" s="33">
        <f t="shared" si="6"/>
        <v>66.077829084767274</v>
      </c>
      <c r="Z22" s="43">
        <f t="shared" si="7"/>
        <v>52.452075691700934</v>
      </c>
    </row>
    <row r="23" spans="2:26" s="2" customFormat="1" ht="16.2" x14ac:dyDescent="0.35">
      <c r="B23" s="9"/>
      <c r="C23" s="18"/>
      <c r="D23" s="10"/>
      <c r="E23" s="11" t="s">
        <v>395</v>
      </c>
      <c r="F23" s="12" t="s">
        <v>13</v>
      </c>
      <c r="G23" s="13">
        <v>21</v>
      </c>
      <c r="H23" s="42"/>
      <c r="I23" s="31">
        <f t="shared" si="8"/>
        <v>99590.59609050279</v>
      </c>
      <c r="J23" s="34"/>
      <c r="K23" s="33">
        <f t="shared" si="1"/>
        <v>99590.59609050279</v>
      </c>
      <c r="L23" s="31">
        <f t="shared" si="9"/>
        <v>5.7294772585980933</v>
      </c>
      <c r="M23" s="36"/>
      <c r="N23" s="32">
        <f t="shared" si="2"/>
        <v>1.4323693146495233</v>
      </c>
      <c r="O23" s="32">
        <f>L23*(1-$C$10)*Dashboard!J23</f>
        <v>0</v>
      </c>
      <c r="P23" s="33">
        <f t="shared" si="11"/>
        <v>4.2971079439485695</v>
      </c>
      <c r="Q23" s="31">
        <f t="shared" si="12"/>
        <v>46.722598433102839</v>
      </c>
      <c r="R23" s="32">
        <f t="shared" si="13"/>
        <v>1.909825752866031</v>
      </c>
      <c r="S23" s="32">
        <f t="shared" si="3"/>
        <v>3.3373284595073454</v>
      </c>
      <c r="T23" s="32">
        <f>Q23*(1-$C$11)*Dashboard!J23</f>
        <v>0</v>
      </c>
      <c r="U23" s="32">
        <f t="shared" si="4"/>
        <v>5.8870474025709569</v>
      </c>
      <c r="V23" s="33">
        <f t="shared" si="5"/>
        <v>39.408048323890569</v>
      </c>
      <c r="W23" s="31">
        <f t="shared" si="14"/>
        <v>52.452075691700934</v>
      </c>
      <c r="X23" s="32">
        <f t="shared" si="15"/>
        <v>2.5464343371547078</v>
      </c>
      <c r="Y23" s="33">
        <f t="shared" si="6"/>
        <v>54.998510028855641</v>
      </c>
      <c r="Z23" s="43">
        <f t="shared" si="7"/>
        <v>43.705156267839136</v>
      </c>
    </row>
    <row r="24" spans="2:26" s="2" customFormat="1" ht="16.8" thickBot="1" x14ac:dyDescent="0.4">
      <c r="B24" s="20"/>
      <c r="C24" s="21"/>
      <c r="D24" s="10"/>
      <c r="E24" s="22" t="s">
        <v>396</v>
      </c>
      <c r="F24" s="23" t="s">
        <v>23</v>
      </c>
      <c r="G24" s="24">
        <v>22</v>
      </c>
      <c r="H24" s="42"/>
      <c r="I24" s="37">
        <f t="shared" si="8"/>
        <v>99590.59609050279</v>
      </c>
      <c r="J24" s="38"/>
      <c r="K24" s="39">
        <f t="shared" si="1"/>
        <v>99590.59609050279</v>
      </c>
      <c r="L24" s="37">
        <f t="shared" si="9"/>
        <v>4.2971079439485695</v>
      </c>
      <c r="M24" s="38"/>
      <c r="N24" s="40">
        <f t="shared" si="2"/>
        <v>1.0742769859871424</v>
      </c>
      <c r="O24" s="40">
        <f>L24*(1-$C$10)*Dashboard!J24</f>
        <v>0.68753727103177131</v>
      </c>
      <c r="P24" s="39">
        <f t="shared" si="11"/>
        <v>2.5352936869296556</v>
      </c>
      <c r="Q24" s="31">
        <f t="shared" si="12"/>
        <v>39.408048323890569</v>
      </c>
      <c r="R24" s="40">
        <f t="shared" si="13"/>
        <v>1.4323693146495233</v>
      </c>
      <c r="S24" s="40">
        <f t="shared" si="3"/>
        <v>2.814860594563612</v>
      </c>
      <c r="T24" s="40">
        <f>Q24*(1-$C$11)*Dashboard!J24</f>
        <v>27.979714309962301</v>
      </c>
      <c r="U24" s="40">
        <f t="shared" si="4"/>
        <v>4.9654140888102116</v>
      </c>
      <c r="V24" s="39">
        <f t="shared" si="5"/>
        <v>5.0804286452039644</v>
      </c>
      <c r="W24" s="37">
        <f t="shared" si="14"/>
        <v>43.705156267839136</v>
      </c>
      <c r="X24" s="40">
        <f t="shared" si="15"/>
        <v>1.909825752866031</v>
      </c>
      <c r="Y24" s="33">
        <f t="shared" si="6"/>
        <v>45.61498202070517</v>
      </c>
      <c r="Z24" s="44">
        <f t="shared" si="7"/>
        <v>7.61572233213362</v>
      </c>
    </row>
    <row r="25" spans="2:26" s="2" customFormat="1" ht="4.95" customHeight="1" thickBot="1" x14ac:dyDescent="0.4">
      <c r="B25" s="25"/>
      <c r="C25" s="26"/>
      <c r="D25" s="10"/>
      <c r="E25" s="14"/>
      <c r="F25" s="14"/>
      <c r="G25" s="14"/>
      <c r="H25" s="14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2:26" s="2" customFormat="1" ht="16.2" customHeight="1" thickBot="1" x14ac:dyDescent="0.4">
      <c r="B26" s="190">
        <v>1</v>
      </c>
      <c r="C26" s="192"/>
      <c r="D26" s="8"/>
      <c r="E26" s="190">
        <v>2</v>
      </c>
      <c r="F26" s="191"/>
      <c r="G26" s="192"/>
      <c r="H26" s="8"/>
      <c r="I26" s="190">
        <v>3</v>
      </c>
      <c r="J26" s="191"/>
      <c r="K26" s="192"/>
      <c r="L26" s="190">
        <v>4</v>
      </c>
      <c r="M26" s="191"/>
      <c r="N26" s="191"/>
      <c r="O26" s="191"/>
      <c r="P26" s="192"/>
      <c r="Q26" s="190">
        <v>5</v>
      </c>
      <c r="R26" s="191"/>
      <c r="S26" s="191"/>
      <c r="T26" s="191"/>
      <c r="U26" s="191"/>
      <c r="V26" s="192"/>
      <c r="W26" s="190">
        <v>6</v>
      </c>
      <c r="X26" s="191"/>
      <c r="Y26" s="192"/>
      <c r="Z26" s="28">
        <v>7</v>
      </c>
    </row>
    <row r="27" spans="2:26" s="2" customFormat="1" ht="34.950000000000003" customHeight="1" x14ac:dyDescent="0.3">
      <c r="B27" s="4"/>
      <c r="C27" s="3"/>
      <c r="E27" s="3"/>
      <c r="F27" s="3"/>
      <c r="G27" s="3"/>
      <c r="H27" s="3"/>
      <c r="I27" s="3"/>
      <c r="J27" s="3"/>
    </row>
    <row r="28" spans="2:26" s="2" customFormat="1" x14ac:dyDescent="0.3">
      <c r="B28" s="4"/>
      <c r="C28" s="3"/>
      <c r="E28" s="3"/>
      <c r="F28" s="3"/>
      <c r="G28" s="3"/>
      <c r="H28" s="3"/>
      <c r="I28" s="3"/>
      <c r="J28" s="3"/>
    </row>
  </sheetData>
  <mergeCells count="6">
    <mergeCell ref="W26:Y26"/>
    <mergeCell ref="B26:C26"/>
    <mergeCell ref="E26:G26"/>
    <mergeCell ref="I26:K26"/>
    <mergeCell ref="L26:P26"/>
    <mergeCell ref="Q26:V2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A0F3-876C-4842-82F9-C9037E65B85F}">
  <dimension ref="A1:AA28"/>
  <sheetViews>
    <sheetView workbookViewId="0">
      <selection activeCell="F10" sqref="F10"/>
    </sheetView>
  </sheetViews>
  <sheetFormatPr defaultRowHeight="15.6" x14ac:dyDescent="0.3"/>
  <cols>
    <col min="1" max="1" width="1.88671875" style="2" customWidth="1"/>
    <col min="2" max="2" width="4.88671875" style="5" customWidth="1"/>
    <col min="3" max="3" width="11.33203125" style="1" customWidth="1"/>
    <col min="4" max="4" width="2.6640625" style="2" customWidth="1"/>
    <col min="5" max="5" width="6" style="1" bestFit="1" customWidth="1"/>
    <col min="6" max="6" width="10.88671875" style="1" bestFit="1" customWidth="1"/>
    <col min="7" max="7" width="3" style="1" bestFit="1" customWidth="1"/>
    <col min="8" max="8" width="1.44140625" style="3" customWidth="1"/>
    <col min="9" max="9" width="8.88671875" style="1" bestFit="1" customWidth="1"/>
    <col min="10" max="10" width="7.6640625" style="1" bestFit="1" customWidth="1"/>
    <col min="11" max="12" width="9.33203125" bestFit="1" customWidth="1"/>
    <col min="13" max="13" width="10.44140625" bestFit="1" customWidth="1"/>
    <col min="14" max="14" width="9.33203125" bestFit="1" customWidth="1"/>
    <col min="15" max="15" width="9.6640625" bestFit="1" customWidth="1"/>
    <col min="16" max="16" width="7.5546875" customWidth="1"/>
    <col min="17" max="17" width="6.6640625" bestFit="1" customWidth="1"/>
    <col min="18" max="18" width="9.33203125" bestFit="1" customWidth="1"/>
    <col min="19" max="19" width="8.33203125" bestFit="1" customWidth="1"/>
    <col min="20" max="20" width="8.88671875" bestFit="1" customWidth="1"/>
    <col min="21" max="21" width="10.5546875" bestFit="1" customWidth="1"/>
    <col min="22" max="22" width="5.44140625" bestFit="1" customWidth="1"/>
    <col min="23" max="23" width="7.6640625" bestFit="1" customWidth="1"/>
    <col min="24" max="24" width="8.33203125" bestFit="1" customWidth="1"/>
    <col min="25" max="25" width="6.44140625" bestFit="1" customWidth="1"/>
    <col min="26" max="26" width="7" customWidth="1"/>
    <col min="27" max="27" width="10.109375" style="2" customWidth="1"/>
  </cols>
  <sheetData>
    <row r="1" spans="2:26" s="2" customFormat="1" ht="6.6" customHeight="1" thickBot="1" x14ac:dyDescent="0.35">
      <c r="B1" s="4"/>
      <c r="C1" s="3"/>
      <c r="E1" s="3"/>
      <c r="F1" s="3"/>
      <c r="G1" s="3"/>
      <c r="H1" s="3"/>
      <c r="I1" s="3"/>
      <c r="J1" s="3"/>
    </row>
    <row r="2" spans="2:26" s="2" customFormat="1" ht="20.399999999999999" customHeight="1" x14ac:dyDescent="0.5">
      <c r="B2" s="29" t="s">
        <v>39</v>
      </c>
      <c r="C2" s="6" t="s">
        <v>0</v>
      </c>
      <c r="D2" s="7"/>
      <c r="E2" s="46" t="s">
        <v>469</v>
      </c>
      <c r="F2" s="47" t="s">
        <v>470</v>
      </c>
      <c r="G2" s="48" t="s">
        <v>468</v>
      </c>
      <c r="H2" s="8"/>
      <c r="I2" s="46" t="s">
        <v>471</v>
      </c>
      <c r="J2" s="49" t="s">
        <v>472</v>
      </c>
      <c r="K2" s="48" t="s">
        <v>473</v>
      </c>
      <c r="L2" s="46" t="s">
        <v>474</v>
      </c>
      <c r="M2" s="47" t="s">
        <v>475</v>
      </c>
      <c r="N2" s="47" t="s">
        <v>479</v>
      </c>
      <c r="O2" s="47" t="s">
        <v>476</v>
      </c>
      <c r="P2" s="48" t="s">
        <v>477</v>
      </c>
      <c r="Q2" s="50" t="s">
        <v>478</v>
      </c>
      <c r="R2" s="47" t="s">
        <v>479</v>
      </c>
      <c r="S2" s="47" t="s">
        <v>484</v>
      </c>
      <c r="T2" s="47" t="s">
        <v>480</v>
      </c>
      <c r="U2" s="47" t="s">
        <v>481</v>
      </c>
      <c r="V2" s="48" t="s">
        <v>482</v>
      </c>
      <c r="W2" s="46" t="s">
        <v>483</v>
      </c>
      <c r="X2" s="47" t="s">
        <v>484</v>
      </c>
      <c r="Y2" s="48" t="s">
        <v>485</v>
      </c>
      <c r="Z2" s="51" t="s">
        <v>564</v>
      </c>
    </row>
    <row r="3" spans="2:26" s="2" customFormat="1" ht="18" x14ac:dyDescent="0.35">
      <c r="B3" s="45" t="s">
        <v>24</v>
      </c>
      <c r="C3" s="121">
        <f>Dashboard!D5</f>
        <v>100000</v>
      </c>
      <c r="D3" s="10"/>
      <c r="E3" s="11" t="s">
        <v>1</v>
      </c>
      <c r="F3" s="12" t="s">
        <v>2</v>
      </c>
      <c r="G3" s="13">
        <v>1</v>
      </c>
      <c r="H3" s="42"/>
      <c r="I3" s="31">
        <f>C3-L3-Q3-W3</f>
        <v>99996.57</v>
      </c>
      <c r="J3" s="32">
        <f>I3*$C$14*$C$19</f>
        <v>3.4298823510000003</v>
      </c>
      <c r="K3" s="33">
        <f>I3-J3</f>
        <v>99993.140117649004</v>
      </c>
      <c r="L3" s="31">
        <f>C3*$C$14*$C$19*0.5</f>
        <v>1.7149999999999996</v>
      </c>
      <c r="M3" s="32">
        <v>0</v>
      </c>
      <c r="N3" s="32">
        <f>L3*$C$6</f>
        <v>0.42874999999999991</v>
      </c>
      <c r="O3" s="34"/>
      <c r="P3" s="33">
        <f>L3+M3-N3-O3</f>
        <v>1.2862499999999997</v>
      </c>
      <c r="Q3" s="31">
        <f>C3*$C$14*$C$19*0.5</f>
        <v>1.7149999999999996</v>
      </c>
      <c r="R3" s="32">
        <v>0</v>
      </c>
      <c r="S3" s="32">
        <f>Q3*$C$8</f>
        <v>0.12249999999999997</v>
      </c>
      <c r="T3" s="34"/>
      <c r="U3" s="32">
        <f>Q3*$C$9*(1-$C$21)</f>
        <v>0.21608999999999992</v>
      </c>
      <c r="V3" s="33">
        <f>Q3+R3-S3-T3-U3</f>
        <v>1.3764099999999997</v>
      </c>
      <c r="W3" s="31">
        <v>0</v>
      </c>
      <c r="X3" s="32">
        <v>0</v>
      </c>
      <c r="Y3" s="33">
        <f>W3+X3</f>
        <v>0</v>
      </c>
      <c r="Z3" s="43">
        <f>P3+V3</f>
        <v>2.6626599999999994</v>
      </c>
    </row>
    <row r="4" spans="2:26" s="2" customFormat="1" ht="18" x14ac:dyDescent="0.35">
      <c r="B4" s="45" t="s">
        <v>25</v>
      </c>
      <c r="C4" s="121">
        <f>C14*2</f>
        <v>9.7999999999999997E-5</v>
      </c>
      <c r="D4" s="10"/>
      <c r="E4" s="11" t="s">
        <v>1</v>
      </c>
      <c r="F4" s="12" t="s">
        <v>2</v>
      </c>
      <c r="G4" s="13">
        <v>2</v>
      </c>
      <c r="H4" s="42"/>
      <c r="I4" s="31">
        <f>K3</f>
        <v>99993.140117649004</v>
      </c>
      <c r="J4" s="32">
        <f t="shared" ref="J4:J8" si="0">I4*$C$14*$C$19</f>
        <v>3.4297647060353604</v>
      </c>
      <c r="K4" s="33">
        <f t="shared" ref="K4:K24" si="1">I4-J4</f>
        <v>99989.710352942973</v>
      </c>
      <c r="L4" s="31">
        <f>P3</f>
        <v>1.2862499999999997</v>
      </c>
      <c r="M4" s="32">
        <f>J3</f>
        <v>3.4298823510000003</v>
      </c>
      <c r="N4" s="32">
        <f t="shared" ref="N4:N24" si="2">L4*$C$6</f>
        <v>0.32156249999999992</v>
      </c>
      <c r="O4" s="34"/>
      <c r="P4" s="33">
        <f>L4+M4-N4-O4</f>
        <v>4.394569851</v>
      </c>
      <c r="Q4" s="31">
        <f>V3</f>
        <v>1.3764099999999997</v>
      </c>
      <c r="R4" s="32">
        <f>N3</f>
        <v>0.42874999999999991</v>
      </c>
      <c r="S4" s="32">
        <f t="shared" ref="S4:S24" si="3">Q4*$C$8</f>
        <v>9.8314999999999972E-2</v>
      </c>
      <c r="T4" s="34"/>
      <c r="U4" s="32">
        <f t="shared" ref="U4:U24" si="4">Q4*$C$9*(1-$C$21)</f>
        <v>0.17342765999999996</v>
      </c>
      <c r="V4" s="33">
        <f t="shared" ref="V4:V24" si="5">Q4+R4-S4-T4-U4</f>
        <v>1.5334173399999997</v>
      </c>
      <c r="W4" s="31">
        <f>Z3</f>
        <v>2.6626599999999994</v>
      </c>
      <c r="X4" s="32">
        <f>R3</f>
        <v>0</v>
      </c>
      <c r="Y4" s="33">
        <f t="shared" ref="Y4:Y24" si="6">W4+X4</f>
        <v>2.6626599999999994</v>
      </c>
      <c r="Z4" s="43">
        <f t="shared" ref="Z4:Z24" si="7">P4+V4</f>
        <v>5.9279871909999997</v>
      </c>
    </row>
    <row r="5" spans="2:26" s="2" customFormat="1" ht="18" x14ac:dyDescent="0.35">
      <c r="B5" s="45" t="s">
        <v>28</v>
      </c>
      <c r="C5" s="121">
        <f>Dashboard!D6</f>
        <v>4</v>
      </c>
      <c r="D5" s="10"/>
      <c r="E5" s="11" t="s">
        <v>3</v>
      </c>
      <c r="F5" s="12" t="s">
        <v>4</v>
      </c>
      <c r="G5" s="13">
        <v>3</v>
      </c>
      <c r="H5" s="42"/>
      <c r="I5" s="31">
        <f t="shared" ref="I5:I24" si="8">K4</f>
        <v>99989.710352942973</v>
      </c>
      <c r="J5" s="32">
        <f t="shared" si="0"/>
        <v>3.4296470651059439</v>
      </c>
      <c r="K5" s="33">
        <f t="shared" si="1"/>
        <v>99986.280705877871</v>
      </c>
      <c r="L5" s="31">
        <f t="shared" ref="L5:L24" si="9">P4</f>
        <v>4.394569851</v>
      </c>
      <c r="M5" s="32">
        <f t="shared" ref="M5:M10" si="10">J4</f>
        <v>3.4297647060353604</v>
      </c>
      <c r="N5" s="32">
        <f t="shared" si="2"/>
        <v>1.09864246275</v>
      </c>
      <c r="O5" s="32">
        <f>L5*(1-$C$10)*Dashboard!J5</f>
        <v>0</v>
      </c>
      <c r="P5" s="33">
        <f t="shared" ref="P5:P24" si="11">L5+M5-N5-O5</f>
        <v>6.7256920942853604</v>
      </c>
      <c r="Q5" s="31">
        <f t="shared" ref="Q5:Q24" si="12">V4</f>
        <v>1.5334173399999997</v>
      </c>
      <c r="R5" s="32">
        <f t="shared" ref="R5:R24" si="13">N4</f>
        <v>0.32156249999999992</v>
      </c>
      <c r="S5" s="32">
        <f t="shared" si="3"/>
        <v>0.10952980999999998</v>
      </c>
      <c r="T5" s="32">
        <f>(1-$C$11)*Q5*Dashboard!J5</f>
        <v>0</v>
      </c>
      <c r="U5" s="32">
        <f t="shared" si="4"/>
        <v>0.19321058483999995</v>
      </c>
      <c r="V5" s="33">
        <f t="shared" si="5"/>
        <v>1.5522394451599999</v>
      </c>
      <c r="W5" s="31">
        <f t="shared" ref="W5:W24" si="14">Z4</f>
        <v>5.9279871909999997</v>
      </c>
      <c r="X5" s="32">
        <f t="shared" ref="X5:X24" si="15">R4</f>
        <v>0.42874999999999991</v>
      </c>
      <c r="Y5" s="33">
        <f>W5+X5</f>
        <v>6.3567371909999997</v>
      </c>
      <c r="Z5" s="43">
        <f t="shared" si="7"/>
        <v>8.2779315394453601</v>
      </c>
    </row>
    <row r="6" spans="2:26" s="2" customFormat="1" ht="18" x14ac:dyDescent="0.35">
      <c r="B6" s="45" t="s">
        <v>26</v>
      </c>
      <c r="C6" s="122">
        <f>1/C5</f>
        <v>0.25</v>
      </c>
      <c r="D6" s="10"/>
      <c r="E6" s="11" t="s">
        <v>5</v>
      </c>
      <c r="F6" s="12" t="s">
        <v>6</v>
      </c>
      <c r="G6" s="13">
        <v>4</v>
      </c>
      <c r="H6" s="42"/>
      <c r="I6" s="31">
        <f t="shared" si="8"/>
        <v>99986.280705877871</v>
      </c>
      <c r="J6" s="32">
        <f t="shared" si="0"/>
        <v>3.4295294282116107</v>
      </c>
      <c r="K6" s="33">
        <f t="shared" si="1"/>
        <v>99982.851176449665</v>
      </c>
      <c r="L6" s="31">
        <f t="shared" si="9"/>
        <v>6.7256920942853604</v>
      </c>
      <c r="M6" s="32">
        <f t="shared" si="10"/>
        <v>3.4296470651059439</v>
      </c>
      <c r="N6" s="32">
        <f t="shared" si="2"/>
        <v>1.6814230235713401</v>
      </c>
      <c r="O6" s="32">
        <f>L6*(1-$C$10)*Dashboard!J6</f>
        <v>0</v>
      </c>
      <c r="P6" s="33">
        <f t="shared" si="11"/>
        <v>8.4739161358199624</v>
      </c>
      <c r="Q6" s="31">
        <f t="shared" si="12"/>
        <v>1.5522394451599999</v>
      </c>
      <c r="R6" s="32">
        <f t="shared" si="13"/>
        <v>1.09864246275</v>
      </c>
      <c r="S6" s="32">
        <f t="shared" si="3"/>
        <v>0.11087424608285713</v>
      </c>
      <c r="T6" s="32">
        <f>(1-$C$11)*Q6*Dashboard!J6</f>
        <v>0</v>
      </c>
      <c r="U6" s="32">
        <f t="shared" si="4"/>
        <v>0.19558217009015999</v>
      </c>
      <c r="V6" s="33">
        <f t="shared" si="5"/>
        <v>2.3444254917369824</v>
      </c>
      <c r="W6" s="31">
        <f t="shared" si="14"/>
        <v>8.2779315394453601</v>
      </c>
      <c r="X6" s="32">
        <f t="shared" si="15"/>
        <v>0.32156249999999992</v>
      </c>
      <c r="Y6" s="33">
        <f t="shared" si="6"/>
        <v>8.5994940394453607</v>
      </c>
      <c r="Z6" s="43">
        <f t="shared" si="7"/>
        <v>10.818341627556945</v>
      </c>
    </row>
    <row r="7" spans="2:26" s="2" customFormat="1" ht="18" x14ac:dyDescent="0.35">
      <c r="B7" s="45" t="s">
        <v>29</v>
      </c>
      <c r="C7" s="121">
        <f>Dashboard!D8</f>
        <v>14</v>
      </c>
      <c r="D7" s="10"/>
      <c r="E7" s="11" t="s">
        <v>5</v>
      </c>
      <c r="F7" s="12" t="s">
        <v>7</v>
      </c>
      <c r="G7" s="13">
        <v>5</v>
      </c>
      <c r="H7" s="42"/>
      <c r="I7" s="31">
        <f t="shared" si="8"/>
        <v>99982.851176449665</v>
      </c>
      <c r="J7" s="32">
        <f t="shared" si="0"/>
        <v>3.4294117953522232</v>
      </c>
      <c r="K7" s="33">
        <f t="shared" si="1"/>
        <v>99979.421764654311</v>
      </c>
      <c r="L7" s="31">
        <f t="shared" si="9"/>
        <v>8.4739161358199624</v>
      </c>
      <c r="M7" s="32">
        <f t="shared" si="10"/>
        <v>3.4295294282116107</v>
      </c>
      <c r="N7" s="32">
        <f t="shared" si="2"/>
        <v>2.1184790339549906</v>
      </c>
      <c r="O7" s="32">
        <f>L7*(1-$C$10)*Dashboard!J7</f>
        <v>0</v>
      </c>
      <c r="P7" s="33">
        <f t="shared" si="11"/>
        <v>9.7849665300765825</v>
      </c>
      <c r="Q7" s="31">
        <f t="shared" si="12"/>
        <v>2.3444254917369824</v>
      </c>
      <c r="R7" s="32">
        <f t="shared" si="13"/>
        <v>1.6814230235713401</v>
      </c>
      <c r="S7" s="32">
        <f t="shared" si="3"/>
        <v>0.16745896369549873</v>
      </c>
      <c r="T7" s="32">
        <f>(1-$C$11)*Q7*Dashboard!J7</f>
        <v>0</v>
      </c>
      <c r="U7" s="32">
        <f t="shared" si="4"/>
        <v>0.29539761195885977</v>
      </c>
      <c r="V7" s="33">
        <f t="shared" si="5"/>
        <v>3.5629919396539633</v>
      </c>
      <c r="W7" s="31">
        <f t="shared" si="14"/>
        <v>10.818341627556945</v>
      </c>
      <c r="X7" s="32">
        <f t="shared" si="15"/>
        <v>1.09864246275</v>
      </c>
      <c r="Y7" s="33">
        <f t="shared" si="6"/>
        <v>11.916984090306945</v>
      </c>
      <c r="Z7" s="43">
        <f t="shared" si="7"/>
        <v>13.347958469730546</v>
      </c>
    </row>
    <row r="8" spans="2:26" s="2" customFormat="1" ht="18" x14ac:dyDescent="0.35">
      <c r="B8" s="45" t="s">
        <v>27</v>
      </c>
      <c r="C8" s="122">
        <f>1/C7</f>
        <v>7.1428571428571425E-2</v>
      </c>
      <c r="D8" s="10"/>
      <c r="E8" s="11" t="s">
        <v>467</v>
      </c>
      <c r="F8" s="12" t="s">
        <v>8</v>
      </c>
      <c r="G8" s="13">
        <v>6</v>
      </c>
      <c r="H8" s="42"/>
      <c r="I8" s="31">
        <f t="shared" si="8"/>
        <v>99979.421764654311</v>
      </c>
      <c r="J8" s="32">
        <f t="shared" si="0"/>
        <v>3.4292941665276424</v>
      </c>
      <c r="K8" s="33">
        <f t="shared" si="1"/>
        <v>99975.992470487778</v>
      </c>
      <c r="L8" s="31">
        <f t="shared" si="9"/>
        <v>9.7849665300765825</v>
      </c>
      <c r="M8" s="32">
        <f t="shared" si="10"/>
        <v>3.4294117953522232</v>
      </c>
      <c r="N8" s="32">
        <f t="shared" si="2"/>
        <v>2.4462416325191456</v>
      </c>
      <c r="O8" s="32">
        <f>L8*(1-$C$10)*Dashboard!J8</f>
        <v>0</v>
      </c>
      <c r="P8" s="33">
        <f t="shared" si="11"/>
        <v>10.76813669290966</v>
      </c>
      <c r="Q8" s="31">
        <f t="shared" si="12"/>
        <v>3.5629919396539633</v>
      </c>
      <c r="R8" s="32">
        <f t="shared" si="13"/>
        <v>2.1184790339549906</v>
      </c>
      <c r="S8" s="32">
        <f t="shared" si="3"/>
        <v>0.25449942426099736</v>
      </c>
      <c r="T8" s="32">
        <f>(1-$C$11)*Q8*Dashboard!J8</f>
        <v>0</v>
      </c>
      <c r="U8" s="32">
        <f t="shared" si="4"/>
        <v>0.44893698439639934</v>
      </c>
      <c r="V8" s="33">
        <f t="shared" si="5"/>
        <v>4.9780345649515576</v>
      </c>
      <c r="W8" s="31">
        <f t="shared" si="14"/>
        <v>13.347958469730546</v>
      </c>
      <c r="X8" s="32">
        <f t="shared" si="15"/>
        <v>1.6814230235713401</v>
      </c>
      <c r="Y8" s="33">
        <f t="shared" si="6"/>
        <v>15.029381493301887</v>
      </c>
      <c r="Z8" s="43">
        <f t="shared" si="7"/>
        <v>15.746171257861217</v>
      </c>
    </row>
    <row r="9" spans="2:26" s="2" customFormat="1" ht="18" x14ac:dyDescent="0.35">
      <c r="B9" s="45" t="s">
        <v>30</v>
      </c>
      <c r="C9" s="122">
        <f>Dashboard!D11</f>
        <v>0.18</v>
      </c>
      <c r="D9" s="10"/>
      <c r="E9" s="11" t="s">
        <v>9</v>
      </c>
      <c r="F9" s="12" t="s">
        <v>10</v>
      </c>
      <c r="G9" s="13">
        <v>7</v>
      </c>
      <c r="H9" s="42"/>
      <c r="I9" s="31">
        <f t="shared" si="8"/>
        <v>99975.992470487778</v>
      </c>
      <c r="J9" s="32">
        <f>I9*$C$4*$C$19</f>
        <v>6.8583530834754605</v>
      </c>
      <c r="K9" s="33">
        <f t="shared" si="1"/>
        <v>99969.134117404305</v>
      </c>
      <c r="L9" s="31">
        <f t="shared" si="9"/>
        <v>10.76813669290966</v>
      </c>
      <c r="M9" s="35">
        <f t="shared" si="10"/>
        <v>3.4292941665276424</v>
      </c>
      <c r="N9" s="32">
        <f t="shared" si="2"/>
        <v>2.6920341732274151</v>
      </c>
      <c r="O9" s="34"/>
      <c r="P9" s="33">
        <f t="shared" si="11"/>
        <v>11.505396686209888</v>
      </c>
      <c r="Q9" s="31">
        <f t="shared" si="12"/>
        <v>4.9780345649515576</v>
      </c>
      <c r="R9" s="32">
        <f t="shared" si="13"/>
        <v>2.4462416325191456</v>
      </c>
      <c r="S9" s="32">
        <f t="shared" si="3"/>
        <v>0.35557389749653984</v>
      </c>
      <c r="T9" s="34"/>
      <c r="U9" s="32">
        <f t="shared" si="4"/>
        <v>0.6272323551838962</v>
      </c>
      <c r="V9" s="33">
        <f t="shared" si="5"/>
        <v>6.4414699447902679</v>
      </c>
      <c r="W9" s="31">
        <f t="shared" si="14"/>
        <v>15.746171257861217</v>
      </c>
      <c r="X9" s="32">
        <f t="shared" si="15"/>
        <v>2.1184790339549906</v>
      </c>
      <c r="Y9" s="33">
        <f t="shared" si="6"/>
        <v>17.864650291816208</v>
      </c>
      <c r="Z9" s="43">
        <f t="shared" si="7"/>
        <v>17.946866631000155</v>
      </c>
    </row>
    <row r="10" spans="2:26" s="2" customFormat="1" ht="18" x14ac:dyDescent="0.35">
      <c r="B10" s="45" t="s">
        <v>31</v>
      </c>
      <c r="C10" s="122">
        <f>Dashboard!D14</f>
        <v>0.84</v>
      </c>
      <c r="D10" s="10"/>
      <c r="E10" s="15" t="s">
        <v>382</v>
      </c>
      <c r="F10" s="16" t="s">
        <v>583</v>
      </c>
      <c r="G10" s="17">
        <v>8</v>
      </c>
      <c r="H10" s="42"/>
      <c r="I10" s="31">
        <f t="shared" si="8"/>
        <v>99969.134117404305</v>
      </c>
      <c r="J10" s="34"/>
      <c r="K10" s="33">
        <f t="shared" si="1"/>
        <v>99969.134117404305</v>
      </c>
      <c r="L10" s="31">
        <f t="shared" si="9"/>
        <v>11.505396686209888</v>
      </c>
      <c r="M10" s="35">
        <f t="shared" si="10"/>
        <v>6.8583530834754605</v>
      </c>
      <c r="N10" s="32">
        <f t="shared" si="2"/>
        <v>2.8763491715524721</v>
      </c>
      <c r="O10" s="32">
        <f>L10*(1-$C$10)*Dashboard!J9</f>
        <v>1.8408634697935824</v>
      </c>
      <c r="P10" s="33">
        <f>L10+M10-N10-O10</f>
        <v>13.646537128339293</v>
      </c>
      <c r="Q10" s="31">
        <f t="shared" si="12"/>
        <v>6.4414699447902679</v>
      </c>
      <c r="R10" s="32">
        <f t="shared" si="13"/>
        <v>2.6920341732274151</v>
      </c>
      <c r="S10" s="32">
        <f t="shared" si="3"/>
        <v>0.46010499605644767</v>
      </c>
      <c r="T10" s="32">
        <f>(1-$C$11)*Q10*Dashboard!J9</f>
        <v>4.5734436608010895</v>
      </c>
      <c r="U10" s="32">
        <f t="shared" si="4"/>
        <v>0.81162521304357371</v>
      </c>
      <c r="V10" s="33">
        <f t="shared" si="5"/>
        <v>3.2883302481165724</v>
      </c>
      <c r="W10" s="31">
        <f t="shared" si="14"/>
        <v>17.946866631000155</v>
      </c>
      <c r="X10" s="32">
        <f t="shared" si="15"/>
        <v>2.4462416325191456</v>
      </c>
      <c r="Y10" s="33">
        <f t="shared" si="6"/>
        <v>20.393108263519302</v>
      </c>
      <c r="Z10" s="43">
        <f t="shared" si="7"/>
        <v>16.934867376455866</v>
      </c>
    </row>
    <row r="11" spans="2:26" s="2" customFormat="1" ht="18" x14ac:dyDescent="0.35">
      <c r="B11" s="45" t="s">
        <v>32</v>
      </c>
      <c r="C11" s="122">
        <f>Dashboard!D15</f>
        <v>0.28999999999999998</v>
      </c>
      <c r="D11" s="10"/>
      <c r="E11" s="11" t="s">
        <v>383</v>
      </c>
      <c r="F11" s="12" t="s">
        <v>11</v>
      </c>
      <c r="G11" s="13">
        <v>9</v>
      </c>
      <c r="H11" s="42"/>
      <c r="I11" s="31">
        <f t="shared" si="8"/>
        <v>99969.134117404305</v>
      </c>
      <c r="J11" s="34"/>
      <c r="K11" s="33">
        <f t="shared" si="1"/>
        <v>99969.134117404305</v>
      </c>
      <c r="L11" s="31">
        <f>P10</f>
        <v>13.646537128339293</v>
      </c>
      <c r="M11" s="36"/>
      <c r="N11" s="32">
        <f t="shared" si="2"/>
        <v>3.4116342820848233</v>
      </c>
      <c r="O11" s="32">
        <f>L11*(1-$C$10)*Dashboard!J11</f>
        <v>0</v>
      </c>
      <c r="P11" s="33">
        <f t="shared" si="11"/>
        <v>10.234902846254471</v>
      </c>
      <c r="Q11" s="31">
        <f t="shared" si="12"/>
        <v>3.2883302481165724</v>
      </c>
      <c r="R11" s="32">
        <f t="shared" si="13"/>
        <v>2.8763491715524721</v>
      </c>
      <c r="S11" s="32">
        <f t="shared" si="3"/>
        <v>0.2348807320083266</v>
      </c>
      <c r="T11" s="32">
        <f>Q11*(1-$C$11)*Dashboard!J11</f>
        <v>0</v>
      </c>
      <c r="U11" s="32">
        <f t="shared" si="4"/>
        <v>0.41432961126268808</v>
      </c>
      <c r="V11" s="33">
        <f t="shared" si="5"/>
        <v>5.5154690763980296</v>
      </c>
      <c r="W11" s="31">
        <f t="shared" si="14"/>
        <v>16.934867376455866</v>
      </c>
      <c r="X11" s="32">
        <f t="shared" si="15"/>
        <v>2.6920341732274151</v>
      </c>
      <c r="Y11" s="33">
        <f t="shared" si="6"/>
        <v>19.626901549683282</v>
      </c>
      <c r="Z11" s="43">
        <f t="shared" si="7"/>
        <v>15.750371922652501</v>
      </c>
    </row>
    <row r="12" spans="2:26" s="2" customFormat="1" ht="16.2" x14ac:dyDescent="0.35">
      <c r="B12" s="9"/>
      <c r="C12" s="119"/>
      <c r="D12" s="10"/>
      <c r="E12" s="11" t="s">
        <v>384</v>
      </c>
      <c r="F12" s="12" t="s">
        <v>12</v>
      </c>
      <c r="G12" s="13">
        <v>10</v>
      </c>
      <c r="H12" s="42"/>
      <c r="I12" s="31">
        <f t="shared" si="8"/>
        <v>99969.134117404305</v>
      </c>
      <c r="J12" s="34"/>
      <c r="K12" s="33">
        <f t="shared" si="1"/>
        <v>99969.134117404305</v>
      </c>
      <c r="L12" s="31">
        <f t="shared" si="9"/>
        <v>10.234902846254471</v>
      </c>
      <c r="M12" s="36"/>
      <c r="N12" s="32">
        <f t="shared" si="2"/>
        <v>2.5587257115636177</v>
      </c>
      <c r="O12" s="32">
        <f>L12*(1-$C$10)*Dashboard!J12</f>
        <v>0</v>
      </c>
      <c r="P12" s="33">
        <f t="shared" si="11"/>
        <v>7.6761771346908532</v>
      </c>
      <c r="Q12" s="31">
        <f t="shared" si="12"/>
        <v>5.5154690763980296</v>
      </c>
      <c r="R12" s="32">
        <f t="shared" si="13"/>
        <v>3.4116342820848233</v>
      </c>
      <c r="S12" s="32">
        <f t="shared" si="3"/>
        <v>0.3939620768855735</v>
      </c>
      <c r="T12" s="32">
        <f>Q12*(1-$C$11)*Dashboard!J12</f>
        <v>0</v>
      </c>
      <c r="U12" s="32">
        <f t="shared" si="4"/>
        <v>0.6949491036261517</v>
      </c>
      <c r="V12" s="33">
        <f t="shared" si="5"/>
        <v>7.8381921779711279</v>
      </c>
      <c r="W12" s="31">
        <f t="shared" si="14"/>
        <v>15.750371922652501</v>
      </c>
      <c r="X12" s="32">
        <f t="shared" si="15"/>
        <v>2.8763491715524721</v>
      </c>
      <c r="Y12" s="33">
        <f t="shared" si="6"/>
        <v>18.626721094204974</v>
      </c>
      <c r="Z12" s="43">
        <f t="shared" si="7"/>
        <v>15.51436931266198</v>
      </c>
    </row>
    <row r="13" spans="2:26" s="2" customFormat="1" ht="16.2" x14ac:dyDescent="0.35">
      <c r="B13" s="30" t="s">
        <v>40</v>
      </c>
      <c r="C13" s="123" t="s">
        <v>0</v>
      </c>
      <c r="D13" s="10"/>
      <c r="E13" s="11" t="s">
        <v>385</v>
      </c>
      <c r="F13" s="12" t="s">
        <v>13</v>
      </c>
      <c r="G13" s="13">
        <v>11</v>
      </c>
      <c r="H13" s="42"/>
      <c r="I13" s="31">
        <f t="shared" si="8"/>
        <v>99969.134117404305</v>
      </c>
      <c r="J13" s="34"/>
      <c r="K13" s="33">
        <f t="shared" si="1"/>
        <v>99969.134117404305</v>
      </c>
      <c r="L13" s="31">
        <f t="shared" si="9"/>
        <v>7.6761771346908532</v>
      </c>
      <c r="M13" s="36"/>
      <c r="N13" s="32">
        <f t="shared" si="2"/>
        <v>1.9190442836727133</v>
      </c>
      <c r="O13" s="32">
        <f>L13*(1-$C$10)*Dashboard!J13</f>
        <v>0</v>
      </c>
      <c r="P13" s="33">
        <f t="shared" si="11"/>
        <v>5.7571328510181399</v>
      </c>
      <c r="Q13" s="31">
        <f t="shared" si="12"/>
        <v>7.8381921779711279</v>
      </c>
      <c r="R13" s="32">
        <f t="shared" si="13"/>
        <v>2.5587257115636177</v>
      </c>
      <c r="S13" s="32">
        <f t="shared" si="3"/>
        <v>0.5598708698550805</v>
      </c>
      <c r="T13" s="32">
        <f>Q13*(1-$C$11)*Dashboard!J13</f>
        <v>0</v>
      </c>
      <c r="U13" s="32">
        <f t="shared" si="4"/>
        <v>0.98761221442436198</v>
      </c>
      <c r="V13" s="33">
        <f t="shared" si="5"/>
        <v>8.8494348052553029</v>
      </c>
      <c r="W13" s="31">
        <f t="shared" si="14"/>
        <v>15.51436931266198</v>
      </c>
      <c r="X13" s="32">
        <f t="shared" si="15"/>
        <v>3.4116342820848233</v>
      </c>
      <c r="Y13" s="33">
        <f t="shared" si="6"/>
        <v>18.926003594746803</v>
      </c>
      <c r="Z13" s="43">
        <f t="shared" si="7"/>
        <v>14.606567656273443</v>
      </c>
    </row>
    <row r="14" spans="2:26" s="2" customFormat="1" ht="18" x14ac:dyDescent="0.35">
      <c r="B14" s="45" t="s">
        <v>33</v>
      </c>
      <c r="C14" s="119">
        <f>Dashboard!D22</f>
        <v>4.8999999999999998E-5</v>
      </c>
      <c r="D14" s="10"/>
      <c r="E14" s="11" t="s">
        <v>386</v>
      </c>
      <c r="F14" s="12" t="s">
        <v>14</v>
      </c>
      <c r="G14" s="13">
        <v>12</v>
      </c>
      <c r="H14" s="42"/>
      <c r="I14" s="31">
        <f t="shared" si="8"/>
        <v>99969.134117404305</v>
      </c>
      <c r="J14" s="34"/>
      <c r="K14" s="33">
        <f t="shared" si="1"/>
        <v>99969.134117404305</v>
      </c>
      <c r="L14" s="31">
        <f t="shared" si="9"/>
        <v>5.7571328510181399</v>
      </c>
      <c r="M14" s="36"/>
      <c r="N14" s="32">
        <f t="shared" si="2"/>
        <v>1.439283212754535</v>
      </c>
      <c r="O14" s="32">
        <f>L14*(1-$C$10)*Dashboard!J14</f>
        <v>0</v>
      </c>
      <c r="P14" s="33">
        <f t="shared" si="11"/>
        <v>4.3178496382636045</v>
      </c>
      <c r="Q14" s="31">
        <f t="shared" si="12"/>
        <v>8.8494348052553029</v>
      </c>
      <c r="R14" s="32">
        <f t="shared" si="13"/>
        <v>1.9190442836727133</v>
      </c>
      <c r="S14" s="32">
        <f t="shared" si="3"/>
        <v>0.63210248608966446</v>
      </c>
      <c r="T14" s="32">
        <f>Q14*(1-$C$11)*Dashboard!J14</f>
        <v>0</v>
      </c>
      <c r="U14" s="32">
        <f t="shared" si="4"/>
        <v>1.1150287854621681</v>
      </c>
      <c r="V14" s="33">
        <f t="shared" si="5"/>
        <v>9.0213478173761832</v>
      </c>
      <c r="W14" s="31">
        <f t="shared" si="14"/>
        <v>14.606567656273443</v>
      </c>
      <c r="X14" s="32">
        <f t="shared" si="15"/>
        <v>2.5587257115636177</v>
      </c>
      <c r="Y14" s="33">
        <f t="shared" si="6"/>
        <v>17.165293367837059</v>
      </c>
      <c r="Z14" s="43">
        <f t="shared" si="7"/>
        <v>13.339197455639788</v>
      </c>
    </row>
    <row r="15" spans="2:26" s="2" customFormat="1" ht="18" x14ac:dyDescent="0.35">
      <c r="B15" s="45" t="s">
        <v>34</v>
      </c>
      <c r="C15" s="119">
        <v>1</v>
      </c>
      <c r="D15" s="10"/>
      <c r="E15" s="11" t="s">
        <v>387</v>
      </c>
      <c r="F15" s="12" t="s">
        <v>15</v>
      </c>
      <c r="G15" s="13">
        <v>13</v>
      </c>
      <c r="H15" s="42"/>
      <c r="I15" s="31">
        <f t="shared" si="8"/>
        <v>99969.134117404305</v>
      </c>
      <c r="J15" s="34"/>
      <c r="K15" s="33">
        <f t="shared" si="1"/>
        <v>99969.134117404305</v>
      </c>
      <c r="L15" s="31">
        <f t="shared" si="9"/>
        <v>4.3178496382636045</v>
      </c>
      <c r="M15" s="36"/>
      <c r="N15" s="32">
        <f t="shared" si="2"/>
        <v>1.0794624095659011</v>
      </c>
      <c r="O15" s="32">
        <f>L15*(1-$C$10)*Dashboard!J15</f>
        <v>0</v>
      </c>
      <c r="P15" s="33">
        <f t="shared" si="11"/>
        <v>3.2383872286977033</v>
      </c>
      <c r="Q15" s="31">
        <f t="shared" si="12"/>
        <v>9.0213478173761832</v>
      </c>
      <c r="R15" s="32">
        <f t="shared" si="13"/>
        <v>1.439283212754535</v>
      </c>
      <c r="S15" s="32">
        <f t="shared" si="3"/>
        <v>0.64438198695544158</v>
      </c>
      <c r="T15" s="32">
        <f>Q15*(1-$C$11)*Dashboard!J15</f>
        <v>0</v>
      </c>
      <c r="U15" s="32">
        <f t="shared" si="4"/>
        <v>1.1366898249893991</v>
      </c>
      <c r="V15" s="33">
        <f t="shared" si="5"/>
        <v>8.6795592181858794</v>
      </c>
      <c r="W15" s="31">
        <f t="shared" si="14"/>
        <v>13.339197455639788</v>
      </c>
      <c r="X15" s="32">
        <f t="shared" si="15"/>
        <v>1.9190442836727133</v>
      </c>
      <c r="Y15" s="33">
        <f t="shared" si="6"/>
        <v>15.258241739312501</v>
      </c>
      <c r="Z15" s="43">
        <f t="shared" si="7"/>
        <v>11.917946446883583</v>
      </c>
    </row>
    <row r="16" spans="2:26" s="2" customFormat="1" ht="16.2" x14ac:dyDescent="0.35">
      <c r="B16" s="9"/>
      <c r="C16" s="119"/>
      <c r="D16" s="10"/>
      <c r="E16" s="11" t="s">
        <v>388</v>
      </c>
      <c r="F16" s="12" t="s">
        <v>16</v>
      </c>
      <c r="G16" s="13">
        <v>14</v>
      </c>
      <c r="H16" s="42"/>
      <c r="I16" s="31">
        <f t="shared" si="8"/>
        <v>99969.134117404305</v>
      </c>
      <c r="J16" s="34"/>
      <c r="K16" s="33">
        <f t="shared" si="1"/>
        <v>99969.134117404305</v>
      </c>
      <c r="L16" s="31">
        <f t="shared" si="9"/>
        <v>3.2383872286977033</v>
      </c>
      <c r="M16" s="36"/>
      <c r="N16" s="32">
        <f t="shared" si="2"/>
        <v>0.80959680717442584</v>
      </c>
      <c r="O16" s="32">
        <f>L16*(1-$C$10)*Dashboard!J16</f>
        <v>0</v>
      </c>
      <c r="P16" s="33">
        <f t="shared" si="11"/>
        <v>2.4287904215232774</v>
      </c>
      <c r="Q16" s="31">
        <f t="shared" si="12"/>
        <v>8.6795592181858794</v>
      </c>
      <c r="R16" s="32">
        <f t="shared" si="13"/>
        <v>1.0794624095659011</v>
      </c>
      <c r="S16" s="32">
        <f t="shared" si="3"/>
        <v>0.61996851558470567</v>
      </c>
      <c r="T16" s="32">
        <f>Q16*(1-$C$11)*Dashboard!J16</f>
        <v>0</v>
      </c>
      <c r="U16" s="32">
        <f t="shared" si="4"/>
        <v>1.0936244614914206</v>
      </c>
      <c r="V16" s="33">
        <f t="shared" si="5"/>
        <v>8.0454286506756532</v>
      </c>
      <c r="W16" s="31">
        <f t="shared" si="14"/>
        <v>11.917946446883583</v>
      </c>
      <c r="X16" s="32">
        <f t="shared" si="15"/>
        <v>1.439283212754535</v>
      </c>
      <c r="Y16" s="33">
        <f t="shared" si="6"/>
        <v>13.357229659638119</v>
      </c>
      <c r="Z16" s="43">
        <f t="shared" si="7"/>
        <v>10.474219072198931</v>
      </c>
    </row>
    <row r="17" spans="2:26" s="2" customFormat="1" ht="16.2" x14ac:dyDescent="0.35">
      <c r="B17" s="30" t="s">
        <v>41</v>
      </c>
      <c r="C17" s="123" t="s">
        <v>0</v>
      </c>
      <c r="D17" s="10"/>
      <c r="E17" s="11" t="s">
        <v>389</v>
      </c>
      <c r="F17" s="12" t="s">
        <v>17</v>
      </c>
      <c r="G17" s="13">
        <v>15</v>
      </c>
      <c r="H17" s="42"/>
      <c r="I17" s="31">
        <f t="shared" si="8"/>
        <v>99969.134117404305</v>
      </c>
      <c r="J17" s="34"/>
      <c r="K17" s="33">
        <f t="shared" si="1"/>
        <v>99969.134117404305</v>
      </c>
      <c r="L17" s="31">
        <f t="shared" si="9"/>
        <v>2.4287904215232774</v>
      </c>
      <c r="M17" s="36"/>
      <c r="N17" s="32">
        <f t="shared" si="2"/>
        <v>0.60719760538081935</v>
      </c>
      <c r="O17" s="32">
        <f>L17*(1-$C$10)*Dashboard!J17</f>
        <v>0</v>
      </c>
      <c r="P17" s="33">
        <f t="shared" si="11"/>
        <v>1.8215928161424579</v>
      </c>
      <c r="Q17" s="31">
        <f t="shared" si="12"/>
        <v>8.0454286506756532</v>
      </c>
      <c r="R17" s="32">
        <f t="shared" si="13"/>
        <v>0.80959680717442584</v>
      </c>
      <c r="S17" s="32">
        <f t="shared" si="3"/>
        <v>0.57467347504826094</v>
      </c>
      <c r="T17" s="32">
        <f>Q17*(1-$C$11)*Dashboard!J17</f>
        <v>0</v>
      </c>
      <c r="U17" s="32">
        <f t="shared" si="4"/>
        <v>1.0137240099851321</v>
      </c>
      <c r="V17" s="33">
        <f t="shared" si="5"/>
        <v>7.2666279728166856</v>
      </c>
      <c r="W17" s="31">
        <f t="shared" si="14"/>
        <v>10.474219072198931</v>
      </c>
      <c r="X17" s="32">
        <f t="shared" si="15"/>
        <v>1.0794624095659011</v>
      </c>
      <c r="Y17" s="33">
        <f t="shared" si="6"/>
        <v>11.553681481764832</v>
      </c>
      <c r="Z17" s="43">
        <f t="shared" si="7"/>
        <v>9.0882207889591431</v>
      </c>
    </row>
    <row r="18" spans="2:26" s="2" customFormat="1" ht="18" x14ac:dyDescent="0.35">
      <c r="B18" s="45" t="s">
        <v>35</v>
      </c>
      <c r="C18" s="119">
        <f>Dashboard!D30</f>
        <v>0.3</v>
      </c>
      <c r="D18" s="10"/>
      <c r="E18" s="11" t="s">
        <v>390</v>
      </c>
      <c r="F18" s="12" t="s">
        <v>18</v>
      </c>
      <c r="G18" s="13">
        <v>16</v>
      </c>
      <c r="H18" s="42"/>
      <c r="I18" s="31">
        <f t="shared" si="8"/>
        <v>99969.134117404305</v>
      </c>
      <c r="J18" s="34"/>
      <c r="K18" s="33">
        <f t="shared" si="1"/>
        <v>99969.134117404305</v>
      </c>
      <c r="L18" s="31">
        <f t="shared" si="9"/>
        <v>1.8215928161424579</v>
      </c>
      <c r="M18" s="36"/>
      <c r="N18" s="32">
        <f t="shared" si="2"/>
        <v>0.45539820403561448</v>
      </c>
      <c r="O18" s="32">
        <f>L18*(1-$C$10)*Dashboard!J18</f>
        <v>0</v>
      </c>
      <c r="P18" s="33">
        <f t="shared" si="11"/>
        <v>1.3661946121068436</v>
      </c>
      <c r="Q18" s="31">
        <f t="shared" si="12"/>
        <v>7.2666279728166856</v>
      </c>
      <c r="R18" s="32">
        <f t="shared" si="13"/>
        <v>0.60719760538081935</v>
      </c>
      <c r="S18" s="32">
        <f t="shared" si="3"/>
        <v>0.51904485520119181</v>
      </c>
      <c r="T18" s="32">
        <f>Q18*(1-$C$11)*Dashboard!J18</f>
        <v>0</v>
      </c>
      <c r="U18" s="32">
        <f t="shared" si="4"/>
        <v>0.91559512457490222</v>
      </c>
      <c r="V18" s="33">
        <f t="shared" si="5"/>
        <v>6.4391855984214112</v>
      </c>
      <c r="W18" s="31">
        <f t="shared" si="14"/>
        <v>9.0882207889591431</v>
      </c>
      <c r="X18" s="32">
        <f t="shared" si="15"/>
        <v>0.80959680717442584</v>
      </c>
      <c r="Y18" s="33">
        <f t="shared" si="6"/>
        <v>9.897817596133569</v>
      </c>
      <c r="Z18" s="43">
        <f t="shared" si="7"/>
        <v>7.8053802105282548</v>
      </c>
    </row>
    <row r="19" spans="2:26" s="2" customFormat="1" ht="18" x14ac:dyDescent="0.35">
      <c r="B19" s="45" t="s">
        <v>36</v>
      </c>
      <c r="C19" s="119">
        <f>(((C15)*(1-C18))+(1-C15))</f>
        <v>0.7</v>
      </c>
      <c r="D19" s="10"/>
      <c r="E19" s="11" t="s">
        <v>391</v>
      </c>
      <c r="F19" s="12" t="s">
        <v>19</v>
      </c>
      <c r="G19" s="13">
        <v>17</v>
      </c>
      <c r="H19" s="42"/>
      <c r="I19" s="31">
        <f t="shared" si="8"/>
        <v>99969.134117404305</v>
      </c>
      <c r="J19" s="34"/>
      <c r="K19" s="33">
        <f t="shared" si="1"/>
        <v>99969.134117404305</v>
      </c>
      <c r="L19" s="31">
        <f t="shared" si="9"/>
        <v>1.3661946121068436</v>
      </c>
      <c r="M19" s="36"/>
      <c r="N19" s="32">
        <f t="shared" si="2"/>
        <v>0.34154865302671089</v>
      </c>
      <c r="O19" s="32">
        <f>L19*(1-$C$10)*Dashboard!J19</f>
        <v>0</v>
      </c>
      <c r="P19" s="33">
        <f t="shared" si="11"/>
        <v>1.0246459590801327</v>
      </c>
      <c r="Q19" s="31">
        <f t="shared" si="12"/>
        <v>6.4391855984214112</v>
      </c>
      <c r="R19" s="32">
        <f t="shared" si="13"/>
        <v>0.45539820403561448</v>
      </c>
      <c r="S19" s="32">
        <f t="shared" si="3"/>
        <v>0.45994182845867221</v>
      </c>
      <c r="T19" s="32">
        <f>Q19*(1-$C$11)*Dashboard!J19</f>
        <v>0</v>
      </c>
      <c r="U19" s="32">
        <f t="shared" si="4"/>
        <v>0.81133738540109779</v>
      </c>
      <c r="V19" s="33">
        <f t="shared" si="5"/>
        <v>5.6233045885972563</v>
      </c>
      <c r="W19" s="31">
        <f t="shared" si="14"/>
        <v>7.8053802105282548</v>
      </c>
      <c r="X19" s="32">
        <f t="shared" si="15"/>
        <v>0.60719760538081935</v>
      </c>
      <c r="Y19" s="33">
        <f t="shared" si="6"/>
        <v>8.4125778159090743</v>
      </c>
      <c r="Z19" s="43">
        <f t="shared" si="7"/>
        <v>6.6479505476773895</v>
      </c>
    </row>
    <row r="20" spans="2:26" s="2" customFormat="1" ht="18" x14ac:dyDescent="0.35">
      <c r="B20" s="45" t="s">
        <v>37</v>
      </c>
      <c r="C20" s="119">
        <f>Dashboard!D31</f>
        <v>0.7</v>
      </c>
      <c r="D20" s="10"/>
      <c r="E20" s="11" t="s">
        <v>392</v>
      </c>
      <c r="F20" s="12" t="s">
        <v>20</v>
      </c>
      <c r="G20" s="13">
        <v>18</v>
      </c>
      <c r="H20" s="42"/>
      <c r="I20" s="31">
        <f t="shared" si="8"/>
        <v>99969.134117404305</v>
      </c>
      <c r="J20" s="34"/>
      <c r="K20" s="33">
        <f t="shared" si="1"/>
        <v>99969.134117404305</v>
      </c>
      <c r="L20" s="31">
        <f t="shared" si="9"/>
        <v>1.0246459590801327</v>
      </c>
      <c r="M20" s="36"/>
      <c r="N20" s="32">
        <f t="shared" si="2"/>
        <v>0.25616148977003317</v>
      </c>
      <c r="O20" s="32">
        <f>L20*(1-$C$10)*Dashboard!J20</f>
        <v>0</v>
      </c>
      <c r="P20" s="33">
        <f t="shared" si="11"/>
        <v>0.76848446931009951</v>
      </c>
      <c r="Q20" s="31">
        <f t="shared" si="12"/>
        <v>5.6233045885972563</v>
      </c>
      <c r="R20" s="32">
        <f t="shared" si="13"/>
        <v>0.34154865302671089</v>
      </c>
      <c r="S20" s="32">
        <f t="shared" si="3"/>
        <v>0.40166461347123256</v>
      </c>
      <c r="T20" s="32">
        <f>Q20*(1-$C$11)*Dashboard!J20</f>
        <v>0</v>
      </c>
      <c r="U20" s="32">
        <f t="shared" si="4"/>
        <v>0.70853637816325432</v>
      </c>
      <c r="V20" s="33">
        <f t="shared" si="5"/>
        <v>4.8546522499894804</v>
      </c>
      <c r="W20" s="31">
        <f t="shared" si="14"/>
        <v>6.6479505476773895</v>
      </c>
      <c r="X20" s="32">
        <f t="shared" si="15"/>
        <v>0.45539820403561448</v>
      </c>
      <c r="Y20" s="33">
        <f t="shared" si="6"/>
        <v>7.1033487517130043</v>
      </c>
      <c r="Z20" s="43">
        <f t="shared" si="7"/>
        <v>5.6231367192995796</v>
      </c>
    </row>
    <row r="21" spans="2:26" s="2" customFormat="1" ht="18" x14ac:dyDescent="0.35">
      <c r="B21" s="45" t="s">
        <v>38</v>
      </c>
      <c r="C21" s="120">
        <f>(((C15)*(1-C20))+(1-C15))</f>
        <v>0.30000000000000004</v>
      </c>
      <c r="D21" s="10"/>
      <c r="E21" s="11" t="s">
        <v>393</v>
      </c>
      <c r="F21" s="12" t="s">
        <v>21</v>
      </c>
      <c r="G21" s="13">
        <v>19</v>
      </c>
      <c r="H21" s="42"/>
      <c r="I21" s="31">
        <f t="shared" si="8"/>
        <v>99969.134117404305</v>
      </c>
      <c r="J21" s="34"/>
      <c r="K21" s="33">
        <f t="shared" si="1"/>
        <v>99969.134117404305</v>
      </c>
      <c r="L21" s="31">
        <f t="shared" si="9"/>
        <v>0.76848446931009951</v>
      </c>
      <c r="M21" s="36"/>
      <c r="N21" s="32">
        <f t="shared" si="2"/>
        <v>0.19212111732752488</v>
      </c>
      <c r="O21" s="32">
        <f>L21*(1-$C$10)*Dashboard!J21</f>
        <v>0</v>
      </c>
      <c r="P21" s="33">
        <f t="shared" si="11"/>
        <v>0.5763633519825746</v>
      </c>
      <c r="Q21" s="31">
        <f t="shared" si="12"/>
        <v>4.8546522499894804</v>
      </c>
      <c r="R21" s="32">
        <f t="shared" si="13"/>
        <v>0.25616148977003317</v>
      </c>
      <c r="S21" s="32">
        <f t="shared" si="3"/>
        <v>0.34676087499924857</v>
      </c>
      <c r="T21" s="32">
        <f>Q21*(1-$C$11)*Dashboard!J21</f>
        <v>0</v>
      </c>
      <c r="U21" s="32">
        <f t="shared" si="4"/>
        <v>0.61168618349867454</v>
      </c>
      <c r="V21" s="33">
        <f t="shared" si="5"/>
        <v>4.15236668126159</v>
      </c>
      <c r="W21" s="31">
        <f t="shared" si="14"/>
        <v>5.6231367192995796</v>
      </c>
      <c r="X21" s="32">
        <f t="shared" si="15"/>
        <v>0.34154865302671089</v>
      </c>
      <c r="Y21" s="33">
        <f t="shared" si="6"/>
        <v>5.96468537232629</v>
      </c>
      <c r="Z21" s="43">
        <f t="shared" si="7"/>
        <v>4.7287300332441644</v>
      </c>
    </row>
    <row r="22" spans="2:26" s="2" customFormat="1" ht="16.2" x14ac:dyDescent="0.35">
      <c r="B22" s="9"/>
      <c r="C22" s="18"/>
      <c r="D22" s="10"/>
      <c r="E22" s="11" t="s">
        <v>394</v>
      </c>
      <c r="F22" s="12" t="s">
        <v>22</v>
      </c>
      <c r="G22" s="13">
        <v>20</v>
      </c>
      <c r="H22" s="42"/>
      <c r="I22" s="31">
        <f t="shared" si="8"/>
        <v>99969.134117404305</v>
      </c>
      <c r="J22" s="34"/>
      <c r="K22" s="33">
        <f t="shared" si="1"/>
        <v>99969.134117404305</v>
      </c>
      <c r="L22" s="31">
        <f t="shared" si="9"/>
        <v>0.5763633519825746</v>
      </c>
      <c r="M22" s="36"/>
      <c r="N22" s="32">
        <f t="shared" si="2"/>
        <v>0.14409083799564365</v>
      </c>
      <c r="O22" s="32">
        <f>L22*(1-$C$10)*Dashboard!J22</f>
        <v>0</v>
      </c>
      <c r="P22" s="33">
        <f t="shared" si="11"/>
        <v>0.43227251398693095</v>
      </c>
      <c r="Q22" s="31">
        <f t="shared" si="12"/>
        <v>4.15236668126159</v>
      </c>
      <c r="R22" s="32">
        <f t="shared" si="13"/>
        <v>0.19212111732752488</v>
      </c>
      <c r="S22" s="32">
        <f t="shared" si="3"/>
        <v>0.29659762009011353</v>
      </c>
      <c r="T22" s="32">
        <f>Q22*(1-$C$11)*Dashboard!J22</f>
        <v>0</v>
      </c>
      <c r="U22" s="32">
        <f t="shared" si="4"/>
        <v>0.52319820183896026</v>
      </c>
      <c r="V22" s="33">
        <f t="shared" si="5"/>
        <v>3.5246919766600406</v>
      </c>
      <c r="W22" s="31">
        <f t="shared" si="14"/>
        <v>4.7287300332441644</v>
      </c>
      <c r="X22" s="32">
        <f t="shared" si="15"/>
        <v>0.25616148977003317</v>
      </c>
      <c r="Y22" s="33">
        <f t="shared" si="6"/>
        <v>4.9848915230141975</v>
      </c>
      <c r="Z22" s="43">
        <f t="shared" si="7"/>
        <v>3.9569644906469716</v>
      </c>
    </row>
    <row r="23" spans="2:26" s="2" customFormat="1" ht="16.2" x14ac:dyDescent="0.35">
      <c r="B23" s="9"/>
      <c r="C23" s="18"/>
      <c r="D23" s="10"/>
      <c r="E23" s="11" t="s">
        <v>395</v>
      </c>
      <c r="F23" s="12" t="s">
        <v>13</v>
      </c>
      <c r="G23" s="13">
        <v>21</v>
      </c>
      <c r="H23" s="42"/>
      <c r="I23" s="31">
        <f t="shared" si="8"/>
        <v>99969.134117404305</v>
      </c>
      <c r="J23" s="34"/>
      <c r="K23" s="33">
        <f t="shared" si="1"/>
        <v>99969.134117404305</v>
      </c>
      <c r="L23" s="31">
        <f t="shared" si="9"/>
        <v>0.43227251398693095</v>
      </c>
      <c r="M23" s="36"/>
      <c r="N23" s="32">
        <f t="shared" si="2"/>
        <v>0.10806812849673274</v>
      </c>
      <c r="O23" s="32">
        <f>L23*(1-$C$10)*Dashboard!J23</f>
        <v>0</v>
      </c>
      <c r="P23" s="33">
        <f t="shared" si="11"/>
        <v>0.3242043854901982</v>
      </c>
      <c r="Q23" s="31">
        <f t="shared" si="12"/>
        <v>3.5246919766600406</v>
      </c>
      <c r="R23" s="32">
        <f t="shared" si="13"/>
        <v>0.14409083799564365</v>
      </c>
      <c r="S23" s="32">
        <f t="shared" si="3"/>
        <v>0.25176371261857433</v>
      </c>
      <c r="T23" s="32">
        <f>Q23*(1-$C$11)*Dashboard!J23</f>
        <v>0</v>
      </c>
      <c r="U23" s="32">
        <f t="shared" si="4"/>
        <v>0.44411118905916508</v>
      </c>
      <c r="V23" s="33">
        <f t="shared" si="5"/>
        <v>2.972907912977945</v>
      </c>
      <c r="W23" s="31">
        <f t="shared" si="14"/>
        <v>3.9569644906469716</v>
      </c>
      <c r="X23" s="32">
        <f t="shared" si="15"/>
        <v>0.19212111732752488</v>
      </c>
      <c r="Y23" s="33">
        <f t="shared" si="6"/>
        <v>4.1490856079744969</v>
      </c>
      <c r="Z23" s="43">
        <f t="shared" si="7"/>
        <v>3.2971122984681434</v>
      </c>
    </row>
    <row r="24" spans="2:26" s="2" customFormat="1" ht="16.8" thickBot="1" x14ac:dyDescent="0.4">
      <c r="B24" s="20"/>
      <c r="C24" s="21"/>
      <c r="D24" s="10"/>
      <c r="E24" s="22" t="s">
        <v>396</v>
      </c>
      <c r="F24" s="23" t="s">
        <v>23</v>
      </c>
      <c r="G24" s="24">
        <v>22</v>
      </c>
      <c r="H24" s="42"/>
      <c r="I24" s="37">
        <f t="shared" si="8"/>
        <v>99969.134117404305</v>
      </c>
      <c r="J24" s="38"/>
      <c r="K24" s="39">
        <f t="shared" si="1"/>
        <v>99969.134117404305</v>
      </c>
      <c r="L24" s="37">
        <f t="shared" si="9"/>
        <v>0.3242043854901982</v>
      </c>
      <c r="M24" s="38"/>
      <c r="N24" s="40">
        <f t="shared" si="2"/>
        <v>8.105109637254955E-2</v>
      </c>
      <c r="O24" s="40">
        <f>L24*(1-$C$10)*Dashboard!J24</f>
        <v>5.1872701678431721E-2</v>
      </c>
      <c r="P24" s="39">
        <f t="shared" si="11"/>
        <v>0.19128058743921694</v>
      </c>
      <c r="Q24" s="31">
        <f t="shared" si="12"/>
        <v>2.972907912977945</v>
      </c>
      <c r="R24" s="40">
        <f t="shared" si="13"/>
        <v>0.10806812849673274</v>
      </c>
      <c r="S24" s="40">
        <f t="shared" si="3"/>
        <v>0.21235056521271034</v>
      </c>
      <c r="T24" s="40">
        <f>Q24*(1-$C$11)*Dashboard!J24</f>
        <v>2.1107646182143407</v>
      </c>
      <c r="U24" s="40">
        <f t="shared" si="4"/>
        <v>0.37458639703522106</v>
      </c>
      <c r="V24" s="39">
        <f t="shared" si="5"/>
        <v>0.38327446101240564</v>
      </c>
      <c r="W24" s="37">
        <f t="shared" si="14"/>
        <v>3.2971122984681434</v>
      </c>
      <c r="X24" s="40">
        <f t="shared" si="15"/>
        <v>0.14409083799564365</v>
      </c>
      <c r="Y24" s="33">
        <f t="shared" si="6"/>
        <v>3.4412031364637872</v>
      </c>
      <c r="Z24" s="44">
        <f t="shared" si="7"/>
        <v>0.57455504845162264</v>
      </c>
    </row>
    <row r="25" spans="2:26" s="2" customFormat="1" ht="4.95" customHeight="1" thickBot="1" x14ac:dyDescent="0.4">
      <c r="B25" s="25"/>
      <c r="C25" s="26"/>
      <c r="D25" s="10"/>
      <c r="E25" s="14"/>
      <c r="F25" s="14"/>
      <c r="G25" s="14"/>
      <c r="H25" s="14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2:26" s="2" customFormat="1" ht="16.2" customHeight="1" thickBot="1" x14ac:dyDescent="0.4">
      <c r="B26" s="190">
        <v>1</v>
      </c>
      <c r="C26" s="192"/>
      <c r="D26" s="8"/>
      <c r="E26" s="190">
        <v>2</v>
      </c>
      <c r="F26" s="191"/>
      <c r="G26" s="192"/>
      <c r="H26" s="8"/>
      <c r="I26" s="190">
        <v>3</v>
      </c>
      <c r="J26" s="191"/>
      <c r="K26" s="192"/>
      <c r="L26" s="190">
        <v>4</v>
      </c>
      <c r="M26" s="191"/>
      <c r="N26" s="191"/>
      <c r="O26" s="191"/>
      <c r="P26" s="192"/>
      <c r="Q26" s="190">
        <v>5</v>
      </c>
      <c r="R26" s="191"/>
      <c r="S26" s="191"/>
      <c r="T26" s="191"/>
      <c r="U26" s="191"/>
      <c r="V26" s="192"/>
      <c r="W26" s="190">
        <v>6</v>
      </c>
      <c r="X26" s="191"/>
      <c r="Y26" s="192"/>
      <c r="Z26" s="28">
        <v>7</v>
      </c>
    </row>
    <row r="27" spans="2:26" s="2" customFormat="1" ht="34.950000000000003" customHeight="1" x14ac:dyDescent="0.3">
      <c r="B27" s="4"/>
      <c r="C27" s="3"/>
      <c r="E27" s="3"/>
      <c r="F27" s="3"/>
      <c r="G27" s="3"/>
      <c r="H27" s="3"/>
      <c r="I27" s="3"/>
      <c r="J27" s="3"/>
    </row>
    <row r="28" spans="2:26" s="2" customFormat="1" x14ac:dyDescent="0.3">
      <c r="B28" s="4"/>
      <c r="C28" s="3"/>
      <c r="E28" s="3"/>
      <c r="F28" s="3"/>
      <c r="G28" s="3"/>
      <c r="H28" s="3"/>
      <c r="I28" s="3"/>
      <c r="J28" s="3"/>
    </row>
  </sheetData>
  <mergeCells count="6">
    <mergeCell ref="W26:Y26"/>
    <mergeCell ref="B26:C26"/>
    <mergeCell ref="E26:G26"/>
    <mergeCell ref="I26:K26"/>
    <mergeCell ref="L26:P26"/>
    <mergeCell ref="Q26:V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E4A57-B5C1-4D52-B805-A28B775E5C1B}">
  <dimension ref="B1:W31"/>
  <sheetViews>
    <sheetView workbookViewId="0">
      <selection activeCell="G27" sqref="G27"/>
    </sheetView>
  </sheetViews>
  <sheetFormatPr defaultColWidth="8.88671875" defaultRowHeight="14.4" x14ac:dyDescent="0.3"/>
  <cols>
    <col min="1" max="1" width="2" style="2" customWidth="1"/>
    <col min="2" max="2" width="3.33203125" style="2" customWidth="1"/>
    <col min="3" max="3" width="26.88671875" style="2" customWidth="1"/>
    <col min="4" max="4" width="13.6640625" style="3" customWidth="1"/>
    <col min="5" max="5" width="1.6640625" style="2" customWidth="1"/>
    <col min="6" max="6" width="10.88671875" style="2" bestFit="1" customWidth="1"/>
    <col min="7" max="7" width="14" style="2" customWidth="1"/>
    <col min="8" max="8" width="1.88671875" style="2" customWidth="1"/>
    <col min="9" max="9" width="10.88671875" style="2" bestFit="1" customWidth="1"/>
    <col min="10" max="10" width="13.33203125" style="3" customWidth="1"/>
    <col min="11" max="11" width="1.5546875" style="3" customWidth="1"/>
    <col min="12" max="12" width="2.6640625" style="2" customWidth="1"/>
    <col min="13" max="13" width="13.6640625" style="2" customWidth="1"/>
    <col min="14" max="17" width="7.33203125" style="2" customWidth="1"/>
    <col min="18" max="18" width="1.6640625" style="2" customWidth="1"/>
    <col min="19" max="19" width="13.6640625" style="2" bestFit="1" customWidth="1"/>
    <col min="20" max="23" width="7.33203125" style="2" customWidth="1"/>
    <col min="24" max="16384" width="8.88671875" style="2"/>
  </cols>
  <sheetData>
    <row r="1" spans="2:23" ht="11.25" customHeight="1" thickBot="1" x14ac:dyDescent="0.35"/>
    <row r="2" spans="2:23" ht="21" customHeight="1" x14ac:dyDescent="0.3">
      <c r="B2" s="204" t="s">
        <v>532</v>
      </c>
      <c r="C2" s="204"/>
      <c r="D2" s="204"/>
      <c r="F2" s="202" t="s">
        <v>504</v>
      </c>
      <c r="G2" s="203"/>
      <c r="H2" s="150"/>
      <c r="I2" s="202" t="s">
        <v>528</v>
      </c>
      <c r="J2" s="203"/>
      <c r="K2" s="160"/>
      <c r="L2" s="171"/>
      <c r="M2" s="200" t="s">
        <v>535</v>
      </c>
      <c r="N2" s="200"/>
      <c r="O2" s="200"/>
      <c r="P2" s="200"/>
      <c r="Q2" s="201"/>
      <c r="S2" s="199" t="s">
        <v>562</v>
      </c>
      <c r="T2" s="200"/>
      <c r="U2" s="200"/>
      <c r="V2" s="200"/>
      <c r="W2" s="201"/>
    </row>
    <row r="3" spans="2:23" ht="14.4" customHeight="1" thickBot="1" x14ac:dyDescent="0.35">
      <c r="F3" s="193"/>
      <c r="G3" s="194"/>
      <c r="H3" s="150"/>
      <c r="I3" s="151"/>
      <c r="J3" s="152"/>
      <c r="K3" s="159"/>
      <c r="L3" s="195" t="s">
        <v>553</v>
      </c>
      <c r="M3" s="101"/>
      <c r="N3" s="132" t="s">
        <v>501</v>
      </c>
      <c r="O3" s="133" t="s">
        <v>502</v>
      </c>
      <c r="P3" s="132" t="s">
        <v>503</v>
      </c>
      <c r="Q3" s="134" t="s">
        <v>536</v>
      </c>
      <c r="S3" s="100"/>
      <c r="T3" s="129" t="s">
        <v>501</v>
      </c>
      <c r="U3" s="130" t="s">
        <v>502</v>
      </c>
      <c r="V3" s="129" t="s">
        <v>503</v>
      </c>
      <c r="W3" s="131" t="s">
        <v>536</v>
      </c>
    </row>
    <row r="4" spans="2:23" x14ac:dyDescent="0.3">
      <c r="B4" s="97" t="s">
        <v>489</v>
      </c>
      <c r="C4" s="98"/>
      <c r="D4" s="99" t="s">
        <v>0</v>
      </c>
      <c r="F4" s="153" t="s">
        <v>527</v>
      </c>
      <c r="G4" s="154"/>
      <c r="H4" s="150"/>
      <c r="I4" s="153" t="s">
        <v>527</v>
      </c>
      <c r="J4" s="155"/>
      <c r="K4" s="159"/>
      <c r="L4" s="195"/>
      <c r="M4" s="161" t="s">
        <v>533</v>
      </c>
      <c r="N4" s="135" t="str">
        <f>IF(SUM(G5:G9)=0,NVNC!Z10,"-")</f>
        <v>-</v>
      </c>
      <c r="O4" s="136" t="str">
        <f>IF(SUM(G5:G9)=0,'NVC 1'!Z10,"-")</f>
        <v>-</v>
      </c>
      <c r="P4" s="135" t="str">
        <f>IF(SUM(G5:G9)=0,'NVC 2'!Z10,"-")</f>
        <v>-</v>
      </c>
      <c r="Q4" s="137" t="str">
        <f>IF(SUM(G5:G9)=0,'NVC 3'!Z10,"-")</f>
        <v>-</v>
      </c>
      <c r="S4" s="126" t="s">
        <v>533</v>
      </c>
      <c r="T4" s="135" t="str">
        <f>IF(SUM(J5:J9)=0,VNC!Z10,"-")</f>
        <v>-</v>
      </c>
      <c r="U4" s="136" t="str">
        <f>IF(SUM(J5:J9)=0,'VC 1'!Z10,"-")</f>
        <v>-</v>
      </c>
      <c r="V4" s="135" t="str">
        <f>IF(SUM(J5:J9)=0,'VC 2'!Z10,"-")</f>
        <v>-</v>
      </c>
      <c r="W4" s="137" t="str">
        <f>IF(SUM(J5:J9)=0,'VC 3'!Z10,"-")</f>
        <v>-</v>
      </c>
    </row>
    <row r="5" spans="2:23" x14ac:dyDescent="0.3">
      <c r="B5" s="100" t="s">
        <v>555</v>
      </c>
      <c r="C5" s="101"/>
      <c r="D5" s="102">
        <v>100000</v>
      </c>
      <c r="F5" s="151" t="s">
        <v>508</v>
      </c>
      <c r="G5" s="152">
        <v>0</v>
      </c>
      <c r="H5" s="150"/>
      <c r="I5" s="151" t="s">
        <v>508</v>
      </c>
      <c r="J5" s="152">
        <v>0</v>
      </c>
      <c r="K5" s="159"/>
      <c r="L5" s="195"/>
      <c r="M5" s="162" t="s">
        <v>508</v>
      </c>
      <c r="N5" s="135" t="str">
        <f>IF(G5=1,NVNC!Z10,"-")</f>
        <v>-</v>
      </c>
      <c r="O5" s="138" t="str">
        <f>IF(G5=1,'NVC 1'!Z10,"-")</f>
        <v>-</v>
      </c>
      <c r="P5" s="139" t="str">
        <f>IF(Dashboard!G5=1,'NVC 2'!Z10,"-")</f>
        <v>-</v>
      </c>
      <c r="Q5" s="140" t="str">
        <f>IF(G5=1,'NVC 3'!Z10,"-")</f>
        <v>-</v>
      </c>
      <c r="S5" s="127" t="s">
        <v>508</v>
      </c>
      <c r="T5" s="135" t="str">
        <f>IF(J5=1,VNC!Z10,"-")</f>
        <v>-</v>
      </c>
      <c r="U5" s="138" t="str">
        <f>IF(J5=1,'VC 1'!Z10,"-")</f>
        <v>-</v>
      </c>
      <c r="V5" s="139" t="str">
        <f>IF(J5=1,'VC 2'!Z10,"-")</f>
        <v>-</v>
      </c>
      <c r="W5" s="137" t="str">
        <f>IF(J5=1,'VC 3'!Z10,"-")</f>
        <v>-</v>
      </c>
    </row>
    <row r="6" spans="2:23" x14ac:dyDescent="0.3">
      <c r="B6" s="100" t="s">
        <v>556</v>
      </c>
      <c r="C6" s="101"/>
      <c r="D6" s="103">
        <v>4</v>
      </c>
      <c r="F6" s="151" t="s">
        <v>506</v>
      </c>
      <c r="G6" s="152">
        <v>0</v>
      </c>
      <c r="H6" s="150"/>
      <c r="I6" s="151" t="s">
        <v>506</v>
      </c>
      <c r="J6" s="152">
        <v>0</v>
      </c>
      <c r="K6" s="159"/>
      <c r="L6" s="195"/>
      <c r="M6" s="162" t="s">
        <v>506</v>
      </c>
      <c r="N6" s="135" t="str">
        <f>IF(G6=1,NVNC!Z10,"-")</f>
        <v>-</v>
      </c>
      <c r="O6" s="138" t="str">
        <f>IF(G6=1,'NVC 1'!Z10,"-")</f>
        <v>-</v>
      </c>
      <c r="P6" s="139" t="str">
        <f>IF(Dashboard!G6=1,'NVC 2'!Z10,"-")</f>
        <v>-</v>
      </c>
      <c r="Q6" s="140" t="str">
        <f>IF(G6=1,'NVC 3'!Z10,"-")</f>
        <v>-</v>
      </c>
      <c r="S6" s="127" t="s">
        <v>506</v>
      </c>
      <c r="T6" s="135" t="str">
        <f>IF(J6=1,VNC!Z10,"-")</f>
        <v>-</v>
      </c>
      <c r="U6" s="138" t="str">
        <f>IF(J6=1,'VC 1'!Z10,"-")</f>
        <v>-</v>
      </c>
      <c r="V6" s="139" t="str">
        <f>IF(J6=1,'VC 2'!Z10,"-")</f>
        <v>-</v>
      </c>
      <c r="W6" s="140" t="str">
        <f>IF(J6=1,'VC 3'!Z10,"-")</f>
        <v>-</v>
      </c>
    </row>
    <row r="7" spans="2:23" x14ac:dyDescent="0.3">
      <c r="B7" s="100"/>
      <c r="C7" s="101" t="s">
        <v>490</v>
      </c>
      <c r="D7" s="103">
        <f>1/D6</f>
        <v>0.25</v>
      </c>
      <c r="F7" s="151" t="s">
        <v>509</v>
      </c>
      <c r="G7" s="152">
        <v>0</v>
      </c>
      <c r="H7" s="150"/>
      <c r="I7" s="151" t="s">
        <v>509</v>
      </c>
      <c r="J7" s="152">
        <v>0</v>
      </c>
      <c r="K7" s="159"/>
      <c r="L7" s="195"/>
      <c r="M7" s="162" t="s">
        <v>509</v>
      </c>
      <c r="N7" s="135" t="str">
        <f>IF(G7=1,NVNC!Z10,"-")</f>
        <v>-</v>
      </c>
      <c r="O7" s="138" t="str">
        <f>IF(G7=1,'NVC 1'!Z10,"-")</f>
        <v>-</v>
      </c>
      <c r="P7" s="139" t="str">
        <f>IF(Dashboard!G7=1,'NVC 2'!Z10,"-")</f>
        <v>-</v>
      </c>
      <c r="Q7" s="140" t="str">
        <f>IF(G7=1,'NVC 3'!Z10,"-")</f>
        <v>-</v>
      </c>
      <c r="S7" s="127" t="s">
        <v>509</v>
      </c>
      <c r="T7" s="135" t="str">
        <f>IF(G7=1,VNC!Z10,"-")</f>
        <v>-</v>
      </c>
      <c r="U7" s="138" t="str">
        <f>IF(J7=1,'VC 1'!Z10,"-")</f>
        <v>-</v>
      </c>
      <c r="V7" s="139" t="str">
        <f>IF(J7=1,'VC 2'!Z10,"-")</f>
        <v>-</v>
      </c>
      <c r="W7" s="140" t="str">
        <f>IF(J7=1,'VC 3'!Z10,"-")</f>
        <v>-</v>
      </c>
    </row>
    <row r="8" spans="2:23" x14ac:dyDescent="0.3">
      <c r="B8" s="100" t="s">
        <v>491</v>
      </c>
      <c r="C8" s="101"/>
      <c r="D8" s="103">
        <v>14</v>
      </c>
      <c r="F8" s="151" t="s">
        <v>510</v>
      </c>
      <c r="G8" s="152">
        <v>0</v>
      </c>
      <c r="H8" s="150"/>
      <c r="I8" s="151" t="s">
        <v>510</v>
      </c>
      <c r="J8" s="152">
        <v>0</v>
      </c>
      <c r="K8" s="159"/>
      <c r="L8" s="196"/>
      <c r="M8" s="165" t="s">
        <v>510</v>
      </c>
      <c r="N8" s="166" t="str">
        <f>IF(G8=1,NVNC!Z10,"-")</f>
        <v>-</v>
      </c>
      <c r="O8" s="167" t="str">
        <f>IF(G8=1,'NVC 1'!Z10,"-")</f>
        <v>-</v>
      </c>
      <c r="P8" s="168" t="str">
        <f>IF(Dashboard!G8=1,'NVC 2'!Z10,"-")</f>
        <v>-</v>
      </c>
      <c r="Q8" s="169" t="str">
        <f>IF(G8=1,'NVC 3'!Z10,"-")</f>
        <v>-</v>
      </c>
      <c r="S8" s="170" t="s">
        <v>510</v>
      </c>
      <c r="T8" s="166" t="str">
        <f>IF(G8=1,VNC!Z10,"-")</f>
        <v>-</v>
      </c>
      <c r="U8" s="167" t="str">
        <f>IF(J8=1,'VC 1'!Z10,"-")</f>
        <v>-</v>
      </c>
      <c r="V8" s="168" t="str">
        <f>IF(J8=1,'VC 2'!Z10,"-")</f>
        <v>-</v>
      </c>
      <c r="W8" s="169" t="str">
        <f>IF(J8=1,'VC 3'!Z10,"-")</f>
        <v>-</v>
      </c>
    </row>
    <row r="9" spans="2:23" x14ac:dyDescent="0.3">
      <c r="B9" s="100"/>
      <c r="C9" s="101"/>
      <c r="D9" s="103"/>
      <c r="F9" s="151" t="s">
        <v>584</v>
      </c>
      <c r="G9" s="152">
        <v>1</v>
      </c>
      <c r="H9" s="150"/>
      <c r="I9" s="151" t="s">
        <v>584</v>
      </c>
      <c r="J9" s="152">
        <v>1</v>
      </c>
      <c r="K9" s="159"/>
      <c r="L9" s="172"/>
      <c r="M9" s="162"/>
      <c r="N9" s="173"/>
      <c r="O9" s="174"/>
      <c r="P9" s="173"/>
      <c r="Q9" s="102"/>
      <c r="S9" s="127"/>
      <c r="T9" s="173"/>
      <c r="U9" s="174"/>
      <c r="V9" s="173"/>
      <c r="W9" s="102"/>
    </row>
    <row r="10" spans="2:23" x14ac:dyDescent="0.3">
      <c r="B10" s="100"/>
      <c r="C10" s="101" t="s">
        <v>492</v>
      </c>
      <c r="D10" s="103">
        <f>1/D8</f>
        <v>7.1428571428571425E-2</v>
      </c>
      <c r="F10" s="153" t="s">
        <v>505</v>
      </c>
      <c r="G10" s="155"/>
      <c r="H10" s="150"/>
      <c r="I10" s="153" t="s">
        <v>505</v>
      </c>
      <c r="J10" s="155"/>
      <c r="K10" s="159"/>
      <c r="L10" s="197" t="s">
        <v>554</v>
      </c>
      <c r="M10" s="161" t="s">
        <v>534</v>
      </c>
      <c r="N10" s="135" t="str">
        <f>IF(SUM(G11:G24)=0,NVNC!Z10,"-")</f>
        <v>-</v>
      </c>
      <c r="O10" s="164" t="str">
        <f>IF(SUM(G11:G24)=0,'NVC 1'!Z10,"-")</f>
        <v>-</v>
      </c>
      <c r="P10" s="135" t="str">
        <f>IF(SUM(G11:G24)=0,'NVC 2'!Z10,"-")</f>
        <v>-</v>
      </c>
      <c r="Q10" s="137" t="str">
        <f>IF(SUM(G11:G24)=0,'NVC 3'!Z10,"-")</f>
        <v>-</v>
      </c>
      <c r="S10" s="126" t="s">
        <v>534</v>
      </c>
      <c r="T10" s="135" t="str">
        <f>IF(SUM(J11:J24)=0,VNC!Z10,"-")</f>
        <v>-</v>
      </c>
      <c r="U10" s="164" t="str">
        <f>IF(SUM(J11:J24)=0,'VC 1'!Z10,"-")</f>
        <v>-</v>
      </c>
      <c r="V10" s="135" t="str">
        <f>IF(SUM(J11:J24)=0,'VC 2'!Z10,"-")</f>
        <v>-</v>
      </c>
      <c r="W10" s="137" t="str">
        <f>IF(SUM(J11:J24)=0,'VC 3'!Z10,"-")</f>
        <v>-</v>
      </c>
    </row>
    <row r="11" spans="2:23" x14ac:dyDescent="0.3">
      <c r="B11" s="100" t="s">
        <v>557</v>
      </c>
      <c r="C11" s="101"/>
      <c r="D11" s="103">
        <v>0.18</v>
      </c>
      <c r="F11" s="151" t="s">
        <v>513</v>
      </c>
      <c r="G11" s="152">
        <v>0</v>
      </c>
      <c r="H11" s="150"/>
      <c r="I11" s="151" t="s">
        <v>513</v>
      </c>
      <c r="J11" s="152">
        <v>0</v>
      </c>
      <c r="K11" s="159"/>
      <c r="L11" s="197"/>
      <c r="M11" s="162" t="s">
        <v>513</v>
      </c>
      <c r="N11" s="135" t="str">
        <f>IF(G11=1,NVNC!Z11,"-")</f>
        <v>-</v>
      </c>
      <c r="O11" s="138" t="str">
        <f>IF(G11=1,'NVC 1'!Z11,"-")</f>
        <v>-</v>
      </c>
      <c r="P11" s="139" t="str">
        <f>IF(G11=1,'NVC 2'!Z11,"-")</f>
        <v>-</v>
      </c>
      <c r="Q11" s="140" t="str">
        <f>IF(G11=1,'NVC 3'!Z11,"-")</f>
        <v>-</v>
      </c>
      <c r="S11" s="127" t="s">
        <v>513</v>
      </c>
      <c r="T11" s="135" t="str">
        <f>IF(J11=1,VNC!Z11,"-")</f>
        <v>-</v>
      </c>
      <c r="U11" s="138" t="str">
        <f>IF(J11=1,'VC 1'!Z11,"-")</f>
        <v>-</v>
      </c>
      <c r="V11" s="139" t="str">
        <f>IF(J11=1,'VC 2'!Z11,"-")</f>
        <v>-</v>
      </c>
      <c r="W11" s="140" t="str">
        <f>IF(J11=1,'VC 3'!Z11,"-")</f>
        <v>-</v>
      </c>
    </row>
    <row r="12" spans="2:23" x14ac:dyDescent="0.3">
      <c r="B12" s="100"/>
      <c r="C12" s="101"/>
      <c r="D12" s="103"/>
      <c r="F12" s="151" t="s">
        <v>514</v>
      </c>
      <c r="G12" s="152">
        <v>0</v>
      </c>
      <c r="H12" s="150"/>
      <c r="I12" s="151" t="s">
        <v>514</v>
      </c>
      <c r="J12" s="152">
        <v>0</v>
      </c>
      <c r="K12" s="159"/>
      <c r="L12" s="197"/>
      <c r="M12" s="162" t="s">
        <v>537</v>
      </c>
      <c r="N12" s="139" t="str">
        <f>IF(G12=1,NVNC!Z12,"-")</f>
        <v>-</v>
      </c>
      <c r="O12" s="138" t="str">
        <f>IF(G12=1,'NVC 1'!Z12,"-")</f>
        <v>-</v>
      </c>
      <c r="P12" s="139" t="str">
        <f>IF(G12=1,'NVC 2'!Z12,"-")</f>
        <v>-</v>
      </c>
      <c r="Q12" s="140" t="str">
        <f>IF(G12=1,'NVC 3'!Z12,"-")</f>
        <v>-</v>
      </c>
      <c r="S12" s="127" t="s">
        <v>537</v>
      </c>
      <c r="T12" s="143" t="str">
        <f>IF(J12=1,VNC!Z12,"-")</f>
        <v>-</v>
      </c>
      <c r="U12" s="144" t="str">
        <f>IF(J12=1,'VC 1'!Z12,"-")</f>
        <v>-</v>
      </c>
      <c r="V12" s="143" t="str">
        <f>IF(J12=1,'VC 2'!Z12,"-")</f>
        <v>-</v>
      </c>
      <c r="W12" s="148" t="str">
        <f>IF(J12=1,'VC 3'!Z12,"-")</f>
        <v>-</v>
      </c>
    </row>
    <row r="13" spans="2:23" x14ac:dyDescent="0.3">
      <c r="B13" s="104" t="s">
        <v>493</v>
      </c>
      <c r="C13" s="105"/>
      <c r="D13" s="106"/>
      <c r="F13" s="151" t="s">
        <v>515</v>
      </c>
      <c r="G13" s="152">
        <v>0</v>
      </c>
      <c r="H13" s="150"/>
      <c r="I13" s="151" t="s">
        <v>515</v>
      </c>
      <c r="J13" s="152">
        <v>0</v>
      </c>
      <c r="K13" s="159"/>
      <c r="L13" s="197"/>
      <c r="M13" s="162" t="s">
        <v>538</v>
      </c>
      <c r="N13" s="139" t="str">
        <f>IF(G13=1,NVNC!Z13,"-")</f>
        <v>-</v>
      </c>
      <c r="O13" s="138" t="str">
        <f>IF(G13=1,'NVC 1'!Z13,"-")</f>
        <v>-</v>
      </c>
      <c r="P13" s="139" t="str">
        <f>IF(G13=1,'NVC 2'!Z13,"-")</f>
        <v>-</v>
      </c>
      <c r="Q13" s="140" t="str">
        <f>IF(G13=1,'NVC 3'!Z13,"-")</f>
        <v>-</v>
      </c>
      <c r="S13" s="127" t="s">
        <v>538</v>
      </c>
      <c r="T13" s="143" t="str">
        <f>IF(J13=1,VNC!Z13,"-")</f>
        <v>-</v>
      </c>
      <c r="U13" s="144" t="str">
        <f>IF(J13=1,'VC 1'!Z13,"-")</f>
        <v>-</v>
      </c>
      <c r="V13" s="143" t="str">
        <f>IF(J13=1,'VC 2'!Z13,"-")</f>
        <v>-</v>
      </c>
      <c r="W13" s="148" t="str">
        <f>IF(J13=1,'VC 3'!Z13,"-")</f>
        <v>-</v>
      </c>
    </row>
    <row r="14" spans="2:23" x14ac:dyDescent="0.3">
      <c r="B14" s="100" t="s">
        <v>558</v>
      </c>
      <c r="C14" s="101"/>
      <c r="D14" s="103">
        <v>0.84</v>
      </c>
      <c r="F14" s="151" t="s">
        <v>516</v>
      </c>
      <c r="G14" s="152">
        <v>0</v>
      </c>
      <c r="H14" s="150"/>
      <c r="I14" s="151" t="s">
        <v>516</v>
      </c>
      <c r="J14" s="152">
        <v>0</v>
      </c>
      <c r="K14" s="159"/>
      <c r="L14" s="197"/>
      <c r="M14" s="162" t="s">
        <v>539</v>
      </c>
      <c r="N14" s="139" t="str">
        <f>IF(G14=1,NVNC!Z14,"-")</f>
        <v>-</v>
      </c>
      <c r="O14" s="138" t="str">
        <f>IF(G14=1,'NVC 1'!Z14,"-")</f>
        <v>-</v>
      </c>
      <c r="P14" s="139" t="str">
        <f>IF(G14=1,'NVC 2'!Z14,"-")</f>
        <v>-</v>
      </c>
      <c r="Q14" s="140" t="str">
        <f>IF(G14=1,'NVC 3'!Z14,"-")</f>
        <v>-</v>
      </c>
      <c r="S14" s="127" t="s">
        <v>539</v>
      </c>
      <c r="T14" s="143" t="str">
        <f>IF(J14=1,VNC!Z14,"-")</f>
        <v>-</v>
      </c>
      <c r="U14" s="144" t="str">
        <f>IF(J14=1,'VC 1'!Z14,"-")</f>
        <v>-</v>
      </c>
      <c r="V14" s="143" t="str">
        <f>IF(J14=1,'VC 2'!Z14,"-")</f>
        <v>-</v>
      </c>
      <c r="W14" s="148" t="str">
        <f>IF(J14=1,'VC 3'!Z14,"-")</f>
        <v>-</v>
      </c>
    </row>
    <row r="15" spans="2:23" x14ac:dyDescent="0.3">
      <c r="B15" s="100" t="s">
        <v>559</v>
      </c>
      <c r="C15" s="101"/>
      <c r="D15" s="103">
        <v>0.28999999999999998</v>
      </c>
      <c r="F15" s="151" t="s">
        <v>517</v>
      </c>
      <c r="G15" s="152">
        <v>0</v>
      </c>
      <c r="H15" s="156"/>
      <c r="I15" s="151" t="s">
        <v>517</v>
      </c>
      <c r="J15" s="152">
        <v>0</v>
      </c>
      <c r="K15" s="159"/>
      <c r="L15" s="197"/>
      <c r="M15" s="162" t="s">
        <v>540</v>
      </c>
      <c r="N15" s="139" t="str">
        <f>IF(G15=1,NVNC!Z15,"-")</f>
        <v>-</v>
      </c>
      <c r="O15" s="138" t="str">
        <f>IF(G15=1,'NVC 1'!Z15,"-")</f>
        <v>-</v>
      </c>
      <c r="P15" s="139" t="str">
        <f>IF(G15=1,'NVC 2'!Z15,"-")</f>
        <v>-</v>
      </c>
      <c r="Q15" s="140" t="str">
        <f>IF(G15=1,'NVC 3'!Z15,"-")</f>
        <v>-</v>
      </c>
      <c r="S15" s="127" t="s">
        <v>540</v>
      </c>
      <c r="T15" s="143" t="str">
        <f>IF(J15=1,VNC!Z15,"-")</f>
        <v>-</v>
      </c>
      <c r="U15" s="144" t="str">
        <f>IF(J15=1,'VC 1'!Z15,"-")</f>
        <v>-</v>
      </c>
      <c r="V15" s="143" t="str">
        <f>IF(J15=1,'VC 2'!Z15,"-")</f>
        <v>-</v>
      </c>
      <c r="W15" s="148" t="str">
        <f>IF(J15=1,'VC 3'!Z15,"-")</f>
        <v>-</v>
      </c>
    </row>
    <row r="16" spans="2:23" x14ac:dyDescent="0.3">
      <c r="B16" s="100"/>
      <c r="C16" s="101"/>
      <c r="D16" s="107"/>
      <c r="F16" s="151" t="s">
        <v>518</v>
      </c>
      <c r="G16" s="152">
        <v>0</v>
      </c>
      <c r="H16" s="156"/>
      <c r="I16" s="151" t="s">
        <v>518</v>
      </c>
      <c r="J16" s="152">
        <v>0</v>
      </c>
      <c r="K16" s="159"/>
      <c r="L16" s="197"/>
      <c r="M16" s="162" t="s">
        <v>541</v>
      </c>
      <c r="N16" s="139" t="str">
        <f>IF(G16=1,NVNC!Z16,"-")</f>
        <v>-</v>
      </c>
      <c r="O16" s="138" t="str">
        <f>IF(G16=1,'NVC 1'!Z16,"-")</f>
        <v>-</v>
      </c>
      <c r="P16" s="139" t="str">
        <f>IF(G16=1,'NVC 2'!Z16,"-")</f>
        <v>-</v>
      </c>
      <c r="Q16" s="140" t="str">
        <f>IF(G16=1,'NVC 3'!Z16,"-")</f>
        <v>-</v>
      </c>
      <c r="S16" s="127" t="s">
        <v>541</v>
      </c>
      <c r="T16" s="143" t="str">
        <f>IF(J16=1,VNC!Z16,"-")</f>
        <v>-</v>
      </c>
      <c r="U16" s="144" t="str">
        <f>IF(J16=1,'VC 1'!Z16,"-")</f>
        <v>-</v>
      </c>
      <c r="V16" s="143" t="str">
        <f>IF(J16=1,'VC 2'!Z16,"-")</f>
        <v>-</v>
      </c>
      <c r="W16" s="148" t="str">
        <f>IF(J16=1,'VC 3'!Z16,"-")</f>
        <v>-</v>
      </c>
    </row>
    <row r="17" spans="2:23" x14ac:dyDescent="0.3">
      <c r="B17" s="104" t="s">
        <v>494</v>
      </c>
      <c r="C17" s="108"/>
      <c r="D17" s="109"/>
      <c r="F17" s="151" t="s">
        <v>519</v>
      </c>
      <c r="G17" s="152">
        <v>0</v>
      </c>
      <c r="H17" s="156"/>
      <c r="I17" s="151" t="s">
        <v>519</v>
      </c>
      <c r="J17" s="152">
        <v>0</v>
      </c>
      <c r="K17" s="159"/>
      <c r="L17" s="197"/>
      <c r="M17" s="162" t="s">
        <v>542</v>
      </c>
      <c r="N17" s="139" t="str">
        <f>IF(G17=1,NVNC!Z17,"-")</f>
        <v>-</v>
      </c>
      <c r="O17" s="138" t="str">
        <f>IF(G17=1,'NVC 1'!Z17,"-")</f>
        <v>-</v>
      </c>
      <c r="P17" s="139" t="str">
        <f>IF(G17=1,'NVC 2'!Z17,"-")</f>
        <v>-</v>
      </c>
      <c r="Q17" s="140" t="str">
        <f>IF(G17=1,'NVC 3'!Z17,"-")</f>
        <v>-</v>
      </c>
      <c r="S17" s="127" t="s">
        <v>542</v>
      </c>
      <c r="T17" s="143" t="str">
        <f>IF(J17=1,VNC!Z17,"-")</f>
        <v>-</v>
      </c>
      <c r="U17" s="144" t="str">
        <f>IF(J17=1,'VC 1'!Z17,"-")</f>
        <v>-</v>
      </c>
      <c r="V17" s="143" t="str">
        <f>IF(J17=1,'VC 2'!Z17,"-")</f>
        <v>-</v>
      </c>
      <c r="W17" s="148" t="str">
        <f>IF(J17=1,'VC 3'!Z17,"-")</f>
        <v>-</v>
      </c>
    </row>
    <row r="18" spans="2:23" x14ac:dyDescent="0.3">
      <c r="B18" s="100" t="s">
        <v>495</v>
      </c>
      <c r="C18" s="110"/>
      <c r="D18" s="111"/>
      <c r="F18" s="151" t="s">
        <v>520</v>
      </c>
      <c r="G18" s="152">
        <v>0</v>
      </c>
      <c r="H18" s="156"/>
      <c r="I18" s="151" t="s">
        <v>520</v>
      </c>
      <c r="J18" s="152">
        <v>0</v>
      </c>
      <c r="K18" s="159"/>
      <c r="L18" s="197"/>
      <c r="M18" s="162" t="s">
        <v>543</v>
      </c>
      <c r="N18" s="139" t="str">
        <f>IF(G18=1,NVNC!Z18,"-")</f>
        <v>-</v>
      </c>
      <c r="O18" s="138" t="str">
        <f>IF(G18=1,'NVC 1'!Z18,"-")</f>
        <v>-</v>
      </c>
      <c r="P18" s="139" t="str">
        <f>IF(G18=1,'NVC 2'!Z18,"-")</f>
        <v>-</v>
      </c>
      <c r="Q18" s="140" t="str">
        <f>IF(G18=1,'NVC 3'!Z18,"-")</f>
        <v>-</v>
      </c>
      <c r="S18" s="127" t="s">
        <v>543</v>
      </c>
      <c r="T18" s="143" t="str">
        <f>IF(J18=1,VNC!Z18,"-")</f>
        <v>-</v>
      </c>
      <c r="U18" s="144" t="str">
        <f>IF(J18=1,'VC 1'!Z18,"-")</f>
        <v>-</v>
      </c>
      <c r="V18" s="143" t="str">
        <f>IF(J18=1,'VC 2'!Z18,"-")</f>
        <v>-</v>
      </c>
      <c r="W18" s="148" t="str">
        <f>IF(J18=1,'VC 3'!Z18,"-")</f>
        <v>-</v>
      </c>
    </row>
    <row r="19" spans="2:23" x14ac:dyDescent="0.3">
      <c r="B19" s="100"/>
      <c r="C19" s="101" t="s">
        <v>496</v>
      </c>
      <c r="D19" s="112">
        <v>1.9699999999999999E-4</v>
      </c>
      <c r="F19" s="151" t="s">
        <v>521</v>
      </c>
      <c r="G19" s="152">
        <v>0</v>
      </c>
      <c r="H19" s="156"/>
      <c r="I19" s="151" t="s">
        <v>521</v>
      </c>
      <c r="J19" s="152">
        <v>0</v>
      </c>
      <c r="K19" s="159"/>
      <c r="L19" s="197"/>
      <c r="M19" s="162" t="s">
        <v>544</v>
      </c>
      <c r="N19" s="139" t="str">
        <f>IF(G19=1,NVNC!Z19,"-")</f>
        <v>-</v>
      </c>
      <c r="O19" s="138" t="str">
        <f>IF(G19=1,'NVC 1'!Z19,"-")</f>
        <v>-</v>
      </c>
      <c r="P19" s="139" t="str">
        <f>IF(G19=1,'NVC 2'!Z19,"-")</f>
        <v>-</v>
      </c>
      <c r="Q19" s="140" t="str">
        <f>IF(G19=1,'NVC 3'!Z19,"-")</f>
        <v>-</v>
      </c>
      <c r="S19" s="127" t="s">
        <v>544</v>
      </c>
      <c r="T19" s="143" t="str">
        <f>IF(J19=1,VNC!Z19,"-")</f>
        <v>-</v>
      </c>
      <c r="U19" s="144" t="str">
        <f>IF(J19=1,'VC 1'!Z19,"-")</f>
        <v>-</v>
      </c>
      <c r="V19" s="143" t="str">
        <f>IF(J19=1,'VC 2'!Z19,"-")</f>
        <v>-</v>
      </c>
      <c r="W19" s="148" t="str">
        <f>IF(J19=1,'VC 3'!Z19,"-")</f>
        <v>-</v>
      </c>
    </row>
    <row r="20" spans="2:23" x14ac:dyDescent="0.3">
      <c r="B20" s="100"/>
      <c r="C20" s="101" t="s">
        <v>497</v>
      </c>
      <c r="D20" s="112">
        <v>1.4200000000000001E-4</v>
      </c>
      <c r="F20" s="151" t="s">
        <v>522</v>
      </c>
      <c r="G20" s="152">
        <v>0</v>
      </c>
      <c r="H20" s="156"/>
      <c r="I20" s="151" t="s">
        <v>522</v>
      </c>
      <c r="J20" s="152">
        <v>0</v>
      </c>
      <c r="K20" s="159"/>
      <c r="L20" s="197"/>
      <c r="M20" s="162" t="s">
        <v>545</v>
      </c>
      <c r="N20" s="139" t="str">
        <f>IF(G20=1,NVNC!Z20,"-")</f>
        <v>-</v>
      </c>
      <c r="O20" s="138" t="str">
        <f>IF(G20=1,'NVC 1'!Z20,"-")</f>
        <v>-</v>
      </c>
      <c r="P20" s="139" t="str">
        <f>IF(G20=1,'NVC 2'!Z20,"-")</f>
        <v>-</v>
      </c>
      <c r="Q20" s="140" t="str">
        <f>IF(G20=1,'NVC 3'!Z20,"-")</f>
        <v>-</v>
      </c>
      <c r="S20" s="127" t="s">
        <v>545</v>
      </c>
      <c r="T20" s="143" t="str">
        <f>IF(J20=1,VNC!Z20,"-")</f>
        <v>-</v>
      </c>
      <c r="U20" s="144" t="str">
        <f>IF(J20=1,'VC 1'!Z20,"-")</f>
        <v>-</v>
      </c>
      <c r="V20" s="143" t="str">
        <f>IF(J20=1,'VC 2'!Z20,"-")</f>
        <v>-</v>
      </c>
      <c r="W20" s="148" t="str">
        <f>IF(J20=1,'VC 3'!Z20,"-")</f>
        <v>-</v>
      </c>
    </row>
    <row r="21" spans="2:23" x14ac:dyDescent="0.3">
      <c r="B21" s="100"/>
      <c r="C21" s="101" t="s">
        <v>498</v>
      </c>
      <c r="D21" s="113">
        <v>6.5099999999999999E-4</v>
      </c>
      <c r="F21" s="151" t="s">
        <v>523</v>
      </c>
      <c r="G21" s="152">
        <v>0</v>
      </c>
      <c r="H21" s="156"/>
      <c r="I21" s="151" t="s">
        <v>523</v>
      </c>
      <c r="J21" s="152">
        <v>0</v>
      </c>
      <c r="K21" s="159"/>
      <c r="L21" s="197"/>
      <c r="M21" s="162" t="s">
        <v>546</v>
      </c>
      <c r="N21" s="139" t="str">
        <f>IF(G21=1,NVNC!Z21,"-")</f>
        <v>-</v>
      </c>
      <c r="O21" s="138" t="str">
        <f>IF(G21=1,'NVC 1'!Z21,"-")</f>
        <v>-</v>
      </c>
      <c r="P21" s="139" t="str">
        <f>IF(G21=1,'NVC 2'!Z21,"-")</f>
        <v>-</v>
      </c>
      <c r="Q21" s="140" t="str">
        <f>IF(G21=1,'NVC 3'!Z21,"-")</f>
        <v>-</v>
      </c>
      <c r="S21" s="127" t="s">
        <v>546</v>
      </c>
      <c r="T21" s="143" t="str">
        <f>IF(J21=1,VNC!Z21,"-")</f>
        <v>-</v>
      </c>
      <c r="U21" s="144" t="str">
        <f>IF(J21=1,'VC 1'!Z21,"-")</f>
        <v>-</v>
      </c>
      <c r="V21" s="143" t="str">
        <f>IF(J21=1,'VC 2'!Z21,"-")</f>
        <v>-</v>
      </c>
      <c r="W21" s="148" t="str">
        <f>IF(J21=1,'VC 3'!Z21,"-")</f>
        <v>-</v>
      </c>
    </row>
    <row r="22" spans="2:23" x14ac:dyDescent="0.3">
      <c r="B22" s="100"/>
      <c r="C22" s="101" t="s">
        <v>499</v>
      </c>
      <c r="D22" s="112">
        <v>4.8999999999999998E-5</v>
      </c>
      <c r="F22" s="151" t="s">
        <v>524</v>
      </c>
      <c r="G22" s="152">
        <v>0</v>
      </c>
      <c r="H22" s="156"/>
      <c r="I22" s="151" t="s">
        <v>524</v>
      </c>
      <c r="J22" s="152">
        <v>0</v>
      </c>
      <c r="K22" s="159"/>
      <c r="L22" s="197"/>
      <c r="M22" s="162" t="s">
        <v>547</v>
      </c>
      <c r="N22" s="139" t="str">
        <f>IF(G22=1,NVNC!Z22,"-")</f>
        <v>-</v>
      </c>
      <c r="O22" s="138" t="str">
        <f>IF(G22=1,'NVC 1'!Z22,"-")</f>
        <v>-</v>
      </c>
      <c r="P22" s="139" t="str">
        <f>IF(G22=1,'NVC 2'!Z22,"-")</f>
        <v>-</v>
      </c>
      <c r="Q22" s="140" t="str">
        <f>IF(G22=1,'NVC 3'!Z22,"-")</f>
        <v>-</v>
      </c>
      <c r="S22" s="127" t="s">
        <v>547</v>
      </c>
      <c r="T22" s="143" t="str">
        <f>IF(J22=1,VNC!Z22,"-")</f>
        <v>-</v>
      </c>
      <c r="U22" s="144" t="str">
        <f>IF(J22=1,'VC 1'!Z22,"-")</f>
        <v>-</v>
      </c>
      <c r="V22" s="143" t="str">
        <f>IF(J22=1,'VC 2'!Z22,"-")</f>
        <v>-</v>
      </c>
      <c r="W22" s="148" t="str">
        <f>IF(J22=1,'VC 3'!Z22,"-")</f>
        <v>-</v>
      </c>
    </row>
    <row r="23" spans="2:23" x14ac:dyDescent="0.3">
      <c r="B23" s="100" t="s">
        <v>550</v>
      </c>
      <c r="C23" s="110"/>
      <c r="D23" s="111"/>
      <c r="F23" s="151" t="s">
        <v>525</v>
      </c>
      <c r="G23" s="152">
        <v>0</v>
      </c>
      <c r="H23" s="156"/>
      <c r="I23" s="151" t="s">
        <v>525</v>
      </c>
      <c r="J23" s="152">
        <v>0</v>
      </c>
      <c r="K23" s="159"/>
      <c r="L23" s="197"/>
      <c r="M23" s="162" t="s">
        <v>548</v>
      </c>
      <c r="N23" s="139" t="str">
        <f>IF(G23=1,NVNC!Z23,"-")</f>
        <v>-</v>
      </c>
      <c r="O23" s="138" t="str">
        <f>IF(G23=1,'NVC 1'!Z23,"-")</f>
        <v>-</v>
      </c>
      <c r="P23" s="139" t="str">
        <f>IF(G23=1,'NVC 2'!Z23,"-")</f>
        <v>-</v>
      </c>
      <c r="Q23" s="140" t="str">
        <f>IF(G23=1,'NVC 3'!Z23,"-")</f>
        <v>-</v>
      </c>
      <c r="S23" s="127" t="s">
        <v>548</v>
      </c>
      <c r="T23" s="143" t="str">
        <f>IF(J23=1,VNC!Z23,"-")</f>
        <v>-</v>
      </c>
      <c r="U23" s="144" t="str">
        <f>IF(J23=1,'VC 1'!Z23,"-")</f>
        <v>-</v>
      </c>
      <c r="V23" s="143" t="str">
        <f>IF(J23=1,'VC 2'!Z23,"-")</f>
        <v>-</v>
      </c>
      <c r="W23" s="148" t="str">
        <f>IF(J23=1,'VC 3'!Z23,"-")</f>
        <v>-</v>
      </c>
    </row>
    <row r="24" spans="2:23" ht="15" thickBot="1" x14ac:dyDescent="0.35">
      <c r="B24" s="100"/>
      <c r="C24" s="101" t="s">
        <v>496</v>
      </c>
      <c r="D24" s="114">
        <f>42.83/100</f>
        <v>0.42829999999999996</v>
      </c>
      <c r="F24" s="157" t="s">
        <v>526</v>
      </c>
      <c r="G24" s="158">
        <v>1</v>
      </c>
      <c r="H24" s="156"/>
      <c r="I24" s="157" t="s">
        <v>526</v>
      </c>
      <c r="J24" s="158">
        <v>1</v>
      </c>
      <c r="K24" s="159"/>
      <c r="L24" s="198"/>
      <c r="M24" s="163" t="s">
        <v>549</v>
      </c>
      <c r="N24" s="141">
        <f>IF(G24=1,NVNC!Z24,"-")</f>
        <v>6.3376201849330638</v>
      </c>
      <c r="O24" s="142">
        <f>IF(G24=1,'NVC 1'!Z24,"-")</f>
        <v>2.9931771864928849</v>
      </c>
      <c r="P24" s="141">
        <f>IF(G24=1,'NVC 2'!Z24,"-")</f>
        <v>21.671909601666037</v>
      </c>
      <c r="Q24" s="145">
        <f>IF(G24=1,'NVC 3'!Z24,"-")</f>
        <v>2.477849132973224</v>
      </c>
      <c r="S24" s="128" t="s">
        <v>549</v>
      </c>
      <c r="T24" s="146">
        <f>IF(J24=1,VNC!Z24,"-")</f>
        <v>2.3086315026934705</v>
      </c>
      <c r="U24" s="147">
        <f>IF(J24=1,'VC 1'!Z24,"-")</f>
        <v>1.6644417156424351</v>
      </c>
      <c r="V24" s="146">
        <f>IF(J24=1,'VC 2'!Z24,"-")</f>
        <v>7.61572233213362</v>
      </c>
      <c r="W24" s="149">
        <f>IF(J24=1,'VC 3'!Z24,"-")</f>
        <v>0.57455504845162264</v>
      </c>
    </row>
    <row r="25" spans="2:23" x14ac:dyDescent="0.3">
      <c r="B25" s="100"/>
      <c r="C25" s="101" t="s">
        <v>497</v>
      </c>
      <c r="D25" s="115">
        <f>65.81/100</f>
        <v>0.65810000000000002</v>
      </c>
      <c r="F25" s="150" t="s">
        <v>530</v>
      </c>
      <c r="G25" s="159"/>
      <c r="H25" s="156"/>
      <c r="I25" s="150" t="s">
        <v>530</v>
      </c>
      <c r="J25" s="159"/>
      <c r="K25" s="159"/>
    </row>
    <row r="26" spans="2:23" x14ac:dyDescent="0.3">
      <c r="B26" s="100"/>
      <c r="C26" s="101" t="s">
        <v>498</v>
      </c>
      <c r="D26" s="115">
        <f>40.9 /100</f>
        <v>0.40899999999999997</v>
      </c>
      <c r="F26" s="150" t="s">
        <v>531</v>
      </c>
      <c r="G26" s="159"/>
      <c r="H26" s="156"/>
      <c r="I26" s="150" t="s">
        <v>531</v>
      </c>
      <c r="J26" s="159"/>
      <c r="K26" s="159"/>
    </row>
    <row r="27" spans="2:23" x14ac:dyDescent="0.3">
      <c r="B27" s="100"/>
      <c r="C27" s="101" t="s">
        <v>499</v>
      </c>
      <c r="D27" s="114">
        <f>19.15/100</f>
        <v>0.19149999999999998</v>
      </c>
    </row>
    <row r="28" spans="2:23" x14ac:dyDescent="0.3">
      <c r="B28" s="100"/>
      <c r="C28" s="101"/>
      <c r="D28" s="107"/>
    </row>
    <row r="29" spans="2:23" x14ac:dyDescent="0.3">
      <c r="B29" s="104" t="s">
        <v>500</v>
      </c>
      <c r="C29" s="108"/>
      <c r="D29" s="109"/>
    </row>
    <row r="30" spans="2:23" x14ac:dyDescent="0.3">
      <c r="B30" s="100" t="s">
        <v>560</v>
      </c>
      <c r="C30" s="101"/>
      <c r="D30" s="107">
        <v>0.3</v>
      </c>
    </row>
    <row r="31" spans="2:23" ht="15" thickBot="1" x14ac:dyDescent="0.35">
      <c r="B31" s="116" t="s">
        <v>561</v>
      </c>
      <c r="C31" s="117"/>
      <c r="D31" s="118">
        <v>0.7</v>
      </c>
    </row>
  </sheetData>
  <mergeCells count="8">
    <mergeCell ref="B2:D2"/>
    <mergeCell ref="M2:Q2"/>
    <mergeCell ref="F3:G3"/>
    <mergeCell ref="L3:L8"/>
    <mergeCell ref="L10:L24"/>
    <mergeCell ref="S2:W2"/>
    <mergeCell ref="F2:G2"/>
    <mergeCell ref="I2:J2"/>
  </mergeCells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34E759E-0893-4029-A248-4F66ACD7BE82}">
          <x14:formula1>
            <xm:f>'dont delete'!$B$3:$B$4</xm:f>
          </x14:formula1>
          <xm:sqref>G5:G9 G11:G26 J11:K26 J5:K9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6C00-6972-4CBA-886D-979EFBB91540}">
  <dimension ref="A2:B4"/>
  <sheetViews>
    <sheetView workbookViewId="0">
      <selection activeCell="G16" sqref="G16"/>
    </sheetView>
  </sheetViews>
  <sheetFormatPr defaultRowHeight="14.4" x14ac:dyDescent="0.3"/>
  <cols>
    <col min="1" max="2" width="10.109375" customWidth="1"/>
  </cols>
  <sheetData>
    <row r="2" spans="1:2" x14ac:dyDescent="0.3">
      <c r="A2" t="s">
        <v>511</v>
      </c>
      <c r="B2" t="s">
        <v>512</v>
      </c>
    </row>
    <row r="3" spans="1:2" x14ac:dyDescent="0.3">
      <c r="A3" t="s">
        <v>529</v>
      </c>
      <c r="B3">
        <v>0</v>
      </c>
    </row>
    <row r="4" spans="1:2" x14ac:dyDescent="0.3">
      <c r="A4" t="s">
        <v>507</v>
      </c>
      <c r="B4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8B6E3-892A-4DB9-9680-ADFCB8E5FFA5}">
  <dimension ref="A1:AA28"/>
  <sheetViews>
    <sheetView tabSelected="1" workbookViewId="0">
      <selection activeCell="AB18" sqref="AB18"/>
    </sheetView>
  </sheetViews>
  <sheetFormatPr defaultRowHeight="15.6" x14ac:dyDescent="0.3"/>
  <cols>
    <col min="1" max="1" width="1.88671875" style="2" customWidth="1"/>
    <col min="2" max="2" width="4.88671875" style="5" customWidth="1"/>
    <col min="3" max="3" width="11.33203125" style="1" customWidth="1"/>
    <col min="4" max="4" width="2.6640625" style="2" customWidth="1"/>
    <col min="5" max="5" width="6" style="1" bestFit="1" customWidth="1"/>
    <col min="6" max="6" width="10.88671875" style="1" bestFit="1" customWidth="1"/>
    <col min="7" max="7" width="3" style="1" bestFit="1" customWidth="1"/>
    <col min="8" max="8" width="1.44140625" style="3" customWidth="1"/>
    <col min="9" max="9" width="8.88671875" style="1" bestFit="1" customWidth="1"/>
    <col min="10" max="10" width="7.6640625" style="1" bestFit="1" customWidth="1"/>
    <col min="11" max="12" width="9.33203125" bestFit="1" customWidth="1"/>
    <col min="13" max="13" width="10.44140625" bestFit="1" customWidth="1"/>
    <col min="14" max="14" width="9.33203125" bestFit="1" customWidth="1"/>
    <col min="15" max="15" width="9.6640625" bestFit="1" customWidth="1"/>
    <col min="16" max="16" width="7.5546875" customWidth="1"/>
    <col min="17" max="17" width="6.6640625" bestFit="1" customWidth="1"/>
    <col min="18" max="18" width="9.33203125" bestFit="1" customWidth="1"/>
    <col min="19" max="19" width="8.33203125" bestFit="1" customWidth="1"/>
    <col min="20" max="20" width="8.88671875" bestFit="1" customWidth="1"/>
    <col min="21" max="21" width="10.5546875" bestFit="1" customWidth="1"/>
    <col min="22" max="22" width="5.44140625" bestFit="1" customWidth="1"/>
    <col min="23" max="23" width="7.6640625" bestFit="1" customWidth="1"/>
    <col min="24" max="24" width="8.33203125" bestFit="1" customWidth="1"/>
    <col min="25" max="25" width="6.44140625" bestFit="1" customWidth="1"/>
    <col min="26" max="26" width="7.33203125" customWidth="1"/>
    <col min="27" max="27" width="10.109375" style="2" customWidth="1"/>
  </cols>
  <sheetData>
    <row r="1" spans="2:26" s="2" customFormat="1" ht="6.6" customHeight="1" thickBot="1" x14ac:dyDescent="0.35">
      <c r="B1" s="4"/>
      <c r="C1" s="3"/>
      <c r="E1" s="3"/>
      <c r="F1" s="3"/>
      <c r="G1" s="3"/>
      <c r="H1" s="3"/>
      <c r="I1" s="3"/>
      <c r="J1" s="3"/>
    </row>
    <row r="2" spans="2:26" s="2" customFormat="1" ht="21.6" x14ac:dyDescent="0.5">
      <c r="B2" s="29" t="s">
        <v>39</v>
      </c>
      <c r="C2" s="6" t="s">
        <v>0</v>
      </c>
      <c r="D2" s="7"/>
      <c r="E2" s="46" t="s">
        <v>469</v>
      </c>
      <c r="F2" s="47" t="s">
        <v>470</v>
      </c>
      <c r="G2" s="48" t="s">
        <v>468</v>
      </c>
      <c r="H2" s="8"/>
      <c r="I2" s="46" t="s">
        <v>471</v>
      </c>
      <c r="J2" s="49" t="s">
        <v>472</v>
      </c>
      <c r="K2" s="48" t="s">
        <v>473</v>
      </c>
      <c r="L2" s="46" t="s">
        <v>474</v>
      </c>
      <c r="M2" s="47" t="s">
        <v>475</v>
      </c>
      <c r="N2" s="47" t="s">
        <v>479</v>
      </c>
      <c r="O2" s="47" t="s">
        <v>476</v>
      </c>
      <c r="P2" s="48" t="s">
        <v>477</v>
      </c>
      <c r="Q2" s="50" t="s">
        <v>478</v>
      </c>
      <c r="R2" s="47" t="s">
        <v>479</v>
      </c>
      <c r="S2" s="47" t="s">
        <v>484</v>
      </c>
      <c r="T2" s="47" t="s">
        <v>480</v>
      </c>
      <c r="U2" s="47" t="s">
        <v>481</v>
      </c>
      <c r="V2" s="48" t="s">
        <v>482</v>
      </c>
      <c r="W2" s="46" t="s">
        <v>483</v>
      </c>
      <c r="X2" s="47" t="s">
        <v>484</v>
      </c>
      <c r="Y2" s="48" t="s">
        <v>485</v>
      </c>
      <c r="Z2" s="51" t="s">
        <v>564</v>
      </c>
    </row>
    <row r="3" spans="2:26" s="2" customFormat="1" ht="18" x14ac:dyDescent="0.35">
      <c r="B3" s="45" t="s">
        <v>24</v>
      </c>
      <c r="C3" s="121">
        <f>Dashboard!D5</f>
        <v>100000</v>
      </c>
      <c r="D3" s="10"/>
      <c r="E3" s="11" t="s">
        <v>1</v>
      </c>
      <c r="F3" s="12" t="s">
        <v>2</v>
      </c>
      <c r="G3" s="13">
        <v>1</v>
      </c>
      <c r="H3" s="42"/>
      <c r="I3" s="31">
        <f>C3-L3-Q3-W3</f>
        <v>99982.831253000011</v>
      </c>
      <c r="J3" s="32">
        <f>I3*$C$14*$C$19</f>
        <v>17.165799341264499</v>
      </c>
      <c r="K3" s="33">
        <f>I3-J3</f>
        <v>99965.665453658745</v>
      </c>
      <c r="L3" s="31">
        <f>C3*$C$14*$C$19*0.5</f>
        <v>8.5843734999999999</v>
      </c>
      <c r="M3" s="32">
        <v>0</v>
      </c>
      <c r="N3" s="32">
        <f>L3*$C$6</f>
        <v>2.146093375</v>
      </c>
      <c r="O3" s="34"/>
      <c r="P3" s="33">
        <f>L3+M3-N3-O3</f>
        <v>6.4382801250000004</v>
      </c>
      <c r="Q3" s="31">
        <f>C3*$C$14*$C$19*0.5</f>
        <v>8.5843734999999999</v>
      </c>
      <c r="R3" s="32">
        <v>0</v>
      </c>
      <c r="S3" s="32">
        <f>Q3*$C$8</f>
        <v>0.61316953571428567</v>
      </c>
      <c r="T3" s="34"/>
      <c r="U3" s="32">
        <f>Q3*$C$9*(1-$C$21)</f>
        <v>0.46326258342629989</v>
      </c>
      <c r="V3" s="33">
        <f>Q3+R3-S3-T3-U3</f>
        <v>7.5079413808594149</v>
      </c>
      <c r="W3" s="31">
        <v>0</v>
      </c>
      <c r="X3" s="32">
        <v>0</v>
      </c>
      <c r="Y3" s="33">
        <f>W3+X3</f>
        <v>0</v>
      </c>
      <c r="Z3" s="43">
        <f>P3+V3</f>
        <v>13.946221505859416</v>
      </c>
    </row>
    <row r="4" spans="2:26" s="2" customFormat="1" ht="18" x14ac:dyDescent="0.35">
      <c r="B4" s="45" t="s">
        <v>25</v>
      </c>
      <c r="C4" s="124">
        <f>C14*2</f>
        <v>3.9399999999999998E-4</v>
      </c>
      <c r="D4" s="10"/>
      <c r="E4" s="11" t="s">
        <v>1</v>
      </c>
      <c r="F4" s="12" t="s">
        <v>2</v>
      </c>
      <c r="G4" s="13">
        <v>2</v>
      </c>
      <c r="H4" s="42"/>
      <c r="I4" s="31">
        <f>K3</f>
        <v>99965.665453658745</v>
      </c>
      <c r="J4" s="32">
        <f t="shared" ref="J4:J8" si="0">I4*$C$14*$C$19</f>
        <v>17.162852188605072</v>
      </c>
      <c r="K4" s="33">
        <f t="shared" ref="K4:K24" si="1">I4-J4</f>
        <v>99948.502601470143</v>
      </c>
      <c r="L4" s="31">
        <f>P3</f>
        <v>6.4382801250000004</v>
      </c>
      <c r="M4" s="32">
        <f>J3</f>
        <v>17.165799341264499</v>
      </c>
      <c r="N4" s="32">
        <f t="shared" ref="N4:N24" si="2">L4*$C$6</f>
        <v>1.6095700312500001</v>
      </c>
      <c r="O4" s="34"/>
      <c r="P4" s="33">
        <f>L4+M4-N4-O4</f>
        <v>21.9945094350145</v>
      </c>
      <c r="Q4" s="31">
        <f>V3</f>
        <v>7.5079413808594149</v>
      </c>
      <c r="R4" s="32">
        <f>N3</f>
        <v>2.146093375</v>
      </c>
      <c r="S4" s="32">
        <f t="shared" ref="S4:S24" si="3">Q4*$C$8</f>
        <v>0.53628152720424394</v>
      </c>
      <c r="T4" s="34"/>
      <c r="U4" s="32">
        <f t="shared" ref="U4:U24" si="4">Q4*$C$9*(1-$C$21)</f>
        <v>0.40517206297118291</v>
      </c>
      <c r="V4" s="33">
        <f t="shared" ref="V4:V24" si="5">Q4+R4-S4-T4-U4</f>
        <v>8.7125811656839893</v>
      </c>
      <c r="W4" s="31">
        <f>Z3</f>
        <v>13.946221505859416</v>
      </c>
      <c r="X4" s="32">
        <f>R3</f>
        <v>0</v>
      </c>
      <c r="Y4" s="33">
        <f t="shared" ref="Y4:Y24" si="6">W4+X4</f>
        <v>13.946221505859416</v>
      </c>
      <c r="Z4" s="43">
        <f t="shared" ref="Z4:Z24" si="7">P4+V4</f>
        <v>30.707090600698489</v>
      </c>
    </row>
    <row r="5" spans="2:26" s="2" customFormat="1" ht="18" x14ac:dyDescent="0.35">
      <c r="B5" s="45" t="s">
        <v>28</v>
      </c>
      <c r="C5" s="121">
        <f>Dashboard!D6</f>
        <v>4</v>
      </c>
      <c r="D5" s="10"/>
      <c r="E5" s="11" t="s">
        <v>3</v>
      </c>
      <c r="F5" s="12" t="s">
        <v>4</v>
      </c>
      <c r="G5" s="13">
        <v>3</v>
      </c>
      <c r="H5" s="42"/>
      <c r="I5" s="31">
        <f t="shared" ref="I5:I24" si="8">K4</f>
        <v>99948.502601470143</v>
      </c>
      <c r="J5" s="32">
        <f t="shared" si="0"/>
        <v>17.159905541934826</v>
      </c>
      <c r="K5" s="33">
        <f t="shared" si="1"/>
        <v>99931.342695928208</v>
      </c>
      <c r="L5" s="31">
        <f t="shared" ref="L5:L24" si="9">P4</f>
        <v>21.9945094350145</v>
      </c>
      <c r="M5" s="32">
        <f t="shared" ref="M5:M10" si="10">J4</f>
        <v>17.162852188605072</v>
      </c>
      <c r="N5" s="32">
        <f t="shared" si="2"/>
        <v>5.498627358753625</v>
      </c>
      <c r="O5" s="32">
        <f>L5*(1-$C$10)*Dashboard!G5</f>
        <v>0</v>
      </c>
      <c r="P5" s="33">
        <f t="shared" ref="P5:P24" si="11">L5+M5-N5-O5</f>
        <v>33.658734264865949</v>
      </c>
      <c r="Q5" s="31">
        <f t="shared" ref="Q5:Q24" si="12">V4</f>
        <v>8.7125811656839893</v>
      </c>
      <c r="R5" s="32">
        <f t="shared" ref="R5:R24" si="13">N4</f>
        <v>1.6095700312500001</v>
      </c>
      <c r="S5" s="32">
        <f t="shared" si="3"/>
        <v>0.6223272261202849</v>
      </c>
      <c r="T5" s="32">
        <f>Q5*(1-$C$11)*Dashboard!G5</f>
        <v>0</v>
      </c>
      <c r="U5" s="32">
        <f t="shared" si="4"/>
        <v>0.47018141267106889</v>
      </c>
      <c r="V5" s="33">
        <f t="shared" si="5"/>
        <v>9.2296425581426345</v>
      </c>
      <c r="W5" s="31">
        <f t="shared" ref="W5:W24" si="14">Z4</f>
        <v>30.707090600698489</v>
      </c>
      <c r="X5" s="32">
        <f t="shared" ref="X5:X24" si="15">R4</f>
        <v>2.146093375</v>
      </c>
      <c r="Y5" s="33">
        <f>W5+X5</f>
        <v>32.853183975698492</v>
      </c>
      <c r="Z5" s="43">
        <f t="shared" si="7"/>
        <v>42.888376823008585</v>
      </c>
    </row>
    <row r="6" spans="2:26" s="2" customFormat="1" ht="18" x14ac:dyDescent="0.35">
      <c r="B6" s="45" t="s">
        <v>26</v>
      </c>
      <c r="C6" s="122">
        <f>1/C5</f>
        <v>0.25</v>
      </c>
      <c r="D6" s="10"/>
      <c r="E6" s="11" t="s">
        <v>5</v>
      </c>
      <c r="F6" s="12" t="s">
        <v>6</v>
      </c>
      <c r="G6" s="13">
        <v>4</v>
      </c>
      <c r="H6" s="42"/>
      <c r="I6" s="31">
        <f t="shared" si="8"/>
        <v>99931.342695928208</v>
      </c>
      <c r="J6" s="32">
        <f t="shared" si="0"/>
        <v>17.156959401166894</v>
      </c>
      <c r="K6" s="33">
        <f t="shared" si="1"/>
        <v>99914.185736527041</v>
      </c>
      <c r="L6" s="31">
        <f t="shared" si="9"/>
        <v>33.658734264865949</v>
      </c>
      <c r="M6" s="32">
        <f t="shared" si="10"/>
        <v>17.159905541934826</v>
      </c>
      <c r="N6" s="32">
        <f>L6*$C$6</f>
        <v>8.4146835662164872</v>
      </c>
      <c r="O6" s="32">
        <f>L6*(1-$C$10)*Dashboard!G6</f>
        <v>0</v>
      </c>
      <c r="P6" s="33">
        <f t="shared" si="11"/>
        <v>42.403956240584286</v>
      </c>
      <c r="Q6" s="31">
        <f t="shared" si="12"/>
        <v>9.2296425581426345</v>
      </c>
      <c r="R6" s="32">
        <f t="shared" si="13"/>
        <v>5.498627358753625</v>
      </c>
      <c r="S6" s="32">
        <f t="shared" si="3"/>
        <v>0.65926018272447384</v>
      </c>
      <c r="T6" s="32">
        <f>Q6*(1-$C$11)*Dashboard!G6</f>
        <v>0</v>
      </c>
      <c r="U6" s="32">
        <f t="shared" si="4"/>
        <v>0.49808504436421364</v>
      </c>
      <c r="V6" s="33">
        <f t="shared" si="5"/>
        <v>13.570924689807573</v>
      </c>
      <c r="W6" s="31">
        <f t="shared" si="14"/>
        <v>42.888376823008585</v>
      </c>
      <c r="X6" s="32">
        <f t="shared" si="15"/>
        <v>1.6095700312500001</v>
      </c>
      <c r="Y6" s="33">
        <f t="shared" si="6"/>
        <v>44.497946854258586</v>
      </c>
      <c r="Z6" s="43">
        <f t="shared" si="7"/>
        <v>55.974880930391862</v>
      </c>
    </row>
    <row r="7" spans="2:26" s="2" customFormat="1" ht="18" x14ac:dyDescent="0.35">
      <c r="B7" s="45" t="s">
        <v>29</v>
      </c>
      <c r="C7" s="121">
        <f>Dashboard!D8</f>
        <v>14</v>
      </c>
      <c r="D7" s="10"/>
      <c r="E7" s="11" t="s">
        <v>5</v>
      </c>
      <c r="F7" s="12" t="s">
        <v>7</v>
      </c>
      <c r="G7" s="13">
        <v>5</v>
      </c>
      <c r="H7" s="42"/>
      <c r="I7" s="31">
        <f t="shared" si="8"/>
        <v>99914.185736527041</v>
      </c>
      <c r="J7" s="32">
        <f t="shared" si="0"/>
        <v>17.154013766214415</v>
      </c>
      <c r="K7" s="33">
        <f t="shared" si="1"/>
        <v>99897.031722760832</v>
      </c>
      <c r="L7" s="31">
        <f t="shared" si="9"/>
        <v>42.403956240584286</v>
      </c>
      <c r="M7" s="32">
        <f t="shared" si="10"/>
        <v>17.156959401166894</v>
      </c>
      <c r="N7" s="32">
        <f t="shared" si="2"/>
        <v>10.600989060146071</v>
      </c>
      <c r="O7" s="32">
        <f>L7*(1-$C$10)*Dashboard!G7</f>
        <v>0</v>
      </c>
      <c r="P7" s="33">
        <f t="shared" si="11"/>
        <v>48.95992658160511</v>
      </c>
      <c r="Q7" s="31">
        <f t="shared" si="12"/>
        <v>13.570924689807573</v>
      </c>
      <c r="R7" s="32">
        <f t="shared" si="13"/>
        <v>8.4146835662164872</v>
      </c>
      <c r="S7" s="32">
        <f t="shared" si="3"/>
        <v>0.96935176355768371</v>
      </c>
      <c r="T7" s="32">
        <f>Q7*(1-$C$11)*Dashboard!G7</f>
        <v>0</v>
      </c>
      <c r="U7" s="32">
        <f>Q7*$C$9*(1-$C$21)</f>
        <v>0.73236580762521719</v>
      </c>
      <c r="V7" s="33">
        <f t="shared" si="5"/>
        <v>20.283890684841158</v>
      </c>
      <c r="W7" s="31">
        <f t="shared" si="14"/>
        <v>55.974880930391862</v>
      </c>
      <c r="X7" s="32">
        <f t="shared" si="15"/>
        <v>5.498627358753625</v>
      </c>
      <c r="Y7" s="33">
        <f t="shared" si="6"/>
        <v>61.473508289145485</v>
      </c>
      <c r="Z7" s="43">
        <f t="shared" si="7"/>
        <v>69.243817266446271</v>
      </c>
    </row>
    <row r="8" spans="2:26" s="2" customFormat="1" ht="18" x14ac:dyDescent="0.35">
      <c r="B8" s="45" t="s">
        <v>27</v>
      </c>
      <c r="C8" s="122">
        <f>1/C7</f>
        <v>7.1428571428571425E-2</v>
      </c>
      <c r="D8" s="10"/>
      <c r="E8" s="11" t="s">
        <v>467</v>
      </c>
      <c r="F8" s="12" t="s">
        <v>8</v>
      </c>
      <c r="G8" s="13">
        <v>6</v>
      </c>
      <c r="H8" s="42"/>
      <c r="I8" s="31">
        <f>K7</f>
        <v>99897.031722760832</v>
      </c>
      <c r="J8" s="32">
        <f t="shared" si="0"/>
        <v>17.151068636990548</v>
      </c>
      <c r="K8" s="33">
        <f t="shared" si="1"/>
        <v>99879.880654123845</v>
      </c>
      <c r="L8" s="31">
        <f t="shared" si="9"/>
        <v>48.95992658160511</v>
      </c>
      <c r="M8" s="32">
        <f t="shared" si="10"/>
        <v>17.154013766214415</v>
      </c>
      <c r="N8" s="32">
        <f t="shared" si="2"/>
        <v>12.239981645401278</v>
      </c>
      <c r="O8" s="32">
        <f>L8*(1-$C$10)*Dashboard!G8</f>
        <v>0</v>
      </c>
      <c r="P8" s="33">
        <f t="shared" si="11"/>
        <v>53.873958702418243</v>
      </c>
      <c r="Q8" s="31">
        <f t="shared" si="12"/>
        <v>20.283890684841158</v>
      </c>
      <c r="R8" s="32">
        <f t="shared" si="13"/>
        <v>10.600989060146071</v>
      </c>
      <c r="S8" s="32">
        <f t="shared" si="3"/>
        <v>1.4488493346315112</v>
      </c>
      <c r="T8" s="32">
        <f>Q8*(1-$C$11)*Dashboard!G8</f>
        <v>0</v>
      </c>
      <c r="U8" s="32">
        <f t="shared" si="4"/>
        <v>1.0946363879200005</v>
      </c>
      <c r="V8" s="33">
        <f t="shared" si="5"/>
        <v>28.341394022435718</v>
      </c>
      <c r="W8" s="31">
        <f t="shared" si="14"/>
        <v>69.243817266446271</v>
      </c>
      <c r="X8" s="32">
        <f t="shared" si="15"/>
        <v>8.4146835662164872</v>
      </c>
      <c r="Y8" s="33">
        <f t="shared" si="6"/>
        <v>77.658500832662753</v>
      </c>
      <c r="Z8" s="43">
        <f t="shared" si="7"/>
        <v>82.215352724853958</v>
      </c>
    </row>
    <row r="9" spans="2:26" s="2" customFormat="1" ht="18" x14ac:dyDescent="0.35">
      <c r="B9" s="45" t="s">
        <v>30</v>
      </c>
      <c r="C9" s="122">
        <f>Dashboard!D11</f>
        <v>0.18</v>
      </c>
      <c r="D9" s="10"/>
      <c r="E9" s="11" t="s">
        <v>9</v>
      </c>
      <c r="F9" s="12" t="s">
        <v>10</v>
      </c>
      <c r="G9" s="13">
        <v>7</v>
      </c>
      <c r="H9" s="42"/>
      <c r="I9" s="31">
        <f>K8</f>
        <v>99879.880654123845</v>
      </c>
      <c r="J9" s="32">
        <f>I9*$C$4*$C$19</f>
        <v>34.296248026816933</v>
      </c>
      <c r="K9" s="33">
        <f>I9-J9</f>
        <v>99845.584406097027</v>
      </c>
      <c r="L9" s="31">
        <f>P8</f>
        <v>53.873958702418243</v>
      </c>
      <c r="M9" s="35">
        <f>J8</f>
        <v>17.151068636990548</v>
      </c>
      <c r="N9" s="32">
        <f>L9*$C$6</f>
        <v>13.468489675604561</v>
      </c>
      <c r="O9" s="34"/>
      <c r="P9" s="33">
        <f t="shared" si="11"/>
        <v>57.556537663804235</v>
      </c>
      <c r="Q9" s="31">
        <f t="shared" si="12"/>
        <v>28.341394022435718</v>
      </c>
      <c r="R9" s="32">
        <f t="shared" si="13"/>
        <v>12.239981645401278</v>
      </c>
      <c r="S9" s="32">
        <f t="shared" si="3"/>
        <v>2.0243852873168371</v>
      </c>
      <c r="T9" s="34"/>
      <c r="U9" s="32">
        <f t="shared" si="4"/>
        <v>1.5294660015359609</v>
      </c>
      <c r="V9" s="33">
        <f t="shared" si="5"/>
        <v>37.027524378984197</v>
      </c>
      <c r="W9" s="31">
        <f t="shared" si="14"/>
        <v>82.215352724853958</v>
      </c>
      <c r="X9" s="32">
        <f t="shared" si="15"/>
        <v>10.600989060146071</v>
      </c>
      <c r="Y9" s="33">
        <f t="shared" si="6"/>
        <v>92.816341785000034</v>
      </c>
      <c r="Z9" s="43">
        <f t="shared" si="7"/>
        <v>94.584062042788432</v>
      </c>
    </row>
    <row r="10" spans="2:26" s="2" customFormat="1" ht="18" x14ac:dyDescent="0.35">
      <c r="B10" s="45" t="s">
        <v>31</v>
      </c>
      <c r="C10" s="122">
        <f>Dashboard!D14</f>
        <v>0.84</v>
      </c>
      <c r="D10" s="10"/>
      <c r="E10" s="15" t="s">
        <v>382</v>
      </c>
      <c r="F10" s="16" t="s">
        <v>583</v>
      </c>
      <c r="G10" s="17">
        <v>8</v>
      </c>
      <c r="H10" s="42"/>
      <c r="I10" s="31">
        <f t="shared" si="8"/>
        <v>99845.584406097027</v>
      </c>
      <c r="J10" s="34"/>
      <c r="K10" s="33">
        <f t="shared" si="1"/>
        <v>99845.584406097027</v>
      </c>
      <c r="L10" s="31">
        <f t="shared" si="9"/>
        <v>57.556537663804235</v>
      </c>
      <c r="M10" s="35">
        <f t="shared" si="10"/>
        <v>34.296248026816933</v>
      </c>
      <c r="N10" s="32">
        <f t="shared" si="2"/>
        <v>14.389134415951059</v>
      </c>
      <c r="O10" s="32">
        <f>L10*(1-$C$10)*Dashboard!G9</f>
        <v>9.2090460262086786</v>
      </c>
      <c r="P10" s="33">
        <f>L10+M10-N10-O10</f>
        <v>68.254605248461431</v>
      </c>
      <c r="Q10" s="31">
        <f t="shared" si="12"/>
        <v>37.027524378984197</v>
      </c>
      <c r="R10" s="32">
        <f t="shared" si="13"/>
        <v>13.468489675604561</v>
      </c>
      <c r="S10" s="32">
        <f t="shared" si="3"/>
        <v>2.6448231699274425</v>
      </c>
      <c r="T10" s="32">
        <f>Q10*(1-$C$11)*Dashboard!G9</f>
        <v>26.289542309078779</v>
      </c>
      <c r="U10" s="32">
        <f t="shared" si="4"/>
        <v>1.9982199751313847</v>
      </c>
      <c r="V10" s="33">
        <f t="shared" si="5"/>
        <v>19.56342860045115</v>
      </c>
      <c r="W10" s="31">
        <f t="shared" si="14"/>
        <v>94.584062042788432</v>
      </c>
      <c r="X10" s="32">
        <f t="shared" si="15"/>
        <v>12.239981645401278</v>
      </c>
      <c r="Y10" s="33">
        <f t="shared" si="6"/>
        <v>106.8240436881897</v>
      </c>
      <c r="Z10" s="43">
        <f>P10+V10</f>
        <v>87.818033848912577</v>
      </c>
    </row>
    <row r="11" spans="2:26" s="2" customFormat="1" ht="18" x14ac:dyDescent="0.35">
      <c r="B11" s="45" t="s">
        <v>32</v>
      </c>
      <c r="C11" s="122">
        <f>Dashboard!D15</f>
        <v>0.28999999999999998</v>
      </c>
      <c r="D11" s="10"/>
      <c r="E11" s="11" t="s">
        <v>383</v>
      </c>
      <c r="F11" s="12" t="s">
        <v>11</v>
      </c>
      <c r="G11" s="13">
        <v>9</v>
      </c>
      <c r="H11" s="42"/>
      <c r="I11" s="31">
        <f t="shared" si="8"/>
        <v>99845.584406097027</v>
      </c>
      <c r="J11" s="34"/>
      <c r="K11" s="33">
        <f t="shared" si="1"/>
        <v>99845.584406097027</v>
      </c>
      <c r="L11" s="31">
        <f>P10</f>
        <v>68.254605248461431</v>
      </c>
      <c r="M11" s="36"/>
      <c r="N11" s="32">
        <f t="shared" si="2"/>
        <v>17.063651312115358</v>
      </c>
      <c r="O11" s="32">
        <f>L11*(1-$C$10)*Dashboard!G11</f>
        <v>0</v>
      </c>
      <c r="P11" s="33">
        <f t="shared" si="11"/>
        <v>51.190953936346077</v>
      </c>
      <c r="Q11" s="31">
        <f t="shared" si="12"/>
        <v>19.56342860045115</v>
      </c>
      <c r="R11" s="32">
        <f t="shared" si="13"/>
        <v>14.389134415951059</v>
      </c>
      <c r="S11" s="32">
        <f t="shared" si="3"/>
        <v>1.3973877571750821</v>
      </c>
      <c r="T11" s="32">
        <f>Q11*(1-$C$11)*Dashboard!G11</f>
        <v>0</v>
      </c>
      <c r="U11" s="32">
        <f t="shared" si="4"/>
        <v>1.0557560751662263</v>
      </c>
      <c r="V11" s="33">
        <f t="shared" si="5"/>
        <v>31.499419184060901</v>
      </c>
      <c r="W11" s="31">
        <f t="shared" si="14"/>
        <v>87.818033848912577</v>
      </c>
      <c r="X11" s="32">
        <f t="shared" si="15"/>
        <v>13.468489675604561</v>
      </c>
      <c r="Y11" s="33">
        <f t="shared" si="6"/>
        <v>101.28652352451714</v>
      </c>
      <c r="Z11" s="43">
        <f t="shared" si="7"/>
        <v>82.690373120406974</v>
      </c>
    </row>
    <row r="12" spans="2:26" s="2" customFormat="1" ht="16.2" x14ac:dyDescent="0.35">
      <c r="B12" s="9"/>
      <c r="C12" s="119"/>
      <c r="D12" s="10"/>
      <c r="E12" s="11" t="s">
        <v>384</v>
      </c>
      <c r="F12" s="12" t="s">
        <v>12</v>
      </c>
      <c r="G12" s="13">
        <v>10</v>
      </c>
      <c r="H12" s="42"/>
      <c r="I12" s="31">
        <f t="shared" si="8"/>
        <v>99845.584406097027</v>
      </c>
      <c r="J12" s="34"/>
      <c r="K12" s="33">
        <f t="shared" si="1"/>
        <v>99845.584406097027</v>
      </c>
      <c r="L12" s="31">
        <f t="shared" si="9"/>
        <v>51.190953936346077</v>
      </c>
      <c r="M12" s="36"/>
      <c r="N12" s="32">
        <f t="shared" si="2"/>
        <v>12.797738484086519</v>
      </c>
      <c r="O12" s="32">
        <f>L12*(1-$C$10)*Dashboard!G12</f>
        <v>0</v>
      </c>
      <c r="P12" s="33">
        <f t="shared" si="11"/>
        <v>38.393215452259554</v>
      </c>
      <c r="Q12" s="31">
        <f t="shared" si="12"/>
        <v>31.499419184060901</v>
      </c>
      <c r="R12" s="32">
        <f t="shared" si="13"/>
        <v>17.063651312115358</v>
      </c>
      <c r="S12" s="32">
        <f t="shared" si="3"/>
        <v>2.2499585131472073</v>
      </c>
      <c r="T12" s="32">
        <f>Q12*(1-$C$11)*Dashboard!G12</f>
        <v>0</v>
      </c>
      <c r="U12" s="32">
        <f t="shared" si="4"/>
        <v>1.6998913558031934</v>
      </c>
      <c r="V12" s="33">
        <f t="shared" si="5"/>
        <v>44.613220627225857</v>
      </c>
      <c r="W12" s="31">
        <f t="shared" si="14"/>
        <v>82.690373120406974</v>
      </c>
      <c r="X12" s="32">
        <f t="shared" si="15"/>
        <v>14.389134415951059</v>
      </c>
      <c r="Y12" s="33">
        <f t="shared" si="6"/>
        <v>97.079507536358037</v>
      </c>
      <c r="Z12" s="43">
        <f t="shared" si="7"/>
        <v>83.006436079485411</v>
      </c>
    </row>
    <row r="13" spans="2:26" s="2" customFormat="1" ht="16.2" x14ac:dyDescent="0.35">
      <c r="B13" s="30" t="s">
        <v>40</v>
      </c>
      <c r="C13" s="123" t="s">
        <v>0</v>
      </c>
      <c r="D13" s="10"/>
      <c r="E13" s="11" t="s">
        <v>385</v>
      </c>
      <c r="F13" s="12" t="s">
        <v>13</v>
      </c>
      <c r="G13" s="13">
        <v>11</v>
      </c>
      <c r="H13" s="42"/>
      <c r="I13" s="31">
        <f t="shared" si="8"/>
        <v>99845.584406097027</v>
      </c>
      <c r="J13" s="34"/>
      <c r="K13" s="33">
        <f t="shared" si="1"/>
        <v>99845.584406097027</v>
      </c>
      <c r="L13" s="31">
        <f t="shared" si="9"/>
        <v>38.393215452259554</v>
      </c>
      <c r="M13" s="36"/>
      <c r="N13" s="32">
        <f t="shared" si="2"/>
        <v>9.5983038630648885</v>
      </c>
      <c r="O13" s="32">
        <f>L13*(1-$C$10)*Dashboard!G13</f>
        <v>0</v>
      </c>
      <c r="P13" s="33">
        <f t="shared" si="11"/>
        <v>28.794911589194665</v>
      </c>
      <c r="Q13" s="31">
        <f t="shared" si="12"/>
        <v>44.613220627225857</v>
      </c>
      <c r="R13" s="32">
        <f t="shared" si="13"/>
        <v>12.797738484086519</v>
      </c>
      <c r="S13" s="32">
        <f t="shared" si="3"/>
        <v>3.1866586162304182</v>
      </c>
      <c r="T13" s="32">
        <f>Q13*(1-$C$11)*Dashboard!G13</f>
        <v>0</v>
      </c>
      <c r="U13" s="32">
        <f t="shared" si="4"/>
        <v>2.4075881417247444</v>
      </c>
      <c r="V13" s="33">
        <f t="shared" si="5"/>
        <v>51.816712353357218</v>
      </c>
      <c r="W13" s="31">
        <f t="shared" si="14"/>
        <v>83.006436079485411</v>
      </c>
      <c r="X13" s="32">
        <f t="shared" si="15"/>
        <v>17.063651312115358</v>
      </c>
      <c r="Y13" s="33">
        <f t="shared" si="6"/>
        <v>100.07008739160077</v>
      </c>
      <c r="Z13" s="43">
        <f t="shared" si="7"/>
        <v>80.611623942551887</v>
      </c>
    </row>
    <row r="14" spans="2:26" s="2" customFormat="1" ht="18" x14ac:dyDescent="0.35">
      <c r="B14" s="45" t="s">
        <v>33</v>
      </c>
      <c r="C14" s="119">
        <f>Dashboard!D19</f>
        <v>1.9699999999999999E-4</v>
      </c>
      <c r="D14" s="10"/>
      <c r="E14" s="11" t="s">
        <v>386</v>
      </c>
      <c r="F14" s="12" t="s">
        <v>14</v>
      </c>
      <c r="G14" s="13">
        <v>12</v>
      </c>
      <c r="H14" s="42"/>
      <c r="I14" s="31">
        <f t="shared" si="8"/>
        <v>99845.584406097027</v>
      </c>
      <c r="J14" s="34"/>
      <c r="K14" s="33">
        <f t="shared" si="1"/>
        <v>99845.584406097027</v>
      </c>
      <c r="L14" s="31">
        <f t="shared" si="9"/>
        <v>28.794911589194665</v>
      </c>
      <c r="M14" s="36"/>
      <c r="N14" s="32">
        <f t="shared" si="2"/>
        <v>7.1987278972986664</v>
      </c>
      <c r="O14" s="32">
        <f>L14*(1-$C$10)*Dashboard!G14</f>
        <v>0</v>
      </c>
      <c r="P14" s="33">
        <f t="shared" si="11"/>
        <v>21.596183691895998</v>
      </c>
      <c r="Q14" s="31">
        <f t="shared" si="12"/>
        <v>51.816712353357218</v>
      </c>
      <c r="R14" s="32">
        <f t="shared" si="13"/>
        <v>9.5983038630648885</v>
      </c>
      <c r="S14" s="32">
        <f t="shared" si="3"/>
        <v>3.7011937395255154</v>
      </c>
      <c r="T14" s="32">
        <f>Q14*(1-$C$11)*Dashboard!G14</f>
        <v>0</v>
      </c>
      <c r="U14" s="32">
        <f t="shared" si="4"/>
        <v>2.7963303355188041</v>
      </c>
      <c r="V14" s="33">
        <f t="shared" si="5"/>
        <v>54.917492141377785</v>
      </c>
      <c r="W14" s="31">
        <f t="shared" si="14"/>
        <v>80.611623942551887</v>
      </c>
      <c r="X14" s="32">
        <f t="shared" si="15"/>
        <v>12.797738484086519</v>
      </c>
      <c r="Y14" s="33">
        <f t="shared" si="6"/>
        <v>93.40936242663841</v>
      </c>
      <c r="Z14" s="43">
        <f t="shared" si="7"/>
        <v>76.51367583327378</v>
      </c>
    </row>
    <row r="15" spans="2:26" s="2" customFormat="1" ht="18" x14ac:dyDescent="0.35">
      <c r="B15" s="45" t="s">
        <v>34</v>
      </c>
      <c r="C15" s="125">
        <f>Dashboard!D24</f>
        <v>0.42829999999999996</v>
      </c>
      <c r="D15" s="10"/>
      <c r="E15" s="11" t="s">
        <v>387</v>
      </c>
      <c r="F15" s="12" t="s">
        <v>15</v>
      </c>
      <c r="G15" s="13">
        <v>13</v>
      </c>
      <c r="H15" s="42"/>
      <c r="I15" s="31">
        <f t="shared" si="8"/>
        <v>99845.584406097027</v>
      </c>
      <c r="J15" s="34"/>
      <c r="K15" s="33">
        <f t="shared" si="1"/>
        <v>99845.584406097027</v>
      </c>
      <c r="L15" s="31">
        <f t="shared" si="9"/>
        <v>21.596183691895998</v>
      </c>
      <c r="M15" s="36"/>
      <c r="N15" s="32">
        <f t="shared" si="2"/>
        <v>5.3990459229739995</v>
      </c>
      <c r="O15" s="32">
        <f>L15*(1-$C$10)*Dashboard!G15</f>
        <v>0</v>
      </c>
      <c r="P15" s="33">
        <f t="shared" si="11"/>
        <v>16.197137768921998</v>
      </c>
      <c r="Q15" s="31">
        <f t="shared" si="12"/>
        <v>54.917492141377785</v>
      </c>
      <c r="R15" s="32">
        <f t="shared" si="13"/>
        <v>7.1987278972986664</v>
      </c>
      <c r="S15" s="32">
        <f t="shared" si="3"/>
        <v>3.9226780100984131</v>
      </c>
      <c r="T15" s="32">
        <f>Q15*(1-$C$11)*Dashboard!G15</f>
        <v>0</v>
      </c>
      <c r="U15" s="32">
        <f t="shared" si="4"/>
        <v>2.9636663974031641</v>
      </c>
      <c r="V15" s="33">
        <f t="shared" si="5"/>
        <v>55.22987563117487</v>
      </c>
      <c r="W15" s="31">
        <f t="shared" si="14"/>
        <v>76.51367583327378</v>
      </c>
      <c r="X15" s="32">
        <f t="shared" si="15"/>
        <v>9.5983038630648885</v>
      </c>
      <c r="Y15" s="33">
        <f t="shared" si="6"/>
        <v>86.111979696338665</v>
      </c>
      <c r="Z15" s="43">
        <f t="shared" si="7"/>
        <v>71.427013400096868</v>
      </c>
    </row>
    <row r="16" spans="2:26" s="2" customFormat="1" ht="16.2" x14ac:dyDescent="0.35">
      <c r="B16" s="9"/>
      <c r="C16" s="119"/>
      <c r="D16" s="10"/>
      <c r="E16" s="11" t="s">
        <v>388</v>
      </c>
      <c r="F16" s="12" t="s">
        <v>16</v>
      </c>
      <c r="G16" s="13">
        <v>14</v>
      </c>
      <c r="H16" s="42"/>
      <c r="I16" s="31">
        <f t="shared" si="8"/>
        <v>99845.584406097027</v>
      </c>
      <c r="J16" s="34"/>
      <c r="K16" s="33">
        <f t="shared" si="1"/>
        <v>99845.584406097027</v>
      </c>
      <c r="L16" s="31">
        <f t="shared" si="9"/>
        <v>16.197137768921998</v>
      </c>
      <c r="M16" s="36"/>
      <c r="N16" s="32">
        <f t="shared" si="2"/>
        <v>4.0492844422304994</v>
      </c>
      <c r="O16" s="32">
        <f>L16*(1-$C$10)*Dashboard!G16</f>
        <v>0</v>
      </c>
      <c r="P16" s="33">
        <f t="shared" si="11"/>
        <v>12.147853326691498</v>
      </c>
      <c r="Q16" s="31">
        <f t="shared" si="12"/>
        <v>55.22987563117487</v>
      </c>
      <c r="R16" s="32">
        <f t="shared" si="13"/>
        <v>5.3990459229739995</v>
      </c>
      <c r="S16" s="32">
        <f t="shared" si="3"/>
        <v>3.9449911165124907</v>
      </c>
      <c r="T16" s="32">
        <f>Q16*(1-$C$11)*Dashboard!G16</f>
        <v>0</v>
      </c>
      <c r="U16" s="32">
        <f t="shared" si="4"/>
        <v>2.9805244223368557</v>
      </c>
      <c r="V16" s="33">
        <f t="shared" si="5"/>
        <v>53.703406015299521</v>
      </c>
      <c r="W16" s="31">
        <f t="shared" si="14"/>
        <v>71.427013400096868</v>
      </c>
      <c r="X16" s="32">
        <f t="shared" si="15"/>
        <v>7.1987278972986664</v>
      </c>
      <c r="Y16" s="33">
        <f t="shared" si="6"/>
        <v>78.625741297395535</v>
      </c>
      <c r="Z16" s="43">
        <f t="shared" si="7"/>
        <v>65.851259341991025</v>
      </c>
    </row>
    <row r="17" spans="2:26" s="2" customFormat="1" ht="16.2" x14ac:dyDescent="0.35">
      <c r="B17" s="30" t="s">
        <v>41</v>
      </c>
      <c r="C17" s="123" t="s">
        <v>0</v>
      </c>
      <c r="D17" s="10"/>
      <c r="E17" s="11" t="s">
        <v>389</v>
      </c>
      <c r="F17" s="12" t="s">
        <v>17</v>
      </c>
      <c r="G17" s="13">
        <v>15</v>
      </c>
      <c r="H17" s="42"/>
      <c r="I17" s="31">
        <f t="shared" si="8"/>
        <v>99845.584406097027</v>
      </c>
      <c r="J17" s="34"/>
      <c r="K17" s="33">
        <f t="shared" si="1"/>
        <v>99845.584406097027</v>
      </c>
      <c r="L17" s="31">
        <f t="shared" si="9"/>
        <v>12.147853326691498</v>
      </c>
      <c r="M17" s="36"/>
      <c r="N17" s="32">
        <f t="shared" si="2"/>
        <v>3.0369633316728746</v>
      </c>
      <c r="O17" s="32">
        <f>L17*(1-$C$10)*Dashboard!G17</f>
        <v>0</v>
      </c>
      <c r="P17" s="33">
        <f t="shared" si="11"/>
        <v>9.1108899950186242</v>
      </c>
      <c r="Q17" s="31">
        <f t="shared" si="12"/>
        <v>53.703406015299521</v>
      </c>
      <c r="R17" s="32">
        <f t="shared" si="13"/>
        <v>4.0492844422304994</v>
      </c>
      <c r="S17" s="32">
        <f t="shared" si="3"/>
        <v>3.8359575725213944</v>
      </c>
      <c r="T17" s="32">
        <f>Q17*(1-$C$11)*Dashboard!G17</f>
        <v>0</v>
      </c>
      <c r="U17" s="32">
        <f t="shared" si="4"/>
        <v>2.8981472683404501</v>
      </c>
      <c r="V17" s="33">
        <f t="shared" si="5"/>
        <v>51.018585616668176</v>
      </c>
      <c r="W17" s="31">
        <f t="shared" si="14"/>
        <v>65.851259341991025</v>
      </c>
      <c r="X17" s="32">
        <f t="shared" si="15"/>
        <v>5.3990459229739995</v>
      </c>
      <c r="Y17" s="33">
        <f t="shared" si="6"/>
        <v>71.250305264965021</v>
      </c>
      <c r="Z17" s="43">
        <f t="shared" si="7"/>
        <v>60.1294756116868</v>
      </c>
    </row>
    <row r="18" spans="2:26" s="2" customFormat="1" ht="18" x14ac:dyDescent="0.35">
      <c r="B18" s="45" t="s">
        <v>35</v>
      </c>
      <c r="C18" s="119">
        <f>Dashboard!D30</f>
        <v>0.3</v>
      </c>
      <c r="D18" s="10"/>
      <c r="E18" s="11" t="s">
        <v>390</v>
      </c>
      <c r="F18" s="12" t="s">
        <v>18</v>
      </c>
      <c r="G18" s="13">
        <v>16</v>
      </c>
      <c r="H18" s="42"/>
      <c r="I18" s="31">
        <f t="shared" si="8"/>
        <v>99845.584406097027</v>
      </c>
      <c r="J18" s="34"/>
      <c r="K18" s="33">
        <f t="shared" si="1"/>
        <v>99845.584406097027</v>
      </c>
      <c r="L18" s="31">
        <f t="shared" si="9"/>
        <v>9.1108899950186242</v>
      </c>
      <c r="M18" s="36"/>
      <c r="N18" s="32">
        <f t="shared" si="2"/>
        <v>2.277722498754656</v>
      </c>
      <c r="O18" s="32">
        <f>L18*(1-$C$10)*Dashboard!G18</f>
        <v>0</v>
      </c>
      <c r="P18" s="33">
        <f t="shared" si="11"/>
        <v>6.8331674962639681</v>
      </c>
      <c r="Q18" s="31">
        <f t="shared" si="12"/>
        <v>51.018585616668176</v>
      </c>
      <c r="R18" s="32">
        <f t="shared" si="13"/>
        <v>3.0369633316728746</v>
      </c>
      <c r="S18" s="32">
        <f t="shared" si="3"/>
        <v>3.6441846869048695</v>
      </c>
      <c r="T18" s="32">
        <f>Q18*(1-$C$11)*Dashboard!G18</f>
        <v>0</v>
      </c>
      <c r="U18" s="32">
        <f t="shared" si="4"/>
        <v>2.7532587876719905</v>
      </c>
      <c r="V18" s="33">
        <f t="shared" si="5"/>
        <v>47.658105473764188</v>
      </c>
      <c r="W18" s="31">
        <f t="shared" si="14"/>
        <v>60.1294756116868</v>
      </c>
      <c r="X18" s="32">
        <f t="shared" si="15"/>
        <v>4.0492844422304994</v>
      </c>
      <c r="Y18" s="33">
        <f t="shared" si="6"/>
        <v>64.178760053917301</v>
      </c>
      <c r="Z18" s="43">
        <f t="shared" si="7"/>
        <v>54.491272970028156</v>
      </c>
    </row>
    <row r="19" spans="2:26" s="2" customFormat="1" ht="18" x14ac:dyDescent="0.35">
      <c r="B19" s="45" t="s">
        <v>36</v>
      </c>
      <c r="C19" s="119">
        <f>(((C15)*(1-C18))+(1-C15))</f>
        <v>0.87151000000000001</v>
      </c>
      <c r="D19" s="10"/>
      <c r="E19" s="11" t="s">
        <v>391</v>
      </c>
      <c r="F19" s="12" t="s">
        <v>19</v>
      </c>
      <c r="G19" s="13">
        <v>17</v>
      </c>
      <c r="H19" s="42"/>
      <c r="I19" s="31">
        <f t="shared" si="8"/>
        <v>99845.584406097027</v>
      </c>
      <c r="J19" s="34"/>
      <c r="K19" s="33">
        <f t="shared" si="1"/>
        <v>99845.584406097027</v>
      </c>
      <c r="L19" s="31">
        <f t="shared" si="9"/>
        <v>6.8331674962639681</v>
      </c>
      <c r="M19" s="36"/>
      <c r="N19" s="32">
        <f t="shared" si="2"/>
        <v>1.708291874065992</v>
      </c>
      <c r="O19" s="32">
        <f>L19*(1-$C$10)*Dashboard!G19</f>
        <v>0</v>
      </c>
      <c r="P19" s="33">
        <f t="shared" si="11"/>
        <v>5.1248756221979761</v>
      </c>
      <c r="Q19" s="31">
        <f t="shared" si="12"/>
        <v>47.658105473764188</v>
      </c>
      <c r="R19" s="32">
        <f t="shared" si="13"/>
        <v>2.277722498754656</v>
      </c>
      <c r="S19" s="32">
        <f t="shared" si="3"/>
        <v>3.4041503909831561</v>
      </c>
      <c r="T19" s="32">
        <f>Q19*(1-$C$11)*Dashboard!G19</f>
        <v>0</v>
      </c>
      <c r="U19" s="32">
        <f t="shared" si="4"/>
        <v>2.5719077883760626</v>
      </c>
      <c r="V19" s="33">
        <f t="shared" si="5"/>
        <v>43.959769793159623</v>
      </c>
      <c r="W19" s="31">
        <f t="shared" si="14"/>
        <v>54.491272970028156</v>
      </c>
      <c r="X19" s="32">
        <f t="shared" si="15"/>
        <v>3.0369633316728746</v>
      </c>
      <c r="Y19" s="33">
        <f t="shared" si="6"/>
        <v>57.528236301701028</v>
      </c>
      <c r="Z19" s="43">
        <f t="shared" si="7"/>
        <v>49.084645415357599</v>
      </c>
    </row>
    <row r="20" spans="2:26" s="2" customFormat="1" ht="18" x14ac:dyDescent="0.35">
      <c r="B20" s="45" t="s">
        <v>37</v>
      </c>
      <c r="C20" s="119">
        <f>Dashboard!D31</f>
        <v>0.7</v>
      </c>
      <c r="D20" s="10"/>
      <c r="E20" s="11" t="s">
        <v>392</v>
      </c>
      <c r="F20" s="12" t="s">
        <v>20</v>
      </c>
      <c r="G20" s="13">
        <v>18</v>
      </c>
      <c r="H20" s="42"/>
      <c r="I20" s="31">
        <f t="shared" si="8"/>
        <v>99845.584406097027</v>
      </c>
      <c r="J20" s="34"/>
      <c r="K20" s="33">
        <f t="shared" si="1"/>
        <v>99845.584406097027</v>
      </c>
      <c r="L20" s="31">
        <f t="shared" si="9"/>
        <v>5.1248756221979761</v>
      </c>
      <c r="M20" s="36"/>
      <c r="N20" s="32">
        <f t="shared" si="2"/>
        <v>1.281218905549494</v>
      </c>
      <c r="O20" s="32">
        <f>L20*(1-$C$10)*Dashboard!G20</f>
        <v>0</v>
      </c>
      <c r="P20" s="33">
        <f t="shared" si="11"/>
        <v>3.8436567166484821</v>
      </c>
      <c r="Q20" s="31">
        <f t="shared" si="12"/>
        <v>43.959769793159623</v>
      </c>
      <c r="R20" s="32">
        <f t="shared" si="13"/>
        <v>1.708291874065992</v>
      </c>
      <c r="S20" s="32">
        <f t="shared" si="3"/>
        <v>3.1399835566542587</v>
      </c>
      <c r="T20" s="32">
        <f>Q20*(1-$C$11)*Dashboard!G20</f>
        <v>0</v>
      </c>
      <c r="U20" s="32">
        <f t="shared" si="4"/>
        <v>2.3723241447036929</v>
      </c>
      <c r="V20" s="33">
        <f t="shared" si="5"/>
        <v>40.155753965867667</v>
      </c>
      <c r="W20" s="31">
        <f t="shared" si="14"/>
        <v>49.084645415357599</v>
      </c>
      <c r="X20" s="32">
        <f t="shared" si="15"/>
        <v>2.277722498754656</v>
      </c>
      <c r="Y20" s="33">
        <f t="shared" si="6"/>
        <v>51.362367914112255</v>
      </c>
      <c r="Z20" s="43">
        <f t="shared" si="7"/>
        <v>43.99941068251615</v>
      </c>
    </row>
    <row r="21" spans="2:26" s="2" customFormat="1" ht="18" x14ac:dyDescent="0.35">
      <c r="B21" s="45" t="s">
        <v>38</v>
      </c>
      <c r="C21" s="120">
        <f>(((C15)*(1-C20))+(1-C15))</f>
        <v>0.70019000000000009</v>
      </c>
      <c r="D21" s="10"/>
      <c r="E21" s="11" t="s">
        <v>393</v>
      </c>
      <c r="F21" s="12" t="s">
        <v>21</v>
      </c>
      <c r="G21" s="13">
        <v>19</v>
      </c>
      <c r="H21" s="42"/>
      <c r="I21" s="31">
        <f t="shared" si="8"/>
        <v>99845.584406097027</v>
      </c>
      <c r="J21" s="34"/>
      <c r="K21" s="33">
        <f t="shared" si="1"/>
        <v>99845.584406097027</v>
      </c>
      <c r="L21" s="31">
        <f t="shared" si="9"/>
        <v>3.8436567166484821</v>
      </c>
      <c r="M21" s="36"/>
      <c r="N21" s="32">
        <f t="shared" si="2"/>
        <v>0.96091417916212052</v>
      </c>
      <c r="O21" s="32">
        <f>L21*(1-$C$10)*Dashboard!G21</f>
        <v>0</v>
      </c>
      <c r="P21" s="33">
        <f t="shared" si="11"/>
        <v>2.8827425374863616</v>
      </c>
      <c r="Q21" s="31">
        <f t="shared" si="12"/>
        <v>40.155753965867667</v>
      </c>
      <c r="R21" s="32">
        <f t="shared" si="13"/>
        <v>1.281218905549494</v>
      </c>
      <c r="S21" s="32">
        <f t="shared" si="3"/>
        <v>2.868268140419119</v>
      </c>
      <c r="T21" s="32">
        <f>Q21*(1-$C$11)*Dashboard!G21</f>
        <v>0</v>
      </c>
      <c r="U21" s="32">
        <f t="shared" si="4"/>
        <v>2.1670373873712205</v>
      </c>
      <c r="V21" s="33">
        <f t="shared" si="5"/>
        <v>36.401667343626819</v>
      </c>
      <c r="W21" s="31">
        <f t="shared" si="14"/>
        <v>43.99941068251615</v>
      </c>
      <c r="X21" s="32">
        <f t="shared" si="15"/>
        <v>1.708291874065992</v>
      </c>
      <c r="Y21" s="33">
        <f t="shared" si="6"/>
        <v>45.707702556582142</v>
      </c>
      <c r="Z21" s="43">
        <f t="shared" si="7"/>
        <v>39.284409881113177</v>
      </c>
    </row>
    <row r="22" spans="2:26" s="2" customFormat="1" ht="16.2" x14ac:dyDescent="0.35">
      <c r="B22" s="9"/>
      <c r="C22" s="18"/>
      <c r="D22" s="10"/>
      <c r="E22" s="11" t="s">
        <v>394</v>
      </c>
      <c r="F22" s="12" t="s">
        <v>22</v>
      </c>
      <c r="G22" s="13">
        <v>20</v>
      </c>
      <c r="H22" s="42"/>
      <c r="I22" s="31">
        <f t="shared" si="8"/>
        <v>99845.584406097027</v>
      </c>
      <c r="J22" s="34"/>
      <c r="K22" s="33">
        <f t="shared" si="1"/>
        <v>99845.584406097027</v>
      </c>
      <c r="L22" s="31">
        <f t="shared" si="9"/>
        <v>2.8827425374863616</v>
      </c>
      <c r="M22" s="36"/>
      <c r="N22" s="32">
        <f t="shared" si="2"/>
        <v>0.72068563437159039</v>
      </c>
      <c r="O22" s="32">
        <f>L22*(1-$C$10)*Dashboard!G22</f>
        <v>0</v>
      </c>
      <c r="P22" s="33">
        <f t="shared" si="11"/>
        <v>2.1620569031147712</v>
      </c>
      <c r="Q22" s="31">
        <f t="shared" si="12"/>
        <v>36.401667343626819</v>
      </c>
      <c r="R22" s="32">
        <f t="shared" si="13"/>
        <v>0.96091417916212052</v>
      </c>
      <c r="S22" s="32">
        <f t="shared" si="3"/>
        <v>2.6001190959733442</v>
      </c>
      <c r="T22" s="32">
        <f>Q22*(1-$C$11)*Dashboard!G22</f>
        <v>0</v>
      </c>
      <c r="U22" s="32">
        <f t="shared" si="4"/>
        <v>1.9644450995326954</v>
      </c>
      <c r="V22" s="33">
        <f t="shared" si="5"/>
        <v>32.798017327282906</v>
      </c>
      <c r="W22" s="31">
        <f t="shared" si="14"/>
        <v>39.284409881113177</v>
      </c>
      <c r="X22" s="32">
        <f t="shared" si="15"/>
        <v>1.281218905549494</v>
      </c>
      <c r="Y22" s="33">
        <f t="shared" si="6"/>
        <v>40.565628786662671</v>
      </c>
      <c r="Z22" s="43">
        <f t="shared" si="7"/>
        <v>34.96007423039768</v>
      </c>
    </row>
    <row r="23" spans="2:26" s="2" customFormat="1" ht="16.2" x14ac:dyDescent="0.35">
      <c r="B23" s="9"/>
      <c r="C23" s="18"/>
      <c r="D23" s="10"/>
      <c r="E23" s="11" t="s">
        <v>395</v>
      </c>
      <c r="F23" s="12" t="s">
        <v>13</v>
      </c>
      <c r="G23" s="13">
        <v>21</v>
      </c>
      <c r="H23" s="42"/>
      <c r="I23" s="31">
        <f t="shared" si="8"/>
        <v>99845.584406097027</v>
      </c>
      <c r="J23" s="34"/>
      <c r="K23" s="33">
        <f t="shared" si="1"/>
        <v>99845.584406097027</v>
      </c>
      <c r="L23" s="31">
        <f t="shared" si="9"/>
        <v>2.1620569031147712</v>
      </c>
      <c r="M23" s="36"/>
      <c r="N23" s="32">
        <f t="shared" si="2"/>
        <v>0.54051422577869279</v>
      </c>
      <c r="O23" s="32">
        <f>L23*(1-$C$10)*Dashboard!G23</f>
        <v>0</v>
      </c>
      <c r="P23" s="33">
        <f t="shared" si="11"/>
        <v>1.6215426773360784</v>
      </c>
      <c r="Q23" s="31">
        <f t="shared" si="12"/>
        <v>32.798017327282906</v>
      </c>
      <c r="R23" s="32">
        <f t="shared" si="13"/>
        <v>0.72068563437159039</v>
      </c>
      <c r="S23" s="32">
        <f t="shared" si="3"/>
        <v>2.3427155233773505</v>
      </c>
      <c r="T23" s="32">
        <f>Q23*(1-$C$11)*Dashboard!G23</f>
        <v>0</v>
      </c>
      <c r="U23" s="32">
        <f t="shared" si="4"/>
        <v>1.7699712434806831</v>
      </c>
      <c r="V23" s="33">
        <f t="shared" si="5"/>
        <v>29.406016194796464</v>
      </c>
      <c r="W23" s="31">
        <f t="shared" si="14"/>
        <v>34.96007423039768</v>
      </c>
      <c r="X23" s="32">
        <f t="shared" si="15"/>
        <v>0.96091417916212052</v>
      </c>
      <c r="Y23" s="33">
        <f t="shared" si="6"/>
        <v>35.920988409559797</v>
      </c>
      <c r="Z23" s="43">
        <f t="shared" si="7"/>
        <v>31.027558872132541</v>
      </c>
    </row>
    <row r="24" spans="2:26" s="2" customFormat="1" ht="16.8" thickBot="1" x14ac:dyDescent="0.4">
      <c r="B24" s="20"/>
      <c r="C24" s="21"/>
      <c r="D24" s="10"/>
      <c r="E24" s="22" t="s">
        <v>396</v>
      </c>
      <c r="F24" s="23" t="s">
        <v>23</v>
      </c>
      <c r="G24" s="24">
        <v>22</v>
      </c>
      <c r="H24" s="42"/>
      <c r="I24" s="37">
        <f t="shared" si="8"/>
        <v>99845.584406097027</v>
      </c>
      <c r="J24" s="38"/>
      <c r="K24" s="39">
        <f t="shared" si="1"/>
        <v>99845.584406097027</v>
      </c>
      <c r="L24" s="37">
        <f t="shared" si="9"/>
        <v>1.6215426773360784</v>
      </c>
      <c r="M24" s="38"/>
      <c r="N24" s="40">
        <f t="shared" si="2"/>
        <v>0.40538566933401959</v>
      </c>
      <c r="O24" s="40">
        <f>L24*(1-$C$10)*Dashboard!G24</f>
        <v>0.25944682837377259</v>
      </c>
      <c r="P24" s="39">
        <f t="shared" si="11"/>
        <v>0.95671017962828619</v>
      </c>
      <c r="Q24" s="31">
        <f t="shared" si="12"/>
        <v>29.406016194796464</v>
      </c>
      <c r="R24" s="40">
        <f t="shared" si="13"/>
        <v>0.54051422577869279</v>
      </c>
      <c r="S24" s="40">
        <f t="shared" si="3"/>
        <v>2.1004297281997473</v>
      </c>
      <c r="T24" s="40">
        <f>Q24*(1-$C$11)*Dashboard!G24</f>
        <v>20.878271498305487</v>
      </c>
      <c r="U24" s="40">
        <f t="shared" si="4"/>
        <v>1.5869191887651466</v>
      </c>
      <c r="V24" s="39">
        <f t="shared" si="5"/>
        <v>5.380910005304778</v>
      </c>
      <c r="W24" s="37">
        <f t="shared" si="14"/>
        <v>31.027558872132541</v>
      </c>
      <c r="X24" s="40">
        <f t="shared" si="15"/>
        <v>0.72068563437159039</v>
      </c>
      <c r="Y24" s="33">
        <f t="shared" si="6"/>
        <v>31.748244506504133</v>
      </c>
      <c r="Z24" s="44">
        <f t="shared" si="7"/>
        <v>6.3376201849330638</v>
      </c>
    </row>
    <row r="25" spans="2:26" s="2" customFormat="1" ht="4.95" customHeight="1" thickBot="1" x14ac:dyDescent="0.4">
      <c r="B25" s="25"/>
      <c r="C25" s="26"/>
      <c r="D25" s="10"/>
      <c r="E25" s="14"/>
      <c r="F25" s="14"/>
      <c r="G25" s="14"/>
      <c r="H25" s="14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2:26" s="2" customFormat="1" ht="16.2" customHeight="1" thickBot="1" x14ac:dyDescent="0.4">
      <c r="B26" s="190">
        <v>1</v>
      </c>
      <c r="C26" s="192"/>
      <c r="D26" s="8"/>
      <c r="E26" s="190">
        <v>2</v>
      </c>
      <c r="F26" s="191"/>
      <c r="G26" s="192"/>
      <c r="H26" s="8"/>
      <c r="I26" s="190">
        <v>3</v>
      </c>
      <c r="J26" s="191"/>
      <c r="K26" s="192"/>
      <c r="L26" s="190">
        <v>4</v>
      </c>
      <c r="M26" s="191"/>
      <c r="N26" s="191"/>
      <c r="O26" s="191"/>
      <c r="P26" s="192"/>
      <c r="Q26" s="190">
        <v>5</v>
      </c>
      <c r="R26" s="191"/>
      <c r="S26" s="191"/>
      <c r="T26" s="191"/>
      <c r="U26" s="191"/>
      <c r="V26" s="192"/>
      <c r="W26" s="190">
        <v>6</v>
      </c>
      <c r="X26" s="191"/>
      <c r="Y26" s="192"/>
      <c r="Z26" s="28">
        <v>7</v>
      </c>
    </row>
    <row r="27" spans="2:26" s="2" customFormat="1" ht="34.950000000000003" customHeight="1" x14ac:dyDescent="0.3">
      <c r="B27" s="4"/>
      <c r="C27" s="3"/>
      <c r="E27" s="3"/>
      <c r="F27" s="3"/>
      <c r="G27" s="3"/>
      <c r="H27" s="3"/>
      <c r="I27" s="3"/>
      <c r="J27" s="3"/>
    </row>
    <row r="28" spans="2:26" s="2" customFormat="1" x14ac:dyDescent="0.3">
      <c r="B28" s="4"/>
      <c r="C28" s="3"/>
      <c r="E28" s="3"/>
      <c r="F28" s="3"/>
      <c r="G28" s="3"/>
      <c r="H28" s="3"/>
      <c r="I28" s="3"/>
      <c r="J28" s="3"/>
    </row>
  </sheetData>
  <mergeCells count="6">
    <mergeCell ref="W26:Y26"/>
    <mergeCell ref="B26:C26"/>
    <mergeCell ref="E26:G26"/>
    <mergeCell ref="I26:K26"/>
    <mergeCell ref="L26:P26"/>
    <mergeCell ref="Q26:V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BFD8-9C4F-47CF-97DA-65E8109DA0FD}">
  <dimension ref="A1:AA28"/>
  <sheetViews>
    <sheetView workbookViewId="0">
      <selection activeCell="F10" sqref="F10"/>
    </sheetView>
  </sheetViews>
  <sheetFormatPr defaultRowHeight="15.6" x14ac:dyDescent="0.3"/>
  <cols>
    <col min="1" max="1" width="1.88671875" style="2" customWidth="1"/>
    <col min="2" max="2" width="4.88671875" style="5" customWidth="1"/>
    <col min="3" max="3" width="11.33203125" style="1" customWidth="1"/>
    <col min="4" max="4" width="2.6640625" style="2" customWidth="1"/>
    <col min="5" max="5" width="6" style="1" bestFit="1" customWidth="1"/>
    <col min="6" max="6" width="10.88671875" style="1" bestFit="1" customWidth="1"/>
    <col min="7" max="7" width="3" style="1" bestFit="1" customWidth="1"/>
    <col min="8" max="8" width="1.44140625" style="3" customWidth="1"/>
    <col min="9" max="9" width="8.88671875" style="1" bestFit="1" customWidth="1"/>
    <col min="10" max="10" width="7.6640625" style="1" bestFit="1" customWidth="1"/>
    <col min="11" max="12" width="9.33203125" bestFit="1" customWidth="1"/>
    <col min="13" max="13" width="10.44140625" bestFit="1" customWidth="1"/>
    <col min="14" max="14" width="9.33203125" bestFit="1" customWidth="1"/>
    <col min="15" max="15" width="9.6640625" bestFit="1" customWidth="1"/>
    <col min="16" max="16" width="7.5546875" customWidth="1"/>
    <col min="17" max="17" width="6.6640625" bestFit="1" customWidth="1"/>
    <col min="18" max="18" width="9.33203125" bestFit="1" customWidth="1"/>
    <col min="19" max="19" width="8.33203125" bestFit="1" customWidth="1"/>
    <col min="20" max="20" width="8.88671875" bestFit="1" customWidth="1"/>
    <col min="21" max="21" width="10.5546875" bestFit="1" customWidth="1"/>
    <col min="22" max="22" width="5.44140625" bestFit="1" customWidth="1"/>
    <col min="23" max="23" width="7.6640625" bestFit="1" customWidth="1"/>
    <col min="24" max="24" width="8.33203125" bestFit="1" customWidth="1"/>
    <col min="25" max="25" width="6.44140625" bestFit="1" customWidth="1"/>
    <col min="26" max="26" width="7.33203125" customWidth="1"/>
    <col min="27" max="27" width="10.109375" style="2" customWidth="1"/>
  </cols>
  <sheetData>
    <row r="1" spans="2:26" s="2" customFormat="1" ht="6.6" customHeight="1" thickBot="1" x14ac:dyDescent="0.35">
      <c r="B1" s="4"/>
      <c r="C1" s="3"/>
      <c r="E1" s="3"/>
      <c r="F1" s="3"/>
      <c r="G1" s="3"/>
      <c r="H1" s="3"/>
      <c r="I1" s="3"/>
      <c r="J1" s="3"/>
    </row>
    <row r="2" spans="2:26" s="2" customFormat="1" ht="20.399999999999999" customHeight="1" x14ac:dyDescent="0.5">
      <c r="B2" s="29" t="s">
        <v>39</v>
      </c>
      <c r="C2" s="6" t="s">
        <v>0</v>
      </c>
      <c r="D2" s="7"/>
      <c r="E2" s="46" t="s">
        <v>469</v>
      </c>
      <c r="F2" s="47" t="s">
        <v>470</v>
      </c>
      <c r="G2" s="48" t="s">
        <v>468</v>
      </c>
      <c r="H2" s="8"/>
      <c r="I2" s="46" t="s">
        <v>471</v>
      </c>
      <c r="J2" s="49" t="s">
        <v>472</v>
      </c>
      <c r="K2" s="48" t="s">
        <v>473</v>
      </c>
      <c r="L2" s="46" t="s">
        <v>474</v>
      </c>
      <c r="M2" s="47" t="s">
        <v>475</v>
      </c>
      <c r="N2" s="47" t="s">
        <v>479</v>
      </c>
      <c r="O2" s="47" t="s">
        <v>476</v>
      </c>
      <c r="P2" s="48" t="s">
        <v>477</v>
      </c>
      <c r="Q2" s="50" t="s">
        <v>478</v>
      </c>
      <c r="R2" s="47" t="s">
        <v>479</v>
      </c>
      <c r="S2" s="47" t="s">
        <v>484</v>
      </c>
      <c r="T2" s="47" t="s">
        <v>480</v>
      </c>
      <c r="U2" s="47" t="s">
        <v>481</v>
      </c>
      <c r="V2" s="48" t="s">
        <v>482</v>
      </c>
      <c r="W2" s="46" t="s">
        <v>483</v>
      </c>
      <c r="X2" s="47" t="s">
        <v>484</v>
      </c>
      <c r="Y2" s="48" t="s">
        <v>485</v>
      </c>
      <c r="Z2" s="51" t="s">
        <v>564</v>
      </c>
    </row>
    <row r="3" spans="2:26" s="2" customFormat="1" ht="18" x14ac:dyDescent="0.35">
      <c r="B3" s="45" t="s">
        <v>24</v>
      </c>
      <c r="C3" s="121">
        <f>Dashboard!D5</f>
        <v>100000</v>
      </c>
      <c r="D3" s="10"/>
      <c r="E3" s="11" t="s">
        <v>1</v>
      </c>
      <c r="F3" s="12" t="s">
        <v>2</v>
      </c>
      <c r="G3" s="13">
        <v>1</v>
      </c>
      <c r="H3" s="42"/>
      <c r="I3" s="31">
        <f>C3-L3-Q3-W3</f>
        <v>99988.603506000014</v>
      </c>
      <c r="J3" s="32">
        <f>I3*$C$14*$C$19</f>
        <v>11.395195199245082</v>
      </c>
      <c r="K3" s="33">
        <f>I3-J3</f>
        <v>99977.208310800765</v>
      </c>
      <c r="L3" s="31">
        <f>C3*$C$14*$C$19*0.5</f>
        <v>5.6982470000000003</v>
      </c>
      <c r="M3" s="32">
        <v>0</v>
      </c>
      <c r="N3" s="32">
        <f>L3*$C$6</f>
        <v>1.4245617500000001</v>
      </c>
      <c r="O3" s="34"/>
      <c r="P3" s="33">
        <f>L3+M3-N3-O3</f>
        <v>4.2736852499999998</v>
      </c>
      <c r="Q3" s="31">
        <f>C3*$C$14*$C$19*0.5</f>
        <v>5.6982470000000003</v>
      </c>
      <c r="R3" s="32">
        <v>0</v>
      </c>
      <c r="S3" s="32">
        <f>Q3*$C$8</f>
        <v>0.40701764285714287</v>
      </c>
      <c r="T3" s="34"/>
      <c r="U3" s="32">
        <f>Q3*$C$9*(1-$C$21)</f>
        <v>0.47250206018819996</v>
      </c>
      <c r="V3" s="33">
        <f>Q3+R3-S3-T3-U3</f>
        <v>4.8187272969546573</v>
      </c>
      <c r="W3" s="31">
        <v>0</v>
      </c>
      <c r="X3" s="32">
        <v>0</v>
      </c>
      <c r="Y3" s="33">
        <f>W3+X3</f>
        <v>0</v>
      </c>
      <c r="Z3" s="43">
        <f>P3+V3</f>
        <v>9.0924125469546571</v>
      </c>
    </row>
    <row r="4" spans="2:26" s="2" customFormat="1" ht="18" x14ac:dyDescent="0.35">
      <c r="B4" s="45" t="s">
        <v>25</v>
      </c>
      <c r="C4" s="121">
        <f>C14*2</f>
        <v>2.8400000000000002E-4</v>
      </c>
      <c r="D4" s="10"/>
      <c r="E4" s="11" t="s">
        <v>1</v>
      </c>
      <c r="F4" s="12" t="s">
        <v>2</v>
      </c>
      <c r="G4" s="13">
        <v>2</v>
      </c>
      <c r="H4" s="42"/>
      <c r="I4" s="31">
        <f>K3</f>
        <v>99977.208310800765</v>
      </c>
      <c r="J4" s="32">
        <f t="shared" ref="J4:J8" si="0">I4*$C$14*$C$19</f>
        <v>11.393896546507911</v>
      </c>
      <c r="K4" s="33">
        <f t="shared" ref="K4:K24" si="1">I4-J4</f>
        <v>99965.814414254259</v>
      </c>
      <c r="L4" s="31">
        <f>P3</f>
        <v>4.2736852499999998</v>
      </c>
      <c r="M4" s="32">
        <f>J3</f>
        <v>11.395195199245082</v>
      </c>
      <c r="N4" s="32">
        <f t="shared" ref="N4:N24" si="2">L4*$C$6</f>
        <v>1.0684213124999999</v>
      </c>
      <c r="O4" s="34"/>
      <c r="P4" s="33">
        <f>L4+M4-N4-O4</f>
        <v>14.600459136745082</v>
      </c>
      <c r="Q4" s="31">
        <f>V3</f>
        <v>4.8187272969546573</v>
      </c>
      <c r="R4" s="32">
        <f>N3</f>
        <v>1.4245617500000001</v>
      </c>
      <c r="S4" s="32">
        <f t="shared" ref="S4:S24" si="3">Q4*$C$8</f>
        <v>0.34419480692533266</v>
      </c>
      <c r="T4" s="34"/>
      <c r="U4" s="32">
        <f t="shared" ref="U4:U24" si="4">Q4*$C$9*(1-$C$21)</f>
        <v>0.39957175869985834</v>
      </c>
      <c r="V4" s="33">
        <f t="shared" ref="V4:V24" si="5">Q4+R4-S4-T4-U4</f>
        <v>5.4995224813294667</v>
      </c>
      <c r="W4" s="31">
        <f>Z3</f>
        <v>9.0924125469546571</v>
      </c>
      <c r="X4" s="32">
        <f>R3</f>
        <v>0</v>
      </c>
      <c r="Y4" s="33">
        <f t="shared" ref="Y4:Y24" si="6">W4+X4</f>
        <v>9.0924125469546571</v>
      </c>
      <c r="Z4" s="43">
        <f t="shared" ref="Z4:Z24" si="7">P4+V4</f>
        <v>20.099981618074548</v>
      </c>
    </row>
    <row r="5" spans="2:26" s="2" customFormat="1" ht="18" x14ac:dyDescent="0.35">
      <c r="B5" s="45" t="s">
        <v>28</v>
      </c>
      <c r="C5" s="121">
        <f>Dashboard!D6</f>
        <v>4</v>
      </c>
      <c r="D5" s="10"/>
      <c r="E5" s="11" t="s">
        <v>3</v>
      </c>
      <c r="F5" s="12" t="s">
        <v>4</v>
      </c>
      <c r="G5" s="13">
        <v>3</v>
      </c>
      <c r="H5" s="42"/>
      <c r="I5" s="31">
        <f t="shared" ref="I5:I24" si="8">K4</f>
        <v>99965.814414254259</v>
      </c>
      <c r="J5" s="32">
        <f t="shared" si="0"/>
        <v>11.392598041771622</v>
      </c>
      <c r="K5" s="33">
        <f t="shared" si="1"/>
        <v>99954.421816212489</v>
      </c>
      <c r="L5" s="31">
        <f t="shared" ref="L5:L24" si="9">P4</f>
        <v>14.600459136745082</v>
      </c>
      <c r="M5" s="32">
        <f t="shared" ref="M5:M10" si="10">J4</f>
        <v>11.393896546507911</v>
      </c>
      <c r="N5" s="32">
        <f t="shared" si="2"/>
        <v>3.6501147841862704</v>
      </c>
      <c r="O5" s="32">
        <f>L5*(1-$C$10)*Dashboard!G5</f>
        <v>0</v>
      </c>
      <c r="P5" s="33">
        <f t="shared" ref="P5:P24" si="11">L5+M5-N5-O5</f>
        <v>22.344240899066719</v>
      </c>
      <c r="Q5" s="31">
        <f t="shared" ref="Q5:Q24" si="12">V4</f>
        <v>5.4995224813294667</v>
      </c>
      <c r="R5" s="32">
        <f t="shared" ref="R5:R24" si="13">N4</f>
        <v>1.0684213124999999</v>
      </c>
      <c r="S5" s="32">
        <f t="shared" si="3"/>
        <v>0.39282303438067617</v>
      </c>
      <c r="T5" s="32">
        <f>Q5*(1-$C$11)*Dashboard!G5</f>
        <v>0</v>
      </c>
      <c r="U5" s="32">
        <f t="shared" si="4"/>
        <v>0.45602370386532814</v>
      </c>
      <c r="V5" s="33">
        <f t="shared" si="5"/>
        <v>5.7190970555834628</v>
      </c>
      <c r="W5" s="31">
        <f t="shared" ref="W5:W24" si="14">Z4</f>
        <v>20.099981618074548</v>
      </c>
      <c r="X5" s="32">
        <f t="shared" ref="X5:X24" si="15">R4</f>
        <v>1.4245617500000001</v>
      </c>
      <c r="Y5" s="33">
        <f>W5+X5</f>
        <v>21.524543368074546</v>
      </c>
      <c r="Z5" s="43">
        <f t="shared" si="7"/>
        <v>28.06333795465018</v>
      </c>
    </row>
    <row r="6" spans="2:26" s="2" customFormat="1" ht="18" x14ac:dyDescent="0.35">
      <c r="B6" s="45" t="s">
        <v>26</v>
      </c>
      <c r="C6" s="122">
        <f>1/C5</f>
        <v>0.25</v>
      </c>
      <c r="D6" s="10"/>
      <c r="E6" s="11" t="s">
        <v>5</v>
      </c>
      <c r="F6" s="12" t="s">
        <v>6</v>
      </c>
      <c r="G6" s="13">
        <v>4</v>
      </c>
      <c r="H6" s="42"/>
      <c r="I6" s="31">
        <f t="shared" si="8"/>
        <v>99954.421816212489</v>
      </c>
      <c r="J6" s="32">
        <f t="shared" si="0"/>
        <v>11.391299685019348</v>
      </c>
      <c r="K6" s="33">
        <f t="shared" si="1"/>
        <v>99943.030516527477</v>
      </c>
      <c r="L6" s="31">
        <f t="shared" si="9"/>
        <v>22.344240899066719</v>
      </c>
      <c r="M6" s="32">
        <f t="shared" si="10"/>
        <v>11.392598041771622</v>
      </c>
      <c r="N6" s="32">
        <f t="shared" si="2"/>
        <v>5.5860602247666797</v>
      </c>
      <c r="O6" s="32">
        <f>L6*(1-$C$10)*Dashboard!G6</f>
        <v>0</v>
      </c>
      <c r="P6" s="33">
        <f t="shared" si="11"/>
        <v>28.15077871607166</v>
      </c>
      <c r="Q6" s="31">
        <f t="shared" si="12"/>
        <v>5.7190970555834628</v>
      </c>
      <c r="R6" s="32">
        <f t="shared" si="13"/>
        <v>3.6501147841862704</v>
      </c>
      <c r="S6" s="32">
        <f t="shared" si="3"/>
        <v>0.40850693254167592</v>
      </c>
      <c r="T6" s="32">
        <f>Q6*(1-$C$11)*Dashboard!G6</f>
        <v>0</v>
      </c>
      <c r="U6" s="32">
        <f t="shared" si="4"/>
        <v>0.47423095930721409</v>
      </c>
      <c r="V6" s="33">
        <f t="shared" si="5"/>
        <v>8.4864739479208424</v>
      </c>
      <c r="W6" s="31">
        <f t="shared" si="14"/>
        <v>28.06333795465018</v>
      </c>
      <c r="X6" s="32">
        <f t="shared" si="15"/>
        <v>1.0684213124999999</v>
      </c>
      <c r="Y6" s="33">
        <f t="shared" si="6"/>
        <v>29.13175926715018</v>
      </c>
      <c r="Z6" s="43">
        <f t="shared" si="7"/>
        <v>36.637252663992498</v>
      </c>
    </row>
    <row r="7" spans="2:26" s="2" customFormat="1" ht="18" x14ac:dyDescent="0.35">
      <c r="B7" s="45" t="s">
        <v>29</v>
      </c>
      <c r="C7" s="121">
        <f>Dashboard!D8</f>
        <v>14</v>
      </c>
      <c r="D7" s="10"/>
      <c r="E7" s="11" t="s">
        <v>5</v>
      </c>
      <c r="F7" s="12" t="s">
        <v>7</v>
      </c>
      <c r="G7" s="13">
        <v>5</v>
      </c>
      <c r="H7" s="42"/>
      <c r="I7" s="31">
        <f t="shared" si="8"/>
        <v>99943.030516527477</v>
      </c>
      <c r="J7" s="32">
        <f t="shared" si="0"/>
        <v>11.390001476234223</v>
      </c>
      <c r="K7" s="33">
        <f t="shared" si="1"/>
        <v>99931.640515051244</v>
      </c>
      <c r="L7" s="31">
        <f t="shared" si="9"/>
        <v>28.15077871607166</v>
      </c>
      <c r="M7" s="32">
        <f t="shared" si="10"/>
        <v>11.391299685019348</v>
      </c>
      <c r="N7" s="32">
        <f t="shared" si="2"/>
        <v>7.0376946790179149</v>
      </c>
      <c r="O7" s="32">
        <f>L7*(1-$C$10)*Dashboard!G7</f>
        <v>0</v>
      </c>
      <c r="P7" s="33">
        <f t="shared" si="11"/>
        <v>32.504383722073086</v>
      </c>
      <c r="Q7" s="31">
        <f t="shared" si="12"/>
        <v>8.4864739479208424</v>
      </c>
      <c r="R7" s="32">
        <f t="shared" si="13"/>
        <v>5.5860602247666797</v>
      </c>
      <c r="S7" s="32">
        <f t="shared" si="3"/>
        <v>0.60617671056577438</v>
      </c>
      <c r="T7" s="32">
        <f>Q7*(1-$C$11)*Dashboard!G7</f>
        <v>0</v>
      </c>
      <c r="U7" s="32">
        <f>Q7*$C$9*(1-$C$21)</f>
        <v>0.70370351164596501</v>
      </c>
      <c r="V7" s="33">
        <f t="shared" si="5"/>
        <v>12.762653950475782</v>
      </c>
      <c r="W7" s="31">
        <f t="shared" si="14"/>
        <v>36.637252663992498</v>
      </c>
      <c r="X7" s="32">
        <f t="shared" si="15"/>
        <v>3.6501147841862704</v>
      </c>
      <c r="Y7" s="33">
        <f t="shared" si="6"/>
        <v>40.28736744817877</v>
      </c>
      <c r="Z7" s="43">
        <f t="shared" si="7"/>
        <v>45.267037672548867</v>
      </c>
    </row>
    <row r="8" spans="2:26" s="2" customFormat="1" ht="18" x14ac:dyDescent="0.35">
      <c r="B8" s="45" t="s">
        <v>27</v>
      </c>
      <c r="C8" s="122">
        <f>1/C7</f>
        <v>7.1428571428571425E-2</v>
      </c>
      <c r="D8" s="10"/>
      <c r="E8" s="11" t="s">
        <v>467</v>
      </c>
      <c r="F8" s="12" t="s">
        <v>8</v>
      </c>
      <c r="G8" s="13">
        <v>6</v>
      </c>
      <c r="H8" s="42"/>
      <c r="I8" s="31">
        <f t="shared" si="8"/>
        <v>99931.640515051244</v>
      </c>
      <c r="J8" s="32">
        <f t="shared" si="0"/>
        <v>11.388703415399384</v>
      </c>
      <c r="K8" s="33">
        <f t="shared" si="1"/>
        <v>99920.251811635841</v>
      </c>
      <c r="L8" s="31">
        <f t="shared" si="9"/>
        <v>32.504383722073086</v>
      </c>
      <c r="M8" s="32">
        <f t="shared" si="10"/>
        <v>11.390001476234223</v>
      </c>
      <c r="N8" s="32">
        <f t="shared" si="2"/>
        <v>8.1260959305182716</v>
      </c>
      <c r="O8" s="32">
        <f>L8*(1-$C$10)*Dashboard!G8</f>
        <v>0</v>
      </c>
      <c r="P8" s="33">
        <f>L8+M8-N8-O8</f>
        <v>35.768289267789044</v>
      </c>
      <c r="Q8" s="31">
        <f t="shared" si="12"/>
        <v>12.762653950475782</v>
      </c>
      <c r="R8" s="32">
        <f t="shared" si="13"/>
        <v>7.0376946790179149</v>
      </c>
      <c r="S8" s="32">
        <f t="shared" si="3"/>
        <v>0.91161813931969871</v>
      </c>
      <c r="T8" s="32">
        <f>Q8*(1-$C$11)*Dashboard!G8</f>
        <v>0</v>
      </c>
      <c r="U8" s="32">
        <f t="shared" si="4"/>
        <v>1.0582869231658223</v>
      </c>
      <c r="V8" s="33">
        <f>Q8+R8-S8-T8-U8</f>
        <v>17.830443567008174</v>
      </c>
      <c r="W8" s="31">
        <f t="shared" si="14"/>
        <v>45.267037672548867</v>
      </c>
      <c r="X8" s="32">
        <f t="shared" si="15"/>
        <v>5.5860602247666797</v>
      </c>
      <c r="Y8" s="33">
        <f t="shared" si="6"/>
        <v>50.85309789731555</v>
      </c>
      <c r="Z8" s="43">
        <f t="shared" si="7"/>
        <v>53.598732834797218</v>
      </c>
    </row>
    <row r="9" spans="2:26" s="2" customFormat="1" ht="18" x14ac:dyDescent="0.35">
      <c r="B9" s="45" t="s">
        <v>30</v>
      </c>
      <c r="C9" s="122">
        <f>Dashboard!D11</f>
        <v>0.18</v>
      </c>
      <c r="D9" s="10"/>
      <c r="E9" s="11" t="s">
        <v>9</v>
      </c>
      <c r="F9" s="12" t="s">
        <v>10</v>
      </c>
      <c r="G9" s="13">
        <v>7</v>
      </c>
      <c r="H9" s="42"/>
      <c r="I9" s="31">
        <f t="shared" si="8"/>
        <v>99920.251811635841</v>
      </c>
      <c r="J9" s="32">
        <f>I9*$C$4*$C$19</f>
        <v>22.774811004995943</v>
      </c>
      <c r="K9" s="33">
        <f t="shared" si="1"/>
        <v>99897.477000630839</v>
      </c>
      <c r="L9" s="31">
        <f t="shared" si="9"/>
        <v>35.768289267789044</v>
      </c>
      <c r="M9" s="35">
        <f t="shared" si="10"/>
        <v>11.388703415399384</v>
      </c>
      <c r="N9" s="32">
        <f t="shared" si="2"/>
        <v>8.9420723169472609</v>
      </c>
      <c r="O9" s="34"/>
      <c r="P9" s="33">
        <f t="shared" si="11"/>
        <v>38.214920366241167</v>
      </c>
      <c r="Q9" s="31">
        <f t="shared" si="12"/>
        <v>17.830443567008174</v>
      </c>
      <c r="R9" s="32">
        <f t="shared" si="13"/>
        <v>8.1260959305182716</v>
      </c>
      <c r="S9" s="32">
        <f t="shared" si="3"/>
        <v>1.2736031119291553</v>
      </c>
      <c r="T9" s="34"/>
      <c r="U9" s="32">
        <f t="shared" si="4"/>
        <v>1.478511078842458</v>
      </c>
      <c r="V9" s="33">
        <f t="shared" si="5"/>
        <v>23.204425306754832</v>
      </c>
      <c r="W9" s="31">
        <f t="shared" si="14"/>
        <v>53.598732834797218</v>
      </c>
      <c r="X9" s="32">
        <f t="shared" si="15"/>
        <v>7.0376946790179149</v>
      </c>
      <c r="Y9" s="33">
        <f t="shared" si="6"/>
        <v>60.636427513815136</v>
      </c>
      <c r="Z9" s="43">
        <f t="shared" si="7"/>
        <v>61.419345672996002</v>
      </c>
    </row>
    <row r="10" spans="2:26" s="2" customFormat="1" ht="18" x14ac:dyDescent="0.35">
      <c r="B10" s="45" t="s">
        <v>31</v>
      </c>
      <c r="C10" s="122">
        <f>Dashboard!D14</f>
        <v>0.84</v>
      </c>
      <c r="D10" s="10"/>
      <c r="E10" s="15" t="s">
        <v>382</v>
      </c>
      <c r="F10" s="16" t="s">
        <v>583</v>
      </c>
      <c r="G10" s="17">
        <v>8</v>
      </c>
      <c r="H10" s="42"/>
      <c r="I10" s="31">
        <f t="shared" si="8"/>
        <v>99897.477000630839</v>
      </c>
      <c r="J10" s="34"/>
      <c r="K10" s="33">
        <f t="shared" si="1"/>
        <v>99897.477000630839</v>
      </c>
      <c r="L10" s="31">
        <f t="shared" si="9"/>
        <v>38.214920366241167</v>
      </c>
      <c r="M10" s="35">
        <f t="shared" si="10"/>
        <v>22.774811004995943</v>
      </c>
      <c r="N10" s="32">
        <f t="shared" si="2"/>
        <v>9.5537300915602916</v>
      </c>
      <c r="O10" s="32">
        <f>L10*(1-$C$10)*Dashboard!G9</f>
        <v>6.1143872585985877</v>
      </c>
      <c r="P10" s="33">
        <f>L10+M10-N10-O10</f>
        <v>45.321614021078233</v>
      </c>
      <c r="Q10" s="31">
        <f t="shared" si="12"/>
        <v>23.204425306754832</v>
      </c>
      <c r="R10" s="32">
        <f t="shared" si="13"/>
        <v>8.9420723169472609</v>
      </c>
      <c r="S10" s="32">
        <f t="shared" si="3"/>
        <v>1.6574589504824879</v>
      </c>
      <c r="T10" s="32">
        <f>Q10*(1-$C$11)*Dashboard!G9</f>
        <v>16.475141967795931</v>
      </c>
      <c r="U10" s="32">
        <f t="shared" si="4"/>
        <v>1.9241248690912947</v>
      </c>
      <c r="V10" s="33">
        <f t="shared" si="5"/>
        <v>12.089771836332375</v>
      </c>
      <c r="W10" s="31">
        <f t="shared" si="14"/>
        <v>61.419345672996002</v>
      </c>
      <c r="X10" s="32">
        <f t="shared" si="15"/>
        <v>8.1260959305182716</v>
      </c>
      <c r="Y10" s="33">
        <f t="shared" si="6"/>
        <v>69.545441603514277</v>
      </c>
      <c r="Z10" s="43">
        <f t="shared" si="7"/>
        <v>57.411385857410608</v>
      </c>
    </row>
    <row r="11" spans="2:26" s="2" customFormat="1" ht="18" x14ac:dyDescent="0.35">
      <c r="B11" s="45" t="s">
        <v>32</v>
      </c>
      <c r="C11" s="122">
        <f>Dashboard!D15</f>
        <v>0.28999999999999998</v>
      </c>
      <c r="D11" s="10"/>
      <c r="E11" s="11" t="s">
        <v>383</v>
      </c>
      <c r="F11" s="12" t="s">
        <v>11</v>
      </c>
      <c r="G11" s="13">
        <v>9</v>
      </c>
      <c r="H11" s="42"/>
      <c r="I11" s="31">
        <f t="shared" si="8"/>
        <v>99897.477000630839</v>
      </c>
      <c r="J11" s="34"/>
      <c r="K11" s="33">
        <f t="shared" si="1"/>
        <v>99897.477000630839</v>
      </c>
      <c r="L11" s="31">
        <f>P10</f>
        <v>45.321614021078233</v>
      </c>
      <c r="M11" s="36"/>
      <c r="N11" s="32">
        <f t="shared" si="2"/>
        <v>11.330403505269558</v>
      </c>
      <c r="O11" s="32">
        <f>L11*(1-$C$10)*Dashboard!G11</f>
        <v>0</v>
      </c>
      <c r="P11" s="33">
        <f t="shared" si="11"/>
        <v>33.991210515808675</v>
      </c>
      <c r="Q11" s="31">
        <f t="shared" si="12"/>
        <v>12.089771836332375</v>
      </c>
      <c r="R11" s="32">
        <f t="shared" si="13"/>
        <v>9.5537300915602916</v>
      </c>
      <c r="S11" s="32">
        <f t="shared" si="3"/>
        <v>0.8635551311665981</v>
      </c>
      <c r="T11" s="32">
        <f>Q11*(1-$C$11)*Dashboard!G11</f>
        <v>0</v>
      </c>
      <c r="U11" s="32">
        <f t="shared" si="4"/>
        <v>1.0024911345317824</v>
      </c>
      <c r="V11" s="33">
        <f>Q11+R11-S11-T11-U11</f>
        <v>19.777455662194281</v>
      </c>
      <c r="W11" s="31">
        <f t="shared" si="14"/>
        <v>57.411385857410608</v>
      </c>
      <c r="X11" s="32">
        <f t="shared" si="15"/>
        <v>8.9420723169472609</v>
      </c>
      <c r="Y11" s="33">
        <f t="shared" si="6"/>
        <v>66.353458174357868</v>
      </c>
      <c r="Z11" s="43">
        <f t="shared" si="7"/>
        <v>53.76866617800296</v>
      </c>
    </row>
    <row r="12" spans="2:26" s="2" customFormat="1" ht="16.2" x14ac:dyDescent="0.35">
      <c r="B12" s="9"/>
      <c r="C12" s="119"/>
      <c r="D12" s="10"/>
      <c r="E12" s="11" t="s">
        <v>384</v>
      </c>
      <c r="F12" s="12" t="s">
        <v>12</v>
      </c>
      <c r="G12" s="13">
        <v>10</v>
      </c>
      <c r="H12" s="42"/>
      <c r="I12" s="31">
        <f t="shared" si="8"/>
        <v>99897.477000630839</v>
      </c>
      <c r="J12" s="34"/>
      <c r="K12" s="33">
        <f t="shared" si="1"/>
        <v>99897.477000630839</v>
      </c>
      <c r="L12" s="31">
        <f t="shared" si="9"/>
        <v>33.991210515808675</v>
      </c>
      <c r="M12" s="36"/>
      <c r="N12" s="32">
        <f t="shared" si="2"/>
        <v>8.4978026289521686</v>
      </c>
      <c r="O12" s="32">
        <f>L12*(1-$C$10)*Dashboard!G12</f>
        <v>0</v>
      </c>
      <c r="P12" s="33">
        <f t="shared" si="11"/>
        <v>25.493407886856506</v>
      </c>
      <c r="Q12" s="31">
        <f t="shared" si="12"/>
        <v>19.777455662194281</v>
      </c>
      <c r="R12" s="32">
        <f t="shared" si="13"/>
        <v>11.330403505269558</v>
      </c>
      <c r="S12" s="32">
        <f t="shared" si="3"/>
        <v>1.4126754044424485</v>
      </c>
      <c r="T12" s="32">
        <f>Q12*(1-$C$11)*Dashboard!G12</f>
        <v>0</v>
      </c>
      <c r="U12" s="32">
        <f t="shared" si="4"/>
        <v>1.639958489982547</v>
      </c>
      <c r="V12" s="33">
        <f t="shared" si="5"/>
        <v>28.055225273038843</v>
      </c>
      <c r="W12" s="31">
        <f t="shared" si="14"/>
        <v>53.76866617800296</v>
      </c>
      <c r="X12" s="32">
        <f t="shared" si="15"/>
        <v>9.5537300915602916</v>
      </c>
      <c r="Y12" s="33">
        <f t="shared" si="6"/>
        <v>63.322396269563249</v>
      </c>
      <c r="Z12" s="43">
        <f t="shared" si="7"/>
        <v>53.548633159895346</v>
      </c>
    </row>
    <row r="13" spans="2:26" s="2" customFormat="1" ht="16.2" x14ac:dyDescent="0.35">
      <c r="B13" s="30" t="s">
        <v>40</v>
      </c>
      <c r="C13" s="123" t="s">
        <v>0</v>
      </c>
      <c r="D13" s="10"/>
      <c r="E13" s="11" t="s">
        <v>385</v>
      </c>
      <c r="F13" s="12" t="s">
        <v>13</v>
      </c>
      <c r="G13" s="13">
        <v>11</v>
      </c>
      <c r="H13" s="42"/>
      <c r="I13" s="31">
        <f t="shared" si="8"/>
        <v>99897.477000630839</v>
      </c>
      <c r="J13" s="34"/>
      <c r="K13" s="33">
        <f t="shared" si="1"/>
        <v>99897.477000630839</v>
      </c>
      <c r="L13" s="31">
        <f t="shared" si="9"/>
        <v>25.493407886856506</v>
      </c>
      <c r="M13" s="36"/>
      <c r="N13" s="32">
        <f t="shared" si="2"/>
        <v>6.3733519717141265</v>
      </c>
      <c r="O13" s="32">
        <f>L13*(1-$C$10)*Dashboard!G13</f>
        <v>0</v>
      </c>
      <c r="P13" s="33">
        <f t="shared" si="11"/>
        <v>19.12005591514238</v>
      </c>
      <c r="Q13" s="31">
        <f t="shared" si="12"/>
        <v>28.055225273038843</v>
      </c>
      <c r="R13" s="32">
        <f t="shared" si="13"/>
        <v>8.4978026289521686</v>
      </c>
      <c r="S13" s="32">
        <f t="shared" si="3"/>
        <v>2.0039446623599173</v>
      </c>
      <c r="T13" s="32">
        <f>Q13*(1-$C$11)*Dashboard!G13</f>
        <v>0</v>
      </c>
      <c r="U13" s="32">
        <f t="shared" si="4"/>
        <v>2.3263561127755445</v>
      </c>
      <c r="V13" s="33">
        <f t="shared" si="5"/>
        <v>32.222727126855553</v>
      </c>
      <c r="W13" s="31">
        <f t="shared" si="14"/>
        <v>53.548633159895346</v>
      </c>
      <c r="X13" s="32">
        <f t="shared" si="15"/>
        <v>11.330403505269558</v>
      </c>
      <c r="Y13" s="33">
        <f t="shared" si="6"/>
        <v>64.879036665164904</v>
      </c>
      <c r="Z13" s="43">
        <f t="shared" si="7"/>
        <v>51.342783041997933</v>
      </c>
    </row>
    <row r="14" spans="2:26" s="2" customFormat="1" ht="18" x14ac:dyDescent="0.35">
      <c r="B14" s="45" t="s">
        <v>33</v>
      </c>
      <c r="C14" s="119">
        <f>Dashboard!D20</f>
        <v>1.4200000000000001E-4</v>
      </c>
      <c r="D14" s="10"/>
      <c r="E14" s="11" t="s">
        <v>386</v>
      </c>
      <c r="F14" s="12" t="s">
        <v>14</v>
      </c>
      <c r="G14" s="13">
        <v>12</v>
      </c>
      <c r="H14" s="42"/>
      <c r="I14" s="31">
        <f t="shared" si="8"/>
        <v>99897.477000630839</v>
      </c>
      <c r="J14" s="34"/>
      <c r="K14" s="33">
        <f t="shared" si="1"/>
        <v>99897.477000630839</v>
      </c>
      <c r="L14" s="31">
        <f t="shared" si="9"/>
        <v>19.12005591514238</v>
      </c>
      <c r="M14" s="36"/>
      <c r="N14" s="32">
        <f t="shared" si="2"/>
        <v>4.7800139787855951</v>
      </c>
      <c r="O14" s="32">
        <f>L14*(1-$C$10)*Dashboard!G14</f>
        <v>0</v>
      </c>
      <c r="P14" s="33">
        <f t="shared" si="11"/>
        <v>14.340041936356785</v>
      </c>
      <c r="Q14" s="31">
        <f t="shared" si="12"/>
        <v>32.222727126855553</v>
      </c>
      <c r="R14" s="32">
        <f t="shared" si="13"/>
        <v>6.3733519717141265</v>
      </c>
      <c r="S14" s="32">
        <f t="shared" si="3"/>
        <v>2.3016233662039678</v>
      </c>
      <c r="T14" s="32">
        <f>Q14*(1-$C$11)*Dashboard!G14</f>
        <v>0</v>
      </c>
      <c r="U14" s="32">
        <f t="shared" si="4"/>
        <v>2.671927866995139</v>
      </c>
      <c r="V14" s="33">
        <f t="shared" si="5"/>
        <v>33.622527865370571</v>
      </c>
      <c r="W14" s="31">
        <f t="shared" si="14"/>
        <v>51.342783041997933</v>
      </c>
      <c r="X14" s="32">
        <f t="shared" si="15"/>
        <v>8.4978026289521686</v>
      </c>
      <c r="Y14" s="33">
        <f t="shared" si="6"/>
        <v>59.840585670950105</v>
      </c>
      <c r="Z14" s="43">
        <f t="shared" si="7"/>
        <v>47.962569801727355</v>
      </c>
    </row>
    <row r="15" spans="2:26" s="2" customFormat="1" ht="18" x14ac:dyDescent="0.35">
      <c r="B15" s="45" t="s">
        <v>34</v>
      </c>
      <c r="C15" s="119">
        <f>Dashboard!D25</f>
        <v>0.65810000000000002</v>
      </c>
      <c r="D15" s="10"/>
      <c r="E15" s="11" t="s">
        <v>387</v>
      </c>
      <c r="F15" s="12" t="s">
        <v>15</v>
      </c>
      <c r="G15" s="13">
        <v>13</v>
      </c>
      <c r="H15" s="42"/>
      <c r="I15" s="31">
        <f t="shared" si="8"/>
        <v>99897.477000630839</v>
      </c>
      <c r="J15" s="34"/>
      <c r="K15" s="33">
        <f t="shared" si="1"/>
        <v>99897.477000630839</v>
      </c>
      <c r="L15" s="31">
        <f t="shared" si="9"/>
        <v>14.340041936356785</v>
      </c>
      <c r="M15" s="36"/>
      <c r="N15" s="32">
        <f t="shared" si="2"/>
        <v>3.5850104840891963</v>
      </c>
      <c r="O15" s="32">
        <f>L15*(1-$C$10)*Dashboard!G15</f>
        <v>0</v>
      </c>
      <c r="P15" s="33">
        <f t="shared" si="11"/>
        <v>10.755031452267589</v>
      </c>
      <c r="Q15" s="31">
        <f t="shared" si="12"/>
        <v>33.622527865370571</v>
      </c>
      <c r="R15" s="32">
        <f t="shared" si="13"/>
        <v>4.7800139787855951</v>
      </c>
      <c r="S15" s="32">
        <f t="shared" si="3"/>
        <v>2.401609133240755</v>
      </c>
      <c r="T15" s="32">
        <f>Q15*(1-$C$11)*Dashboard!G15</f>
        <v>0</v>
      </c>
      <c r="U15" s="32">
        <f t="shared" si="4"/>
        <v>2.7880001841132471</v>
      </c>
      <c r="V15" s="33">
        <f t="shared" si="5"/>
        <v>33.21293252680217</v>
      </c>
      <c r="W15" s="31">
        <f t="shared" si="14"/>
        <v>47.962569801727355</v>
      </c>
      <c r="X15" s="32">
        <f t="shared" si="15"/>
        <v>6.3733519717141265</v>
      </c>
      <c r="Y15" s="33">
        <f t="shared" si="6"/>
        <v>54.335921773441484</v>
      </c>
      <c r="Z15" s="43">
        <f t="shared" si="7"/>
        <v>43.967963979069758</v>
      </c>
    </row>
    <row r="16" spans="2:26" s="2" customFormat="1" ht="16.2" x14ac:dyDescent="0.35">
      <c r="B16" s="9"/>
      <c r="C16" s="119"/>
      <c r="D16" s="10"/>
      <c r="E16" s="11" t="s">
        <v>388</v>
      </c>
      <c r="F16" s="12" t="s">
        <v>16</v>
      </c>
      <c r="G16" s="13">
        <v>14</v>
      </c>
      <c r="H16" s="42"/>
      <c r="I16" s="31">
        <f t="shared" si="8"/>
        <v>99897.477000630839</v>
      </c>
      <c r="J16" s="34"/>
      <c r="K16" s="33">
        <f t="shared" si="1"/>
        <v>99897.477000630839</v>
      </c>
      <c r="L16" s="31">
        <f t="shared" si="9"/>
        <v>10.755031452267589</v>
      </c>
      <c r="M16" s="36"/>
      <c r="N16" s="32">
        <f t="shared" si="2"/>
        <v>2.6887578630668973</v>
      </c>
      <c r="O16" s="32">
        <f>L16*(1-$C$10)*Dashboard!G16</f>
        <v>0</v>
      </c>
      <c r="P16" s="33">
        <f t="shared" si="11"/>
        <v>8.0662735892006925</v>
      </c>
      <c r="Q16" s="31">
        <f t="shared" si="12"/>
        <v>33.21293252680217</v>
      </c>
      <c r="R16" s="32">
        <f t="shared" si="13"/>
        <v>3.5850104840891963</v>
      </c>
      <c r="S16" s="32">
        <f t="shared" si="3"/>
        <v>2.3723523233430122</v>
      </c>
      <c r="T16" s="32">
        <f>Q16*(1-$C$11)*Dashboard!G16</f>
        <v>0</v>
      </c>
      <c r="U16" s="32">
        <f t="shared" si="4"/>
        <v>2.7540362928819517</v>
      </c>
      <c r="V16" s="33">
        <f t="shared" si="5"/>
        <v>31.671554394666398</v>
      </c>
      <c r="W16" s="31">
        <f t="shared" si="14"/>
        <v>43.967963979069758</v>
      </c>
      <c r="X16" s="32">
        <f t="shared" si="15"/>
        <v>4.7800139787855951</v>
      </c>
      <c r="Y16" s="33">
        <f t="shared" si="6"/>
        <v>48.747977957855355</v>
      </c>
      <c r="Z16" s="43">
        <f t="shared" si="7"/>
        <v>39.737827983867092</v>
      </c>
    </row>
    <row r="17" spans="2:26" s="2" customFormat="1" ht="16.2" x14ac:dyDescent="0.35">
      <c r="B17" s="30" t="s">
        <v>41</v>
      </c>
      <c r="C17" s="123" t="s">
        <v>0</v>
      </c>
      <c r="D17" s="10"/>
      <c r="E17" s="11" t="s">
        <v>389</v>
      </c>
      <c r="F17" s="12" t="s">
        <v>17</v>
      </c>
      <c r="G17" s="13">
        <v>15</v>
      </c>
      <c r="H17" s="42"/>
      <c r="I17" s="31">
        <f t="shared" si="8"/>
        <v>99897.477000630839</v>
      </c>
      <c r="J17" s="34"/>
      <c r="K17" s="33">
        <f t="shared" si="1"/>
        <v>99897.477000630839</v>
      </c>
      <c r="L17" s="31">
        <f t="shared" si="9"/>
        <v>8.0662735892006925</v>
      </c>
      <c r="M17" s="36"/>
      <c r="N17" s="32">
        <f t="shared" si="2"/>
        <v>2.0165683973001731</v>
      </c>
      <c r="O17" s="32">
        <f>L17*(1-$C$10)*Dashboard!G17</f>
        <v>0</v>
      </c>
      <c r="P17" s="33">
        <f t="shared" si="11"/>
        <v>6.0497051919005198</v>
      </c>
      <c r="Q17" s="31">
        <f t="shared" si="12"/>
        <v>31.671554394666398</v>
      </c>
      <c r="R17" s="32">
        <f t="shared" si="13"/>
        <v>2.6887578630668973</v>
      </c>
      <c r="S17" s="32">
        <f t="shared" si="3"/>
        <v>2.2622538853333141</v>
      </c>
      <c r="T17" s="32">
        <f>Q17*(1-$C$11)*Dashboard!G17</f>
        <v>0</v>
      </c>
      <c r="U17" s="32">
        <f t="shared" si="4"/>
        <v>2.6262242933383746</v>
      </c>
      <c r="V17" s="33">
        <f t="shared" si="5"/>
        <v>29.471834079061608</v>
      </c>
      <c r="W17" s="31">
        <f t="shared" si="14"/>
        <v>39.737827983867092</v>
      </c>
      <c r="X17" s="32">
        <f t="shared" si="15"/>
        <v>3.5850104840891963</v>
      </c>
      <c r="Y17" s="33">
        <f t="shared" si="6"/>
        <v>43.322838467956288</v>
      </c>
      <c r="Z17" s="43">
        <f t="shared" si="7"/>
        <v>35.52153927096213</v>
      </c>
    </row>
    <row r="18" spans="2:26" s="2" customFormat="1" ht="18" x14ac:dyDescent="0.35">
      <c r="B18" s="45" t="s">
        <v>35</v>
      </c>
      <c r="C18" s="119">
        <f>Dashboard!D30</f>
        <v>0.3</v>
      </c>
      <c r="D18" s="10"/>
      <c r="E18" s="11" t="s">
        <v>390</v>
      </c>
      <c r="F18" s="12" t="s">
        <v>18</v>
      </c>
      <c r="G18" s="13">
        <v>16</v>
      </c>
      <c r="H18" s="42"/>
      <c r="I18" s="31">
        <f t="shared" si="8"/>
        <v>99897.477000630839</v>
      </c>
      <c r="J18" s="34"/>
      <c r="K18" s="33">
        <f t="shared" si="1"/>
        <v>99897.477000630839</v>
      </c>
      <c r="L18" s="31">
        <f t="shared" si="9"/>
        <v>6.0497051919005198</v>
      </c>
      <c r="M18" s="36"/>
      <c r="N18" s="32">
        <f t="shared" si="2"/>
        <v>1.51242629797513</v>
      </c>
      <c r="O18" s="32">
        <f>L18*(1-$C$10)*Dashboard!G18</f>
        <v>0</v>
      </c>
      <c r="P18" s="33">
        <f t="shared" si="11"/>
        <v>4.5372788939253894</v>
      </c>
      <c r="Q18" s="31">
        <f t="shared" si="12"/>
        <v>29.471834079061608</v>
      </c>
      <c r="R18" s="32">
        <f t="shared" si="13"/>
        <v>2.0165683973001731</v>
      </c>
      <c r="S18" s="32">
        <f t="shared" si="3"/>
        <v>2.1051310056472574</v>
      </c>
      <c r="T18" s="32">
        <f>Q18*(1-$C$11)*Dashboard!G18</f>
        <v>0</v>
      </c>
      <c r="U18" s="32">
        <f t="shared" si="4"/>
        <v>2.4438221649362357</v>
      </c>
      <c r="V18" s="33">
        <f t="shared" si="5"/>
        <v>26.939449305778286</v>
      </c>
      <c r="W18" s="31">
        <f t="shared" si="14"/>
        <v>35.52153927096213</v>
      </c>
      <c r="X18" s="32">
        <f t="shared" si="15"/>
        <v>2.6887578630668973</v>
      </c>
      <c r="Y18" s="33">
        <f t="shared" si="6"/>
        <v>38.210297134029027</v>
      </c>
      <c r="Z18" s="43">
        <f t="shared" si="7"/>
        <v>31.476728199703675</v>
      </c>
    </row>
    <row r="19" spans="2:26" s="2" customFormat="1" ht="18" x14ac:dyDescent="0.35">
      <c r="B19" s="45" t="s">
        <v>36</v>
      </c>
      <c r="C19" s="119">
        <f>(((C15)*(1-C18))+(1-C15))</f>
        <v>0.80257000000000001</v>
      </c>
      <c r="D19" s="10"/>
      <c r="E19" s="11" t="s">
        <v>391</v>
      </c>
      <c r="F19" s="12" t="s">
        <v>19</v>
      </c>
      <c r="G19" s="13">
        <v>17</v>
      </c>
      <c r="H19" s="42"/>
      <c r="I19" s="31">
        <f t="shared" si="8"/>
        <v>99897.477000630839</v>
      </c>
      <c r="J19" s="34"/>
      <c r="K19" s="33">
        <f t="shared" si="1"/>
        <v>99897.477000630839</v>
      </c>
      <c r="L19" s="31">
        <f t="shared" si="9"/>
        <v>4.5372788939253894</v>
      </c>
      <c r="M19" s="36"/>
      <c r="N19" s="32">
        <f t="shared" si="2"/>
        <v>1.1343197234813474</v>
      </c>
      <c r="O19" s="32">
        <f>L19*(1-$C$10)*Dashboard!G19</f>
        <v>0</v>
      </c>
      <c r="P19" s="33">
        <f t="shared" si="11"/>
        <v>3.4029591704440421</v>
      </c>
      <c r="Q19" s="31">
        <f t="shared" si="12"/>
        <v>26.939449305778286</v>
      </c>
      <c r="R19" s="32">
        <f t="shared" si="13"/>
        <v>1.51242629797513</v>
      </c>
      <c r="S19" s="32">
        <f t="shared" si="3"/>
        <v>1.9242463789841633</v>
      </c>
      <c r="T19" s="32">
        <f>Q19*(1-$C$11)*Dashboard!G19</f>
        <v>0</v>
      </c>
      <c r="U19" s="32">
        <f t="shared" si="4"/>
        <v>2.2338353001047189</v>
      </c>
      <c r="V19" s="33">
        <f t="shared" si="5"/>
        <v>24.293793924664531</v>
      </c>
      <c r="W19" s="31">
        <f t="shared" si="14"/>
        <v>31.476728199703675</v>
      </c>
      <c r="X19" s="32">
        <f t="shared" si="15"/>
        <v>2.0165683973001731</v>
      </c>
      <c r="Y19" s="33">
        <f t="shared" si="6"/>
        <v>33.493296597003848</v>
      </c>
      <c r="Z19" s="43">
        <f t="shared" si="7"/>
        <v>27.696753095108573</v>
      </c>
    </row>
    <row r="20" spans="2:26" s="2" customFormat="1" ht="18" x14ac:dyDescent="0.35">
      <c r="B20" s="45" t="s">
        <v>37</v>
      </c>
      <c r="C20" s="119">
        <f>Dashboard!D31</f>
        <v>0.7</v>
      </c>
      <c r="D20" s="10"/>
      <c r="E20" s="11" t="s">
        <v>392</v>
      </c>
      <c r="F20" s="12" t="s">
        <v>20</v>
      </c>
      <c r="G20" s="13">
        <v>18</v>
      </c>
      <c r="H20" s="42"/>
      <c r="I20" s="31">
        <f t="shared" si="8"/>
        <v>99897.477000630839</v>
      </c>
      <c r="J20" s="34"/>
      <c r="K20" s="33">
        <f t="shared" si="1"/>
        <v>99897.477000630839</v>
      </c>
      <c r="L20" s="31">
        <f t="shared" si="9"/>
        <v>3.4029591704440421</v>
      </c>
      <c r="M20" s="36"/>
      <c r="N20" s="32">
        <f t="shared" si="2"/>
        <v>0.85073979261101051</v>
      </c>
      <c r="O20" s="32">
        <f>L20*(1-$C$10)*Dashboard!G20</f>
        <v>0</v>
      </c>
      <c r="P20" s="33">
        <f t="shared" si="11"/>
        <v>2.5522193778330315</v>
      </c>
      <c r="Q20" s="31">
        <f t="shared" si="12"/>
        <v>24.293793924664531</v>
      </c>
      <c r="R20" s="32">
        <f t="shared" si="13"/>
        <v>1.1343197234813474</v>
      </c>
      <c r="S20" s="32">
        <f t="shared" si="3"/>
        <v>1.7352709946188949</v>
      </c>
      <c r="T20" s="32">
        <f>Q20*(1-$C$11)*Dashboard!G20</f>
        <v>0</v>
      </c>
      <c r="U20" s="32">
        <f t="shared" si="4"/>
        <v>2.0144559685095378</v>
      </c>
      <c r="V20" s="33">
        <f t="shared" si="5"/>
        <v>21.678386685017447</v>
      </c>
      <c r="W20" s="31">
        <f t="shared" si="14"/>
        <v>27.696753095108573</v>
      </c>
      <c r="X20" s="32">
        <f t="shared" si="15"/>
        <v>1.51242629797513</v>
      </c>
      <c r="Y20" s="33">
        <f t="shared" si="6"/>
        <v>29.209179393083701</v>
      </c>
      <c r="Z20" s="43">
        <f t="shared" si="7"/>
        <v>24.230606062850477</v>
      </c>
    </row>
    <row r="21" spans="2:26" s="2" customFormat="1" ht="18" x14ac:dyDescent="0.35">
      <c r="B21" s="45" t="s">
        <v>38</v>
      </c>
      <c r="C21" s="120">
        <f>(((C15)*(1-C20))+(1-C15))</f>
        <v>0.53932999999999998</v>
      </c>
      <c r="D21" s="10"/>
      <c r="E21" s="11" t="s">
        <v>393</v>
      </c>
      <c r="F21" s="12" t="s">
        <v>21</v>
      </c>
      <c r="G21" s="13">
        <v>19</v>
      </c>
      <c r="H21" s="42"/>
      <c r="I21" s="31">
        <f t="shared" si="8"/>
        <v>99897.477000630839</v>
      </c>
      <c r="J21" s="34"/>
      <c r="K21" s="33">
        <f t="shared" si="1"/>
        <v>99897.477000630839</v>
      </c>
      <c r="L21" s="31">
        <f t="shared" si="9"/>
        <v>2.5522193778330315</v>
      </c>
      <c r="M21" s="36"/>
      <c r="N21" s="32">
        <f t="shared" si="2"/>
        <v>0.63805484445825789</v>
      </c>
      <c r="O21" s="32">
        <f>L21*(1-$C$10)*Dashboard!G21</f>
        <v>0</v>
      </c>
      <c r="P21" s="33">
        <f t="shared" si="11"/>
        <v>1.9141645333747737</v>
      </c>
      <c r="Q21" s="31">
        <f t="shared" si="12"/>
        <v>21.678386685017447</v>
      </c>
      <c r="R21" s="32">
        <f t="shared" si="13"/>
        <v>0.85073979261101051</v>
      </c>
      <c r="S21" s="32">
        <f t="shared" si="3"/>
        <v>1.5484561917869604</v>
      </c>
      <c r="T21" s="32">
        <f>Q21*(1-$C$11)*Dashboard!G21</f>
        <v>0</v>
      </c>
      <c r="U21" s="32">
        <f t="shared" si="4"/>
        <v>1.7975848309536577</v>
      </c>
      <c r="V21" s="33">
        <f t="shared" si="5"/>
        <v>19.183085454887841</v>
      </c>
      <c r="W21" s="31">
        <f t="shared" si="14"/>
        <v>24.230606062850477</v>
      </c>
      <c r="X21" s="32">
        <f t="shared" si="15"/>
        <v>1.1343197234813474</v>
      </c>
      <c r="Y21" s="33">
        <f t="shared" si="6"/>
        <v>25.364925786331824</v>
      </c>
      <c r="Z21" s="43">
        <f t="shared" si="7"/>
        <v>21.097249988262615</v>
      </c>
    </row>
    <row r="22" spans="2:26" s="2" customFormat="1" ht="16.2" x14ac:dyDescent="0.35">
      <c r="B22" s="9"/>
      <c r="C22" s="18"/>
      <c r="D22" s="10"/>
      <c r="E22" s="11" t="s">
        <v>394</v>
      </c>
      <c r="F22" s="12" t="s">
        <v>22</v>
      </c>
      <c r="G22" s="13">
        <v>20</v>
      </c>
      <c r="H22" s="42"/>
      <c r="I22" s="31">
        <f t="shared" si="8"/>
        <v>99897.477000630839</v>
      </c>
      <c r="J22" s="34"/>
      <c r="K22" s="33">
        <f t="shared" si="1"/>
        <v>99897.477000630839</v>
      </c>
      <c r="L22" s="31">
        <f t="shared" si="9"/>
        <v>1.9141645333747737</v>
      </c>
      <c r="M22" s="36"/>
      <c r="N22" s="32">
        <f t="shared" si="2"/>
        <v>0.47854113334369341</v>
      </c>
      <c r="O22" s="32">
        <f>L22*(1-$C$10)*Dashboard!G22</f>
        <v>0</v>
      </c>
      <c r="P22" s="33">
        <f t="shared" si="11"/>
        <v>1.4356234000310804</v>
      </c>
      <c r="Q22" s="31">
        <f t="shared" si="12"/>
        <v>19.183085454887841</v>
      </c>
      <c r="R22" s="32">
        <f t="shared" si="13"/>
        <v>0.63805484445825789</v>
      </c>
      <c r="S22" s="32">
        <f t="shared" si="3"/>
        <v>1.3702203896348457</v>
      </c>
      <c r="T22" s="32">
        <f>Q22*(1-$C$11)*Dashboard!G22</f>
        <v>0</v>
      </c>
      <c r="U22" s="32">
        <f t="shared" si="4"/>
        <v>1.5906729557705728</v>
      </c>
      <c r="V22" s="33">
        <f t="shared" si="5"/>
        <v>16.860246953940681</v>
      </c>
      <c r="W22" s="31">
        <f t="shared" si="14"/>
        <v>21.097249988262615</v>
      </c>
      <c r="X22" s="32">
        <f t="shared" si="15"/>
        <v>0.85073979261101051</v>
      </c>
      <c r="Y22" s="33">
        <f t="shared" si="6"/>
        <v>21.947989780873627</v>
      </c>
      <c r="Z22" s="43">
        <f t="shared" si="7"/>
        <v>18.295870353971761</v>
      </c>
    </row>
    <row r="23" spans="2:26" s="2" customFormat="1" ht="16.2" x14ac:dyDescent="0.35">
      <c r="B23" s="9"/>
      <c r="C23" s="18"/>
      <c r="D23" s="10"/>
      <c r="E23" s="11" t="s">
        <v>395</v>
      </c>
      <c r="F23" s="12" t="s">
        <v>13</v>
      </c>
      <c r="G23" s="13">
        <v>21</v>
      </c>
      <c r="H23" s="42"/>
      <c r="I23" s="31">
        <f t="shared" si="8"/>
        <v>99897.477000630839</v>
      </c>
      <c r="J23" s="34"/>
      <c r="K23" s="33">
        <f t="shared" si="1"/>
        <v>99897.477000630839</v>
      </c>
      <c r="L23" s="31">
        <f t="shared" si="9"/>
        <v>1.4356234000310804</v>
      </c>
      <c r="M23" s="36"/>
      <c r="N23" s="32">
        <f t="shared" si="2"/>
        <v>0.35890585000777009</v>
      </c>
      <c r="O23" s="32">
        <f>L23*(1-$C$10)*Dashboard!G23</f>
        <v>0</v>
      </c>
      <c r="P23" s="33">
        <f t="shared" si="11"/>
        <v>1.0767175500233104</v>
      </c>
      <c r="Q23" s="31">
        <f t="shared" si="12"/>
        <v>16.860246953940681</v>
      </c>
      <c r="R23" s="32">
        <f t="shared" si="13"/>
        <v>0.47854113334369341</v>
      </c>
      <c r="S23" s="32">
        <f t="shared" si="3"/>
        <v>1.2043033538529058</v>
      </c>
      <c r="T23" s="32">
        <f>Q23*(1-$C$11)*Dashboard!G23</f>
        <v>0</v>
      </c>
      <c r="U23" s="32">
        <f t="shared" si="4"/>
        <v>1.3980617935689337</v>
      </c>
      <c r="V23" s="33">
        <f t="shared" si="5"/>
        <v>14.736422939862534</v>
      </c>
      <c r="W23" s="31">
        <f t="shared" si="14"/>
        <v>18.295870353971761</v>
      </c>
      <c r="X23" s="32">
        <f t="shared" si="15"/>
        <v>0.63805484445825789</v>
      </c>
      <c r="Y23" s="33">
        <f t="shared" si="6"/>
        <v>18.933925198430018</v>
      </c>
      <c r="Z23" s="43">
        <f t="shared" si="7"/>
        <v>15.813140489885845</v>
      </c>
    </row>
    <row r="24" spans="2:26" s="2" customFormat="1" ht="16.8" thickBot="1" x14ac:dyDescent="0.4">
      <c r="B24" s="20"/>
      <c r="C24" s="21"/>
      <c r="D24" s="10"/>
      <c r="E24" s="22" t="s">
        <v>396</v>
      </c>
      <c r="F24" s="23" t="s">
        <v>23</v>
      </c>
      <c r="G24" s="24">
        <v>22</v>
      </c>
      <c r="H24" s="42"/>
      <c r="I24" s="37">
        <f t="shared" si="8"/>
        <v>99897.477000630839</v>
      </c>
      <c r="J24" s="38"/>
      <c r="K24" s="39">
        <f t="shared" si="1"/>
        <v>99897.477000630839</v>
      </c>
      <c r="L24" s="37">
        <f t="shared" si="9"/>
        <v>1.0767175500233104</v>
      </c>
      <c r="M24" s="38"/>
      <c r="N24" s="40">
        <f t="shared" si="2"/>
        <v>0.26917938750582759</v>
      </c>
      <c r="O24" s="40">
        <f>L24*(1-$C$10)*Dashboard!G24</f>
        <v>0.17227480800372968</v>
      </c>
      <c r="P24" s="39">
        <f t="shared" si="11"/>
        <v>0.63526335451375315</v>
      </c>
      <c r="Q24" s="31">
        <f t="shared" si="12"/>
        <v>14.736422939862534</v>
      </c>
      <c r="R24" s="40">
        <f t="shared" si="13"/>
        <v>0.35890585000777009</v>
      </c>
      <c r="S24" s="40">
        <f t="shared" si="3"/>
        <v>1.0526016385616095</v>
      </c>
      <c r="T24" s="40">
        <f>Q24*(1-$C$11)*Dashboard!G24</f>
        <v>10.462860287302398</v>
      </c>
      <c r="U24" s="40">
        <f t="shared" si="4"/>
        <v>1.2219530320271652</v>
      </c>
      <c r="V24" s="39">
        <f t="shared" si="5"/>
        <v>2.3579138319791317</v>
      </c>
      <c r="W24" s="37">
        <f t="shared" si="14"/>
        <v>15.813140489885845</v>
      </c>
      <c r="X24" s="40">
        <f t="shared" si="15"/>
        <v>0.47854113334369341</v>
      </c>
      <c r="Y24" s="33">
        <f t="shared" si="6"/>
        <v>16.29168162322954</v>
      </c>
      <c r="Z24" s="44">
        <f t="shared" si="7"/>
        <v>2.9931771864928849</v>
      </c>
    </row>
    <row r="25" spans="2:26" s="2" customFormat="1" ht="4.95" customHeight="1" thickBot="1" x14ac:dyDescent="0.4">
      <c r="B25" s="25"/>
      <c r="C25" s="26"/>
      <c r="D25" s="10"/>
      <c r="E25" s="14"/>
      <c r="F25" s="14"/>
      <c r="G25" s="14"/>
      <c r="H25" s="14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2:26" s="2" customFormat="1" ht="16.2" customHeight="1" thickBot="1" x14ac:dyDescent="0.4">
      <c r="B26" s="190">
        <v>1</v>
      </c>
      <c r="C26" s="192"/>
      <c r="D26" s="8"/>
      <c r="E26" s="190">
        <v>2</v>
      </c>
      <c r="F26" s="191"/>
      <c r="G26" s="192"/>
      <c r="H26" s="8"/>
      <c r="I26" s="190">
        <v>3</v>
      </c>
      <c r="J26" s="191"/>
      <c r="K26" s="192"/>
      <c r="L26" s="190">
        <v>4</v>
      </c>
      <c r="M26" s="191"/>
      <c r="N26" s="191"/>
      <c r="O26" s="191"/>
      <c r="P26" s="192"/>
      <c r="Q26" s="190">
        <v>5</v>
      </c>
      <c r="R26" s="191"/>
      <c r="S26" s="191"/>
      <c r="T26" s="191"/>
      <c r="U26" s="191"/>
      <c r="V26" s="192"/>
      <c r="W26" s="190">
        <v>6</v>
      </c>
      <c r="X26" s="191"/>
      <c r="Y26" s="192"/>
      <c r="Z26" s="28">
        <v>7</v>
      </c>
    </row>
    <row r="27" spans="2:26" s="2" customFormat="1" ht="34.950000000000003" customHeight="1" x14ac:dyDescent="0.3">
      <c r="B27" s="4"/>
      <c r="C27" s="3"/>
      <c r="E27" s="3"/>
      <c r="F27" s="3"/>
      <c r="G27" s="3"/>
      <c r="H27" s="3"/>
      <c r="I27" s="3"/>
      <c r="J27" s="3"/>
    </row>
    <row r="28" spans="2:26" s="2" customFormat="1" x14ac:dyDescent="0.3">
      <c r="B28" s="4"/>
      <c r="C28" s="3"/>
      <c r="E28" s="3"/>
      <c r="F28" s="3"/>
      <c r="G28" s="3"/>
      <c r="H28" s="3"/>
      <c r="I28" s="3"/>
      <c r="J28" s="3"/>
    </row>
  </sheetData>
  <mergeCells count="6">
    <mergeCell ref="W26:Y26"/>
    <mergeCell ref="B26:C26"/>
    <mergeCell ref="E26:G26"/>
    <mergeCell ref="I26:K26"/>
    <mergeCell ref="L26:P26"/>
    <mergeCell ref="Q26:V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6FD36-53F2-4BFC-A724-47C45E815FE5}">
  <dimension ref="A1:AA28"/>
  <sheetViews>
    <sheetView workbookViewId="0">
      <selection activeCell="F10" sqref="F10"/>
    </sheetView>
  </sheetViews>
  <sheetFormatPr defaultRowHeight="15.6" x14ac:dyDescent="0.3"/>
  <cols>
    <col min="1" max="1" width="1.88671875" style="2" customWidth="1"/>
    <col min="2" max="2" width="4.88671875" style="5" customWidth="1"/>
    <col min="3" max="3" width="11.33203125" style="1" customWidth="1"/>
    <col min="4" max="4" width="2.6640625" style="2" customWidth="1"/>
    <col min="5" max="5" width="6" style="1" bestFit="1" customWidth="1"/>
    <col min="6" max="6" width="10.88671875" style="1" bestFit="1" customWidth="1"/>
    <col min="7" max="7" width="3" style="1" bestFit="1" customWidth="1"/>
    <col min="8" max="8" width="1.44140625" style="3" customWidth="1"/>
    <col min="9" max="9" width="8.88671875" style="1" bestFit="1" customWidth="1"/>
    <col min="10" max="10" width="7.6640625" style="1" bestFit="1" customWidth="1"/>
    <col min="11" max="12" width="9.33203125" bestFit="1" customWidth="1"/>
    <col min="13" max="13" width="10.44140625" bestFit="1" customWidth="1"/>
    <col min="14" max="14" width="9.33203125" bestFit="1" customWidth="1"/>
    <col min="15" max="15" width="9.6640625" bestFit="1" customWidth="1"/>
    <col min="16" max="16" width="7.5546875" customWidth="1"/>
    <col min="17" max="17" width="6.6640625" bestFit="1" customWidth="1"/>
    <col min="18" max="18" width="9.33203125" bestFit="1" customWidth="1"/>
    <col min="19" max="19" width="8.33203125" bestFit="1" customWidth="1"/>
    <col min="20" max="20" width="8.88671875" bestFit="1" customWidth="1"/>
    <col min="21" max="21" width="10.5546875" bestFit="1" customWidth="1"/>
    <col min="22" max="22" width="6.33203125" customWidth="1"/>
    <col min="23" max="23" width="7.6640625" bestFit="1" customWidth="1"/>
    <col min="24" max="24" width="8.33203125" bestFit="1" customWidth="1"/>
    <col min="25" max="25" width="6.44140625" bestFit="1" customWidth="1"/>
    <col min="26" max="26" width="7.5546875" customWidth="1"/>
    <col min="27" max="27" width="10.109375" style="2" customWidth="1"/>
  </cols>
  <sheetData>
    <row r="1" spans="2:26" s="2" customFormat="1" ht="6.6" customHeight="1" thickBot="1" x14ac:dyDescent="0.35">
      <c r="B1" s="4"/>
      <c r="C1" s="3"/>
      <c r="E1" s="3"/>
      <c r="F1" s="3"/>
      <c r="G1" s="3"/>
      <c r="H1" s="3"/>
      <c r="I1" s="3"/>
      <c r="J1" s="3"/>
    </row>
    <row r="2" spans="2:26" s="2" customFormat="1" ht="20.399999999999999" customHeight="1" x14ac:dyDescent="0.5">
      <c r="B2" s="29" t="s">
        <v>39</v>
      </c>
      <c r="C2" s="6" t="s">
        <v>0</v>
      </c>
      <c r="D2" s="7"/>
      <c r="E2" s="46" t="s">
        <v>469</v>
      </c>
      <c r="F2" s="47" t="s">
        <v>470</v>
      </c>
      <c r="G2" s="48" t="s">
        <v>468</v>
      </c>
      <c r="H2" s="8"/>
      <c r="I2" s="46" t="s">
        <v>471</v>
      </c>
      <c r="J2" s="49" t="s">
        <v>472</v>
      </c>
      <c r="K2" s="48" t="s">
        <v>473</v>
      </c>
      <c r="L2" s="46" t="s">
        <v>474</v>
      </c>
      <c r="M2" s="47" t="s">
        <v>475</v>
      </c>
      <c r="N2" s="47" t="s">
        <v>479</v>
      </c>
      <c r="O2" s="47" t="s">
        <v>476</v>
      </c>
      <c r="P2" s="48" t="s">
        <v>477</v>
      </c>
      <c r="Q2" s="50" t="s">
        <v>478</v>
      </c>
      <c r="R2" s="47" t="s">
        <v>479</v>
      </c>
      <c r="S2" s="47" t="s">
        <v>484</v>
      </c>
      <c r="T2" s="47" t="s">
        <v>480</v>
      </c>
      <c r="U2" s="47" t="s">
        <v>481</v>
      </c>
      <c r="V2" s="48" t="s">
        <v>482</v>
      </c>
      <c r="W2" s="46" t="s">
        <v>483</v>
      </c>
      <c r="X2" s="47" t="s">
        <v>484</v>
      </c>
      <c r="Y2" s="48" t="s">
        <v>485</v>
      </c>
      <c r="Z2" s="51" t="s">
        <v>564</v>
      </c>
    </row>
    <row r="3" spans="2:26" s="2" customFormat="1" ht="18" x14ac:dyDescent="0.35">
      <c r="B3" s="45" t="s">
        <v>24</v>
      </c>
      <c r="C3" s="121">
        <f>Dashboard!D5</f>
        <v>100000</v>
      </c>
      <c r="D3" s="10"/>
      <c r="E3" s="11" t="s">
        <v>1</v>
      </c>
      <c r="F3" s="12" t="s">
        <v>2</v>
      </c>
      <c r="G3" s="13">
        <v>1</v>
      </c>
      <c r="H3" s="42"/>
      <c r="I3" s="31">
        <f>C3-L3-Q3-W3</f>
        <v>99942.887770000001</v>
      </c>
      <c r="J3" s="32">
        <f>I3*$C$14*$C$19</f>
        <v>57.079611931844262</v>
      </c>
      <c r="K3" s="33">
        <f>I3-J3</f>
        <v>99885.808158068161</v>
      </c>
      <c r="L3" s="31">
        <f>C3*$C$14*$C$19*0.5</f>
        <v>28.556114999999995</v>
      </c>
      <c r="M3" s="32">
        <v>0</v>
      </c>
      <c r="N3" s="32">
        <f>L3*$C$6</f>
        <v>7.1390287499999987</v>
      </c>
      <c r="O3" s="34"/>
      <c r="P3" s="33">
        <f>L3+M3-N3-O3</f>
        <v>21.417086249999997</v>
      </c>
      <c r="Q3" s="31">
        <f>C3*$C$14*$C$19*0.5</f>
        <v>28.556114999999995</v>
      </c>
      <c r="R3" s="32">
        <v>0</v>
      </c>
      <c r="S3" s="32">
        <f>Q3*$C$8</f>
        <v>2.0397224999999994</v>
      </c>
      <c r="T3" s="34"/>
      <c r="U3" s="32">
        <f>Q3*$C$9*(1-$C$21)</f>
        <v>1.4716108304099997</v>
      </c>
      <c r="V3" s="33">
        <f>Q3+R3-S3-T3-U3</f>
        <v>25.044781669589995</v>
      </c>
      <c r="W3" s="31">
        <v>0</v>
      </c>
      <c r="X3" s="32">
        <v>0</v>
      </c>
      <c r="Y3" s="33">
        <f>W3+X3</f>
        <v>0</v>
      </c>
      <c r="Z3" s="43">
        <f>P3+V3</f>
        <v>46.461867919589992</v>
      </c>
    </row>
    <row r="4" spans="2:26" s="2" customFormat="1" ht="18" x14ac:dyDescent="0.35">
      <c r="B4" s="45" t="s">
        <v>25</v>
      </c>
      <c r="C4" s="124">
        <f>C14*2</f>
        <v>1.302E-3</v>
      </c>
      <c r="D4" s="10"/>
      <c r="E4" s="11" t="s">
        <v>1</v>
      </c>
      <c r="F4" s="12" t="s">
        <v>2</v>
      </c>
      <c r="G4" s="13">
        <v>2</v>
      </c>
      <c r="H4" s="42"/>
      <c r="I4" s="31">
        <f>K3</f>
        <v>99885.808158068161</v>
      </c>
      <c r="J4" s="32">
        <f t="shared" ref="J4:J8" si="0">I4*$C$14*$C$19</f>
        <v>57.047012492594654</v>
      </c>
      <c r="K4" s="33">
        <f t="shared" ref="K4:K24" si="1">I4-J4</f>
        <v>99828.761145575569</v>
      </c>
      <c r="L4" s="31">
        <f>P3</f>
        <v>21.417086249999997</v>
      </c>
      <c r="M4" s="32">
        <f>J3</f>
        <v>57.079611931844262</v>
      </c>
      <c r="N4" s="32">
        <f t="shared" ref="N4:N24" si="2">L4*$C$6</f>
        <v>5.3542715624999992</v>
      </c>
      <c r="O4" s="34"/>
      <c r="P4" s="33">
        <f>L4+M4-N4-O4</f>
        <v>73.142426619344263</v>
      </c>
      <c r="Q4" s="31">
        <f>V3</f>
        <v>25.044781669589995</v>
      </c>
      <c r="R4" s="32">
        <f>N3</f>
        <v>7.1390287499999987</v>
      </c>
      <c r="S4" s="32">
        <f t="shared" ref="S4:S24" si="3">Q4*$C$8</f>
        <v>1.7889129763992853</v>
      </c>
      <c r="T4" s="34"/>
      <c r="U4" s="32">
        <f t="shared" ref="U4:U24" si="4">Q4*$C$9*(1-$C$21)</f>
        <v>1.2906577785606508</v>
      </c>
      <c r="V4" s="33">
        <f t="shared" ref="V4:V24" si="5">Q4+R4-S4-T4-U4</f>
        <v>29.104239664630061</v>
      </c>
      <c r="W4" s="31">
        <f>Z3</f>
        <v>46.461867919589992</v>
      </c>
      <c r="X4" s="32">
        <f>R3</f>
        <v>0</v>
      </c>
      <c r="Y4" s="33">
        <f t="shared" ref="Y4:Y24" si="6">W4+X4</f>
        <v>46.461867919589992</v>
      </c>
      <c r="Z4" s="43">
        <f t="shared" ref="Z4:Z24" si="7">P4+V4</f>
        <v>102.24666628397432</v>
      </c>
    </row>
    <row r="5" spans="2:26" s="2" customFormat="1" ht="18" x14ac:dyDescent="0.35">
      <c r="B5" s="45" t="s">
        <v>28</v>
      </c>
      <c r="C5" s="121">
        <f>Dashboard!D6</f>
        <v>4</v>
      </c>
      <c r="D5" s="10"/>
      <c r="E5" s="11" t="s">
        <v>3</v>
      </c>
      <c r="F5" s="12" t="s">
        <v>4</v>
      </c>
      <c r="G5" s="13">
        <v>3</v>
      </c>
      <c r="H5" s="42"/>
      <c r="I5" s="31">
        <f t="shared" ref="I5:I24" si="8">K4</f>
        <v>99828.761145575569</v>
      </c>
      <c r="J5" s="32">
        <f t="shared" si="0"/>
        <v>57.014431671611746</v>
      </c>
      <c r="K5" s="33">
        <f t="shared" si="1"/>
        <v>99771.746713903951</v>
      </c>
      <c r="L5" s="31">
        <f t="shared" ref="L5:L24" si="9">P4</f>
        <v>73.142426619344263</v>
      </c>
      <c r="M5" s="32">
        <f t="shared" ref="M5:M10" si="10">J4</f>
        <v>57.047012492594654</v>
      </c>
      <c r="N5" s="32">
        <f t="shared" si="2"/>
        <v>18.285606654836066</v>
      </c>
      <c r="O5" s="32">
        <f>L5*(1-$C$10)*Dashboard!G5</f>
        <v>0</v>
      </c>
      <c r="P5" s="33">
        <f t="shared" ref="P5:P24" si="11">L5+M5-N5-O5</f>
        <v>111.90383245710285</v>
      </c>
      <c r="Q5" s="31">
        <f t="shared" ref="Q5:Q24" si="12">V4</f>
        <v>29.104239664630061</v>
      </c>
      <c r="R5" s="32">
        <f t="shared" ref="R5:R24" si="13">N4</f>
        <v>5.3542715624999992</v>
      </c>
      <c r="S5" s="32">
        <f t="shared" si="3"/>
        <v>2.0788742617592901</v>
      </c>
      <c r="T5" s="32">
        <f>Q5*(1-$C$11)*Dashboard!G5</f>
        <v>0</v>
      </c>
      <c r="U5" s="32">
        <f t="shared" si="4"/>
        <v>1.4998578868770456</v>
      </c>
      <c r="V5" s="33">
        <f t="shared" si="5"/>
        <v>30.879779078493726</v>
      </c>
      <c r="W5" s="31">
        <f t="shared" ref="W5:W24" si="14">Z4</f>
        <v>102.24666628397432</v>
      </c>
      <c r="X5" s="32">
        <f t="shared" ref="X5:X24" si="15">R4</f>
        <v>7.1390287499999987</v>
      </c>
      <c r="Y5" s="33">
        <f>W5+X5</f>
        <v>109.38569503397432</v>
      </c>
      <c r="Z5" s="43">
        <f t="shared" si="7"/>
        <v>142.78361153559658</v>
      </c>
    </row>
    <row r="6" spans="2:26" s="2" customFormat="1" ht="18" x14ac:dyDescent="0.35">
      <c r="B6" s="45" t="s">
        <v>26</v>
      </c>
      <c r="C6" s="122">
        <f>1/C5</f>
        <v>0.25</v>
      </c>
      <c r="D6" s="10"/>
      <c r="E6" s="11" t="s">
        <v>5</v>
      </c>
      <c r="F6" s="12" t="s">
        <v>6</v>
      </c>
      <c r="G6" s="13">
        <v>4</v>
      </c>
      <c r="H6" s="42"/>
      <c r="I6" s="31">
        <f t="shared" si="8"/>
        <v>99771.746713903951</v>
      </c>
      <c r="J6" s="32">
        <f t="shared" si="0"/>
        <v>56.981869458262267</v>
      </c>
      <c r="K6" s="33">
        <f t="shared" si="1"/>
        <v>99714.764844445686</v>
      </c>
      <c r="L6" s="31">
        <f t="shared" si="9"/>
        <v>111.90383245710285</v>
      </c>
      <c r="M6" s="32">
        <f t="shared" si="10"/>
        <v>57.014431671611746</v>
      </c>
      <c r="N6" s="32">
        <f t="shared" si="2"/>
        <v>27.975958114275713</v>
      </c>
      <c r="O6" s="32">
        <f>L6*(1-$C$10)*Dashboard!G6</f>
        <v>0</v>
      </c>
      <c r="P6" s="33">
        <f t="shared" si="11"/>
        <v>140.94230601443888</v>
      </c>
      <c r="Q6" s="31">
        <f t="shared" si="12"/>
        <v>30.879779078493726</v>
      </c>
      <c r="R6" s="32">
        <f t="shared" si="13"/>
        <v>18.285606654836066</v>
      </c>
      <c r="S6" s="32">
        <f t="shared" si="3"/>
        <v>2.2056985056066947</v>
      </c>
      <c r="T6" s="32">
        <f>Q6*(1-$C$11)*Dashboard!G6</f>
        <v>0</v>
      </c>
      <c r="U6" s="32">
        <f t="shared" si="4"/>
        <v>1.5913585350310957</v>
      </c>
      <c r="V6" s="33">
        <f t="shared" si="5"/>
        <v>45.368328692691996</v>
      </c>
      <c r="W6" s="31">
        <f t="shared" si="14"/>
        <v>142.78361153559658</v>
      </c>
      <c r="X6" s="32">
        <f t="shared" si="15"/>
        <v>5.3542715624999992</v>
      </c>
      <c r="Y6" s="33">
        <f t="shared" si="6"/>
        <v>148.13788309809658</v>
      </c>
      <c r="Z6" s="43">
        <f t="shared" si="7"/>
        <v>186.31063470713087</v>
      </c>
    </row>
    <row r="7" spans="2:26" s="2" customFormat="1" ht="18" x14ac:dyDescent="0.35">
      <c r="B7" s="45" t="s">
        <v>29</v>
      </c>
      <c r="C7" s="121">
        <f>Dashboard!D8</f>
        <v>14</v>
      </c>
      <c r="D7" s="10"/>
      <c r="E7" s="11" t="s">
        <v>5</v>
      </c>
      <c r="F7" s="12" t="s">
        <v>7</v>
      </c>
      <c r="G7" s="13">
        <v>5</v>
      </c>
      <c r="H7" s="42"/>
      <c r="I7" s="31">
        <f t="shared" si="8"/>
        <v>99714.764844445686</v>
      </c>
      <c r="J7" s="32">
        <f t="shared" si="0"/>
        <v>56.949325841918956</v>
      </c>
      <c r="K7" s="33">
        <f t="shared" si="1"/>
        <v>99657.815518603762</v>
      </c>
      <c r="L7" s="31">
        <f t="shared" si="9"/>
        <v>140.94230601443888</v>
      </c>
      <c r="M7" s="32">
        <f t="shared" si="10"/>
        <v>56.981869458262267</v>
      </c>
      <c r="N7" s="32">
        <f t="shared" si="2"/>
        <v>35.235576503609721</v>
      </c>
      <c r="O7" s="32">
        <f>L7*(1-$C$10)*Dashboard!G7</f>
        <v>0</v>
      </c>
      <c r="P7" s="33">
        <f t="shared" si="11"/>
        <v>162.68859896909146</v>
      </c>
      <c r="Q7" s="31">
        <f t="shared" si="12"/>
        <v>45.368328692691996</v>
      </c>
      <c r="R7" s="32">
        <f t="shared" si="13"/>
        <v>27.975958114275713</v>
      </c>
      <c r="S7" s="32">
        <f t="shared" si="3"/>
        <v>3.2405949066208568</v>
      </c>
      <c r="T7" s="32">
        <f>Q7*(1-$C$11)*Dashboard!G7</f>
        <v>0</v>
      </c>
      <c r="U7" s="32">
        <f>Q7*$C$9*(1-$C$21)</f>
        <v>2.3380114508491894</v>
      </c>
      <c r="V7" s="33">
        <f t="shared" si="5"/>
        <v>67.765680449497665</v>
      </c>
      <c r="W7" s="31">
        <f t="shared" si="14"/>
        <v>186.31063470713087</v>
      </c>
      <c r="X7" s="32">
        <f t="shared" si="15"/>
        <v>18.285606654836066</v>
      </c>
      <c r="Y7" s="33">
        <f t="shared" si="6"/>
        <v>204.59624136196695</v>
      </c>
      <c r="Z7" s="43">
        <f t="shared" si="7"/>
        <v>230.45427941858912</v>
      </c>
    </row>
    <row r="8" spans="2:26" s="2" customFormat="1" ht="18" x14ac:dyDescent="0.35">
      <c r="B8" s="45" t="s">
        <v>27</v>
      </c>
      <c r="C8" s="122">
        <f>1/C7</f>
        <v>7.1428571428571425E-2</v>
      </c>
      <c r="D8" s="10"/>
      <c r="E8" s="11" t="s">
        <v>467</v>
      </c>
      <c r="F8" s="12" t="s">
        <v>8</v>
      </c>
      <c r="G8" s="13">
        <v>6</v>
      </c>
      <c r="H8" s="42"/>
      <c r="I8" s="31">
        <f t="shared" si="8"/>
        <v>99657.815518603762</v>
      </c>
      <c r="J8" s="32">
        <f t="shared" si="0"/>
        <v>56.916800811960663</v>
      </c>
      <c r="K8" s="33">
        <f t="shared" si="1"/>
        <v>99600.898717791802</v>
      </c>
      <c r="L8" s="31">
        <f t="shared" si="9"/>
        <v>162.68859896909146</v>
      </c>
      <c r="M8" s="32">
        <f t="shared" si="10"/>
        <v>56.949325841918956</v>
      </c>
      <c r="N8" s="32">
        <f t="shared" si="2"/>
        <v>40.672149742272865</v>
      </c>
      <c r="O8" s="32">
        <f>L8*(1-$C$10)*Dashboard!G8</f>
        <v>0</v>
      </c>
      <c r="P8" s="33">
        <f t="shared" si="11"/>
        <v>178.96577506873754</v>
      </c>
      <c r="Q8" s="31">
        <f t="shared" si="12"/>
        <v>67.765680449497665</v>
      </c>
      <c r="R8" s="32">
        <f t="shared" si="13"/>
        <v>35.235576503609721</v>
      </c>
      <c r="S8" s="32">
        <f t="shared" si="3"/>
        <v>4.8404057463926904</v>
      </c>
      <c r="T8" s="32">
        <f>Q8*(1-$C$11)*Dashboard!G8</f>
        <v>0</v>
      </c>
      <c r="U8" s="32">
        <f t="shared" si="4"/>
        <v>3.4922365762844123</v>
      </c>
      <c r="V8" s="33">
        <f t="shared" si="5"/>
        <v>94.668614630430284</v>
      </c>
      <c r="W8" s="31">
        <f t="shared" si="14"/>
        <v>230.45427941858912</v>
      </c>
      <c r="X8" s="32">
        <f t="shared" si="15"/>
        <v>27.975958114275713</v>
      </c>
      <c r="Y8" s="33">
        <f t="shared" si="6"/>
        <v>258.43023753286485</v>
      </c>
      <c r="Z8" s="43">
        <f t="shared" si="7"/>
        <v>273.63438969916785</v>
      </c>
    </row>
    <row r="9" spans="2:26" s="2" customFormat="1" ht="18" x14ac:dyDescent="0.35">
      <c r="B9" s="45" t="s">
        <v>30</v>
      </c>
      <c r="C9" s="122">
        <f>Dashboard!D11</f>
        <v>0.18</v>
      </c>
      <c r="D9" s="10"/>
      <c r="E9" s="11" t="s">
        <v>9</v>
      </c>
      <c r="F9" s="12" t="s">
        <v>10</v>
      </c>
      <c r="G9" s="13">
        <v>7</v>
      </c>
      <c r="H9" s="42"/>
      <c r="I9" s="31">
        <f t="shared" si="8"/>
        <v>99600.898717791802</v>
      </c>
      <c r="J9" s="32">
        <f>I9*$C$4*$C$19</f>
        <v>113.76858871554461</v>
      </c>
      <c r="K9" s="33">
        <f>I9-J9</f>
        <v>99487.130129076264</v>
      </c>
      <c r="L9" s="31">
        <f t="shared" si="9"/>
        <v>178.96577506873754</v>
      </c>
      <c r="M9" s="35">
        <f t="shared" si="10"/>
        <v>56.916800811960663</v>
      </c>
      <c r="N9" s="32">
        <f t="shared" si="2"/>
        <v>44.741443767184386</v>
      </c>
      <c r="O9" s="34"/>
      <c r="P9" s="33">
        <f t="shared" si="11"/>
        <v>191.14113211351381</v>
      </c>
      <c r="Q9" s="31">
        <f t="shared" si="12"/>
        <v>94.668614630430284</v>
      </c>
      <c r="R9" s="32">
        <f t="shared" si="13"/>
        <v>40.672149742272865</v>
      </c>
      <c r="S9" s="32">
        <f t="shared" si="3"/>
        <v>6.7620439021735912</v>
      </c>
      <c r="T9" s="34"/>
      <c r="U9" s="32">
        <f t="shared" si="4"/>
        <v>4.8786523863645943</v>
      </c>
      <c r="V9" s="33">
        <f t="shared" si="5"/>
        <v>123.70006808416497</v>
      </c>
      <c r="W9" s="31">
        <f t="shared" si="14"/>
        <v>273.63438969916785</v>
      </c>
      <c r="X9" s="32">
        <f t="shared" si="15"/>
        <v>35.235576503609721</v>
      </c>
      <c r="Y9" s="33">
        <f t="shared" si="6"/>
        <v>308.86996620277756</v>
      </c>
      <c r="Z9" s="43">
        <f t="shared" si="7"/>
        <v>314.84120019767875</v>
      </c>
    </row>
    <row r="10" spans="2:26" s="2" customFormat="1" ht="18" x14ac:dyDescent="0.35">
      <c r="B10" s="45" t="s">
        <v>31</v>
      </c>
      <c r="C10" s="122">
        <f>Dashboard!D14</f>
        <v>0.84</v>
      </c>
      <c r="D10" s="10"/>
      <c r="E10" s="15" t="s">
        <v>382</v>
      </c>
      <c r="F10" s="16" t="s">
        <v>583</v>
      </c>
      <c r="G10" s="17">
        <v>8</v>
      </c>
      <c r="H10" s="42"/>
      <c r="I10" s="31">
        <f t="shared" si="8"/>
        <v>99487.130129076264</v>
      </c>
      <c r="J10" s="34"/>
      <c r="K10" s="33">
        <f t="shared" si="1"/>
        <v>99487.130129076264</v>
      </c>
      <c r="L10" s="31">
        <f t="shared" si="9"/>
        <v>191.14113211351381</v>
      </c>
      <c r="M10" s="35">
        <f t="shared" si="10"/>
        <v>113.76858871554461</v>
      </c>
      <c r="N10" s="32">
        <f t="shared" si="2"/>
        <v>47.785283028378451</v>
      </c>
      <c r="O10" s="32">
        <f>L10*(1-$C$10)*Dashboard!G9</f>
        <v>30.582581138162215</v>
      </c>
      <c r="P10" s="33">
        <f>L10+M10-N10-O10</f>
        <v>226.54185666251774</v>
      </c>
      <c r="Q10" s="31">
        <f t="shared" si="12"/>
        <v>123.70006808416497</v>
      </c>
      <c r="R10" s="32">
        <f t="shared" si="13"/>
        <v>44.741443767184386</v>
      </c>
      <c r="S10" s="32">
        <f t="shared" si="3"/>
        <v>8.8357191488689253</v>
      </c>
      <c r="T10" s="32">
        <f>Q10*(1-$C$11)*Dashboard!G9</f>
        <v>87.827048339757127</v>
      </c>
      <c r="U10" s="32">
        <f t="shared" si="4"/>
        <v>6.3747593086493568</v>
      </c>
      <c r="V10" s="33">
        <f t="shared" si="5"/>
        <v>65.403985054073956</v>
      </c>
      <c r="W10" s="31">
        <f t="shared" si="14"/>
        <v>314.84120019767875</v>
      </c>
      <c r="X10" s="32">
        <f t="shared" si="15"/>
        <v>40.672149742272865</v>
      </c>
      <c r="Y10" s="33">
        <f t="shared" si="6"/>
        <v>355.51334993995158</v>
      </c>
      <c r="Z10" s="43">
        <f t="shared" si="7"/>
        <v>291.9458417165917</v>
      </c>
    </row>
    <row r="11" spans="2:26" s="2" customFormat="1" ht="18" x14ac:dyDescent="0.35">
      <c r="B11" s="45" t="s">
        <v>32</v>
      </c>
      <c r="C11" s="122">
        <f>Dashboard!D15</f>
        <v>0.28999999999999998</v>
      </c>
      <c r="D11" s="10"/>
      <c r="E11" s="11" t="s">
        <v>383</v>
      </c>
      <c r="F11" s="12" t="s">
        <v>11</v>
      </c>
      <c r="G11" s="13">
        <v>9</v>
      </c>
      <c r="H11" s="42"/>
      <c r="I11" s="31">
        <f t="shared" si="8"/>
        <v>99487.130129076264</v>
      </c>
      <c r="J11" s="34"/>
      <c r="K11" s="33">
        <f t="shared" si="1"/>
        <v>99487.130129076264</v>
      </c>
      <c r="L11" s="31">
        <f>P10</f>
        <v>226.54185666251774</v>
      </c>
      <c r="M11" s="36"/>
      <c r="N11" s="32">
        <f t="shared" si="2"/>
        <v>56.635464165629436</v>
      </c>
      <c r="O11" s="32">
        <f>L11*(1-$C$10)*Dashboard!G11</f>
        <v>0</v>
      </c>
      <c r="P11" s="33">
        <f>L11+M11-N11-O11</f>
        <v>169.90639249688832</v>
      </c>
      <c r="Q11" s="31">
        <f t="shared" si="12"/>
        <v>65.403985054073956</v>
      </c>
      <c r="R11" s="32">
        <f t="shared" si="13"/>
        <v>47.785283028378451</v>
      </c>
      <c r="S11" s="32">
        <f t="shared" si="3"/>
        <v>4.6717132181481391</v>
      </c>
      <c r="T11" s="32">
        <f>Q11*(1-$C$11)*Dashboard!G11</f>
        <v>0</v>
      </c>
      <c r="U11" s="32">
        <f t="shared" si="4"/>
        <v>3.3705289657766468</v>
      </c>
      <c r="V11" s="33">
        <f t="shared" si="5"/>
        <v>105.14702589852762</v>
      </c>
      <c r="W11" s="31">
        <f t="shared" si="14"/>
        <v>291.9458417165917</v>
      </c>
      <c r="X11" s="32">
        <f t="shared" si="15"/>
        <v>44.741443767184386</v>
      </c>
      <c r="Y11" s="33">
        <f t="shared" si="6"/>
        <v>336.68728548377607</v>
      </c>
      <c r="Z11" s="43">
        <f t="shared" si="7"/>
        <v>275.05341839541592</v>
      </c>
    </row>
    <row r="12" spans="2:26" s="2" customFormat="1" ht="16.2" x14ac:dyDescent="0.35">
      <c r="B12" s="9"/>
      <c r="C12" s="119"/>
      <c r="D12" s="10"/>
      <c r="E12" s="11" t="s">
        <v>384</v>
      </c>
      <c r="F12" s="12" t="s">
        <v>12</v>
      </c>
      <c r="G12" s="13">
        <v>10</v>
      </c>
      <c r="H12" s="42"/>
      <c r="I12" s="31">
        <f t="shared" si="8"/>
        <v>99487.130129076264</v>
      </c>
      <c r="J12" s="34"/>
      <c r="K12" s="33">
        <f t="shared" si="1"/>
        <v>99487.130129076264</v>
      </c>
      <c r="L12" s="31">
        <f t="shared" si="9"/>
        <v>169.90639249688832</v>
      </c>
      <c r="M12" s="36"/>
      <c r="N12" s="32">
        <f t="shared" si="2"/>
        <v>42.476598124222079</v>
      </c>
      <c r="O12" s="32">
        <f>L12*(1-$C$10)*Dashboard!G12</f>
        <v>0</v>
      </c>
      <c r="P12" s="33">
        <f t="shared" si="11"/>
        <v>127.42979437266624</v>
      </c>
      <c r="Q12" s="31">
        <f t="shared" si="12"/>
        <v>105.14702589852762</v>
      </c>
      <c r="R12" s="32">
        <f t="shared" si="13"/>
        <v>56.635464165629436</v>
      </c>
      <c r="S12" s="32">
        <f t="shared" si="3"/>
        <v>7.5105018498948297</v>
      </c>
      <c r="T12" s="32">
        <f>Q12*(1-$C$11)*Dashboard!G12</f>
        <v>0</v>
      </c>
      <c r="U12" s="32">
        <f t="shared" si="4"/>
        <v>5.4186468326547228</v>
      </c>
      <c r="V12" s="33">
        <f t="shared" si="5"/>
        <v>148.85334138160749</v>
      </c>
      <c r="W12" s="31">
        <f t="shared" si="14"/>
        <v>275.05341839541592</v>
      </c>
      <c r="X12" s="32">
        <f t="shared" si="15"/>
        <v>47.785283028378451</v>
      </c>
      <c r="Y12" s="33">
        <f t="shared" si="6"/>
        <v>322.83870142379436</v>
      </c>
      <c r="Z12" s="43">
        <f t="shared" si="7"/>
        <v>276.28313575427376</v>
      </c>
    </row>
    <row r="13" spans="2:26" s="2" customFormat="1" ht="16.2" x14ac:dyDescent="0.35">
      <c r="B13" s="30" t="s">
        <v>40</v>
      </c>
      <c r="C13" s="123" t="s">
        <v>0</v>
      </c>
      <c r="D13" s="10"/>
      <c r="E13" s="11" t="s">
        <v>385</v>
      </c>
      <c r="F13" s="12" t="s">
        <v>13</v>
      </c>
      <c r="G13" s="13">
        <v>11</v>
      </c>
      <c r="H13" s="42"/>
      <c r="I13" s="31">
        <f t="shared" si="8"/>
        <v>99487.130129076264</v>
      </c>
      <c r="J13" s="34"/>
      <c r="K13" s="33">
        <f t="shared" si="1"/>
        <v>99487.130129076264</v>
      </c>
      <c r="L13" s="31">
        <f t="shared" si="9"/>
        <v>127.42979437266624</v>
      </c>
      <c r="M13" s="36"/>
      <c r="N13" s="32">
        <f t="shared" si="2"/>
        <v>31.857448593166559</v>
      </c>
      <c r="O13" s="32">
        <f>L13*(1-$C$10)*Dashboard!G13</f>
        <v>0</v>
      </c>
      <c r="P13" s="33">
        <f t="shared" si="11"/>
        <v>95.57234577949967</v>
      </c>
      <c r="Q13" s="31">
        <f t="shared" si="12"/>
        <v>148.85334138160749</v>
      </c>
      <c r="R13" s="32">
        <f t="shared" si="13"/>
        <v>42.476598124222079</v>
      </c>
      <c r="S13" s="32">
        <f t="shared" si="3"/>
        <v>10.632381527257678</v>
      </c>
      <c r="T13" s="32">
        <f>Q13*(1-$C$11)*Dashboard!G13</f>
        <v>0</v>
      </c>
      <c r="U13" s="32">
        <f t="shared" si="4"/>
        <v>7.6710080947597605</v>
      </c>
      <c r="V13" s="33">
        <f t="shared" si="5"/>
        <v>173.02654988381212</v>
      </c>
      <c r="W13" s="31">
        <f t="shared" si="14"/>
        <v>276.28313575427376</v>
      </c>
      <c r="X13" s="32">
        <f t="shared" si="15"/>
        <v>56.635464165629436</v>
      </c>
      <c r="Y13" s="33">
        <f t="shared" si="6"/>
        <v>332.91859991990322</v>
      </c>
      <c r="Z13" s="43">
        <f t="shared" si="7"/>
        <v>268.59889566331179</v>
      </c>
    </row>
    <row r="14" spans="2:26" s="2" customFormat="1" ht="18" x14ac:dyDescent="0.35">
      <c r="B14" s="45" t="s">
        <v>33</v>
      </c>
      <c r="C14" s="119">
        <f>Dashboard!D21</f>
        <v>6.5099999999999999E-4</v>
      </c>
      <c r="D14" s="10"/>
      <c r="E14" s="11" t="s">
        <v>386</v>
      </c>
      <c r="F14" s="12" t="s">
        <v>14</v>
      </c>
      <c r="G14" s="13">
        <v>12</v>
      </c>
      <c r="H14" s="42"/>
      <c r="I14" s="31">
        <f t="shared" si="8"/>
        <v>99487.130129076264</v>
      </c>
      <c r="J14" s="34"/>
      <c r="K14" s="33">
        <f t="shared" si="1"/>
        <v>99487.130129076264</v>
      </c>
      <c r="L14" s="31">
        <f t="shared" si="9"/>
        <v>95.57234577949967</v>
      </c>
      <c r="M14" s="36"/>
      <c r="N14" s="32">
        <f t="shared" si="2"/>
        <v>23.893086444874918</v>
      </c>
      <c r="O14" s="32">
        <f>L14*(1-$C$10)*Dashboard!G14</f>
        <v>0</v>
      </c>
      <c r="P14" s="33">
        <f t="shared" si="11"/>
        <v>71.67925933462476</v>
      </c>
      <c r="Q14" s="31">
        <f t="shared" si="12"/>
        <v>173.02654988381212</v>
      </c>
      <c r="R14" s="32">
        <f t="shared" si="13"/>
        <v>31.857448593166559</v>
      </c>
      <c r="S14" s="32">
        <f t="shared" si="3"/>
        <v>12.359039277415151</v>
      </c>
      <c r="T14" s="32">
        <f>Q14*(1-$C$11)*Dashboard!G14</f>
        <v>0</v>
      </c>
      <c r="U14" s="32">
        <f t="shared" si="4"/>
        <v>8.9167502217123733</v>
      </c>
      <c r="V14" s="33">
        <f t="shared" si="5"/>
        <v>183.60820897785118</v>
      </c>
      <c r="W14" s="31">
        <f t="shared" si="14"/>
        <v>268.59889566331179</v>
      </c>
      <c r="X14" s="32">
        <f t="shared" si="15"/>
        <v>42.476598124222079</v>
      </c>
      <c r="Y14" s="33">
        <f t="shared" si="6"/>
        <v>311.0754937875339</v>
      </c>
      <c r="Z14" s="43">
        <f t="shared" si="7"/>
        <v>255.28746831247594</v>
      </c>
    </row>
    <row r="15" spans="2:26" s="2" customFormat="1" ht="18" x14ac:dyDescent="0.35">
      <c r="B15" s="45" t="s">
        <v>34</v>
      </c>
      <c r="C15" s="119">
        <f>Dashboard!D26</f>
        <v>0.40899999999999997</v>
      </c>
      <c r="D15" s="10"/>
      <c r="E15" s="11" t="s">
        <v>387</v>
      </c>
      <c r="F15" s="12" t="s">
        <v>15</v>
      </c>
      <c r="G15" s="13">
        <v>13</v>
      </c>
      <c r="H15" s="42"/>
      <c r="I15" s="31">
        <f t="shared" si="8"/>
        <v>99487.130129076264</v>
      </c>
      <c r="J15" s="34"/>
      <c r="K15" s="33">
        <f t="shared" si="1"/>
        <v>99487.130129076264</v>
      </c>
      <c r="L15" s="31">
        <f t="shared" si="9"/>
        <v>71.67925933462476</v>
      </c>
      <c r="M15" s="36"/>
      <c r="N15" s="32">
        <f t="shared" si="2"/>
        <v>17.91981483365619</v>
      </c>
      <c r="O15" s="32">
        <f>L15*(1-$C$10)*Dashboard!G15</f>
        <v>0</v>
      </c>
      <c r="P15" s="33">
        <f t="shared" si="11"/>
        <v>53.75944450096857</v>
      </c>
      <c r="Q15" s="31">
        <f t="shared" si="12"/>
        <v>183.60820897785118</v>
      </c>
      <c r="R15" s="32">
        <f t="shared" si="13"/>
        <v>23.893086444874918</v>
      </c>
      <c r="S15" s="32">
        <f t="shared" si="3"/>
        <v>13.114872069846513</v>
      </c>
      <c r="T15" s="32">
        <f>Q15*(1-$C$11)*Dashboard!G15</f>
        <v>0</v>
      </c>
      <c r="U15" s="32">
        <f t="shared" si="4"/>
        <v>9.4620654414645831</v>
      </c>
      <c r="V15" s="33">
        <f t="shared" si="5"/>
        <v>184.924357911415</v>
      </c>
      <c r="W15" s="31">
        <f t="shared" si="14"/>
        <v>255.28746831247594</v>
      </c>
      <c r="X15" s="32">
        <f t="shared" si="15"/>
        <v>31.857448593166559</v>
      </c>
      <c r="Y15" s="33">
        <f t="shared" si="6"/>
        <v>287.1449169056425</v>
      </c>
      <c r="Z15" s="43">
        <f t="shared" si="7"/>
        <v>238.68380241238356</v>
      </c>
    </row>
    <row r="16" spans="2:26" s="2" customFormat="1" ht="16.2" x14ac:dyDescent="0.35">
      <c r="B16" s="9"/>
      <c r="C16" s="119"/>
      <c r="D16" s="10"/>
      <c r="E16" s="11" t="s">
        <v>388</v>
      </c>
      <c r="F16" s="12" t="s">
        <v>16</v>
      </c>
      <c r="G16" s="13">
        <v>14</v>
      </c>
      <c r="H16" s="42"/>
      <c r="I16" s="31">
        <f t="shared" si="8"/>
        <v>99487.130129076264</v>
      </c>
      <c r="J16" s="34"/>
      <c r="K16" s="33">
        <f t="shared" si="1"/>
        <v>99487.130129076264</v>
      </c>
      <c r="L16" s="31">
        <f t="shared" si="9"/>
        <v>53.75944450096857</v>
      </c>
      <c r="M16" s="36"/>
      <c r="N16" s="32">
        <f t="shared" si="2"/>
        <v>13.439861125242142</v>
      </c>
      <c r="O16" s="32">
        <f>L16*(1-$C$10)*Dashboard!G16</f>
        <v>0</v>
      </c>
      <c r="P16" s="33">
        <f t="shared" si="11"/>
        <v>40.319583375726424</v>
      </c>
      <c r="Q16" s="31">
        <f t="shared" si="12"/>
        <v>184.924357911415</v>
      </c>
      <c r="R16" s="32">
        <f t="shared" si="13"/>
        <v>17.91981483365619</v>
      </c>
      <c r="S16" s="32">
        <f t="shared" si="3"/>
        <v>13.208882707958214</v>
      </c>
      <c r="T16" s="32">
        <f>Q16*(1-$C$11)*Dashboard!G16</f>
        <v>0</v>
      </c>
      <c r="U16" s="32">
        <f t="shared" si="4"/>
        <v>9.5298918606068614</v>
      </c>
      <c r="V16" s="33">
        <f t="shared" si="5"/>
        <v>180.10539817650613</v>
      </c>
      <c r="W16" s="31">
        <f t="shared" si="14"/>
        <v>238.68380241238356</v>
      </c>
      <c r="X16" s="32">
        <f t="shared" si="15"/>
        <v>23.893086444874918</v>
      </c>
      <c r="Y16" s="33">
        <f t="shared" si="6"/>
        <v>262.5768888572585</v>
      </c>
      <c r="Z16" s="43">
        <f t="shared" si="7"/>
        <v>220.42498155223257</v>
      </c>
    </row>
    <row r="17" spans="2:26" s="2" customFormat="1" ht="16.2" x14ac:dyDescent="0.35">
      <c r="B17" s="30" t="s">
        <v>41</v>
      </c>
      <c r="C17" s="123" t="s">
        <v>0</v>
      </c>
      <c r="D17" s="10"/>
      <c r="E17" s="11" t="s">
        <v>389</v>
      </c>
      <c r="F17" s="12" t="s">
        <v>17</v>
      </c>
      <c r="G17" s="13">
        <v>15</v>
      </c>
      <c r="H17" s="42"/>
      <c r="I17" s="31">
        <f t="shared" si="8"/>
        <v>99487.130129076264</v>
      </c>
      <c r="J17" s="34"/>
      <c r="K17" s="33">
        <f t="shared" si="1"/>
        <v>99487.130129076264</v>
      </c>
      <c r="L17" s="31">
        <f t="shared" si="9"/>
        <v>40.319583375726424</v>
      </c>
      <c r="M17" s="36"/>
      <c r="N17" s="32">
        <f t="shared" si="2"/>
        <v>10.079895843931606</v>
      </c>
      <c r="O17" s="32">
        <f>L17*(1-$C$10)*Dashboard!G17</f>
        <v>0</v>
      </c>
      <c r="P17" s="33">
        <f t="shared" si="11"/>
        <v>30.239687531794818</v>
      </c>
      <c r="Q17" s="31">
        <f t="shared" si="12"/>
        <v>180.10539817650613</v>
      </c>
      <c r="R17" s="32">
        <f t="shared" si="13"/>
        <v>13.439861125242142</v>
      </c>
      <c r="S17" s="32">
        <f t="shared" si="3"/>
        <v>12.864671298321866</v>
      </c>
      <c r="T17" s="32">
        <f>Q17*(1-$C$11)*Dashboard!G17</f>
        <v>0</v>
      </c>
      <c r="U17" s="32">
        <f t="shared" si="4"/>
        <v>9.2815515896280676</v>
      </c>
      <c r="V17" s="33">
        <f t="shared" si="5"/>
        <v>171.39903641379834</v>
      </c>
      <c r="W17" s="31">
        <f t="shared" si="14"/>
        <v>220.42498155223257</v>
      </c>
      <c r="X17" s="32">
        <f t="shared" si="15"/>
        <v>17.91981483365619</v>
      </c>
      <c r="Y17" s="33">
        <f t="shared" si="6"/>
        <v>238.34479638588874</v>
      </c>
      <c r="Z17" s="43">
        <f t="shared" si="7"/>
        <v>201.63872394559317</v>
      </c>
    </row>
    <row r="18" spans="2:26" s="2" customFormat="1" ht="18" x14ac:dyDescent="0.35">
      <c r="B18" s="45" t="s">
        <v>35</v>
      </c>
      <c r="C18" s="119">
        <f>Dashboard!D30</f>
        <v>0.3</v>
      </c>
      <c r="D18" s="10"/>
      <c r="E18" s="11" t="s">
        <v>390</v>
      </c>
      <c r="F18" s="12" t="s">
        <v>18</v>
      </c>
      <c r="G18" s="13">
        <v>16</v>
      </c>
      <c r="H18" s="42"/>
      <c r="I18" s="31">
        <f t="shared" si="8"/>
        <v>99487.130129076264</v>
      </c>
      <c r="J18" s="34"/>
      <c r="K18" s="33">
        <f t="shared" si="1"/>
        <v>99487.130129076264</v>
      </c>
      <c r="L18" s="31">
        <f t="shared" si="9"/>
        <v>30.239687531794818</v>
      </c>
      <c r="M18" s="36"/>
      <c r="N18" s="32">
        <f t="shared" si="2"/>
        <v>7.5599218829487045</v>
      </c>
      <c r="O18" s="32">
        <f>L18*(1-$C$10)*Dashboard!G18</f>
        <v>0</v>
      </c>
      <c r="P18" s="33">
        <f t="shared" si="11"/>
        <v>22.679765648846114</v>
      </c>
      <c r="Q18" s="31">
        <f t="shared" si="12"/>
        <v>171.39903641379834</v>
      </c>
      <c r="R18" s="32">
        <f t="shared" si="13"/>
        <v>10.079895843931606</v>
      </c>
      <c r="S18" s="32">
        <f t="shared" si="3"/>
        <v>12.242788315271309</v>
      </c>
      <c r="T18" s="32">
        <f>Q18*(1-$C$11)*Dashboard!G18</f>
        <v>0</v>
      </c>
      <c r="U18" s="32">
        <f t="shared" si="4"/>
        <v>8.8328779425486843</v>
      </c>
      <c r="V18" s="33">
        <f t="shared" si="5"/>
        <v>160.40326599990996</v>
      </c>
      <c r="W18" s="31">
        <f t="shared" si="14"/>
        <v>201.63872394559317</v>
      </c>
      <c r="X18" s="32">
        <f t="shared" si="15"/>
        <v>13.439861125242142</v>
      </c>
      <c r="Y18" s="33">
        <f t="shared" si="6"/>
        <v>215.07858507083532</v>
      </c>
      <c r="Z18" s="43">
        <f t="shared" si="7"/>
        <v>183.08303164875608</v>
      </c>
    </row>
    <row r="19" spans="2:26" s="2" customFormat="1" ht="18" x14ac:dyDescent="0.35">
      <c r="B19" s="45" t="s">
        <v>36</v>
      </c>
      <c r="C19" s="119">
        <f>(((C15)*(1-C18))+(1-C15))</f>
        <v>0.87729999999999997</v>
      </c>
      <c r="D19" s="10"/>
      <c r="E19" s="11" t="s">
        <v>391</v>
      </c>
      <c r="F19" s="12" t="s">
        <v>19</v>
      </c>
      <c r="G19" s="13">
        <v>17</v>
      </c>
      <c r="H19" s="42"/>
      <c r="I19" s="31">
        <f t="shared" si="8"/>
        <v>99487.130129076264</v>
      </c>
      <c r="J19" s="34"/>
      <c r="K19" s="33">
        <f t="shared" si="1"/>
        <v>99487.130129076264</v>
      </c>
      <c r="L19" s="31">
        <f t="shared" si="9"/>
        <v>22.679765648846114</v>
      </c>
      <c r="M19" s="36"/>
      <c r="N19" s="32">
        <f t="shared" si="2"/>
        <v>5.6699414122115286</v>
      </c>
      <c r="O19" s="32">
        <f>L19*(1-$C$10)*Dashboard!G19</f>
        <v>0</v>
      </c>
      <c r="P19" s="33">
        <f t="shared" si="11"/>
        <v>17.009824236634586</v>
      </c>
      <c r="Q19" s="31">
        <f t="shared" si="12"/>
        <v>160.40326599990996</v>
      </c>
      <c r="R19" s="32">
        <f t="shared" si="13"/>
        <v>7.5599218829487045</v>
      </c>
      <c r="S19" s="32">
        <f t="shared" si="3"/>
        <v>11.457376142850711</v>
      </c>
      <c r="T19" s="32">
        <f>Q19*(1-$C$11)*Dashboard!G19</f>
        <v>0</v>
      </c>
      <c r="U19" s="32">
        <f t="shared" si="4"/>
        <v>8.2662219100393592</v>
      </c>
      <c r="V19" s="33">
        <f t="shared" si="5"/>
        <v>148.23958982996862</v>
      </c>
      <c r="W19" s="31">
        <f t="shared" si="14"/>
        <v>183.08303164875608</v>
      </c>
      <c r="X19" s="32">
        <f t="shared" si="15"/>
        <v>10.079895843931606</v>
      </c>
      <c r="Y19" s="33">
        <f t="shared" si="6"/>
        <v>193.16292749268769</v>
      </c>
      <c r="Z19" s="43">
        <f t="shared" si="7"/>
        <v>165.24941406660321</v>
      </c>
    </row>
    <row r="20" spans="2:26" s="2" customFormat="1" ht="18" x14ac:dyDescent="0.35">
      <c r="B20" s="45" t="s">
        <v>37</v>
      </c>
      <c r="C20" s="119">
        <f>Dashboard!D31</f>
        <v>0.7</v>
      </c>
      <c r="D20" s="10"/>
      <c r="E20" s="11" t="s">
        <v>392</v>
      </c>
      <c r="F20" s="12" t="s">
        <v>20</v>
      </c>
      <c r="G20" s="13">
        <v>18</v>
      </c>
      <c r="H20" s="42"/>
      <c r="I20" s="31">
        <f t="shared" si="8"/>
        <v>99487.130129076264</v>
      </c>
      <c r="J20" s="34"/>
      <c r="K20" s="33">
        <f t="shared" si="1"/>
        <v>99487.130129076264</v>
      </c>
      <c r="L20" s="31">
        <f t="shared" si="9"/>
        <v>17.009824236634586</v>
      </c>
      <c r="M20" s="36"/>
      <c r="N20" s="32">
        <f t="shared" si="2"/>
        <v>4.2524560591586464</v>
      </c>
      <c r="O20" s="32">
        <f>L20*(1-$C$10)*Dashboard!G20</f>
        <v>0</v>
      </c>
      <c r="P20" s="33">
        <f t="shared" si="11"/>
        <v>12.757368177475939</v>
      </c>
      <c r="Q20" s="31">
        <f t="shared" si="12"/>
        <v>148.23958982996862</v>
      </c>
      <c r="R20" s="32">
        <f t="shared" si="13"/>
        <v>5.6699414122115286</v>
      </c>
      <c r="S20" s="32">
        <f t="shared" si="3"/>
        <v>10.588542130712044</v>
      </c>
      <c r="T20" s="32">
        <f>Q20*(1-$C$11)*Dashboard!G20</f>
        <v>0</v>
      </c>
      <c r="U20" s="32">
        <f t="shared" si="4"/>
        <v>7.6393790222976028</v>
      </c>
      <c r="V20" s="33">
        <f t="shared" si="5"/>
        <v>135.6816100891705</v>
      </c>
      <c r="W20" s="31">
        <f t="shared" si="14"/>
        <v>165.24941406660321</v>
      </c>
      <c r="X20" s="32">
        <f t="shared" si="15"/>
        <v>7.5599218829487045</v>
      </c>
      <c r="Y20" s="33">
        <f t="shared" si="6"/>
        <v>172.80933594955192</v>
      </c>
      <c r="Z20" s="43">
        <f t="shared" si="7"/>
        <v>148.43897826664644</v>
      </c>
    </row>
    <row r="21" spans="2:26" s="2" customFormat="1" ht="18" x14ac:dyDescent="0.35">
      <c r="B21" s="45" t="s">
        <v>38</v>
      </c>
      <c r="C21" s="120">
        <f>(((C15)*(1-C20))+(1-C15))</f>
        <v>0.7137</v>
      </c>
      <c r="D21" s="10"/>
      <c r="E21" s="11" t="s">
        <v>393</v>
      </c>
      <c r="F21" s="12" t="s">
        <v>21</v>
      </c>
      <c r="G21" s="13">
        <v>19</v>
      </c>
      <c r="H21" s="42"/>
      <c r="I21" s="31">
        <f t="shared" si="8"/>
        <v>99487.130129076264</v>
      </c>
      <c r="J21" s="34"/>
      <c r="K21" s="33">
        <f t="shared" si="1"/>
        <v>99487.130129076264</v>
      </c>
      <c r="L21" s="31">
        <f t="shared" si="9"/>
        <v>12.757368177475939</v>
      </c>
      <c r="M21" s="36"/>
      <c r="N21" s="32">
        <f t="shared" si="2"/>
        <v>3.1893420443689848</v>
      </c>
      <c r="O21" s="32">
        <f>L21*(1-$C$10)*Dashboard!G21</f>
        <v>0</v>
      </c>
      <c r="P21" s="33">
        <f t="shared" si="11"/>
        <v>9.5680261331069545</v>
      </c>
      <c r="Q21" s="31">
        <f t="shared" si="12"/>
        <v>135.6816100891705</v>
      </c>
      <c r="R21" s="32">
        <f t="shared" si="13"/>
        <v>4.2524560591586464</v>
      </c>
      <c r="S21" s="32">
        <f t="shared" si="3"/>
        <v>9.6915435777978924</v>
      </c>
      <c r="T21" s="32">
        <f>Q21*(1-$C$11)*Dashboard!G21</f>
        <v>0</v>
      </c>
      <c r="U21" s="32">
        <f t="shared" si="4"/>
        <v>6.992216094335312</v>
      </c>
      <c r="V21" s="33">
        <f t="shared" si="5"/>
        <v>123.25030647619596</v>
      </c>
      <c r="W21" s="31">
        <f t="shared" si="14"/>
        <v>148.43897826664644</v>
      </c>
      <c r="X21" s="32">
        <f t="shared" si="15"/>
        <v>5.6699414122115286</v>
      </c>
      <c r="Y21" s="33">
        <f t="shared" si="6"/>
        <v>154.10891967885797</v>
      </c>
      <c r="Z21" s="43">
        <f t="shared" si="7"/>
        <v>132.8183326093029</v>
      </c>
    </row>
    <row r="22" spans="2:26" s="2" customFormat="1" ht="16.2" x14ac:dyDescent="0.35">
      <c r="B22" s="9"/>
      <c r="C22" s="18"/>
      <c r="D22" s="10"/>
      <c r="E22" s="11" t="s">
        <v>394</v>
      </c>
      <c r="F22" s="12" t="s">
        <v>22</v>
      </c>
      <c r="G22" s="13">
        <v>20</v>
      </c>
      <c r="H22" s="42"/>
      <c r="I22" s="31">
        <f t="shared" si="8"/>
        <v>99487.130129076264</v>
      </c>
      <c r="J22" s="34"/>
      <c r="K22" s="33">
        <f t="shared" si="1"/>
        <v>99487.130129076264</v>
      </c>
      <c r="L22" s="31">
        <f t="shared" si="9"/>
        <v>9.5680261331069545</v>
      </c>
      <c r="M22" s="36"/>
      <c r="N22" s="32">
        <f t="shared" si="2"/>
        <v>2.3920065332767386</v>
      </c>
      <c r="O22" s="32">
        <f>L22*(1-$C$10)*Dashboard!G22</f>
        <v>0</v>
      </c>
      <c r="P22" s="33">
        <f t="shared" si="11"/>
        <v>7.1760195998302159</v>
      </c>
      <c r="Q22" s="31">
        <f t="shared" si="12"/>
        <v>123.25030647619596</v>
      </c>
      <c r="R22" s="32">
        <f t="shared" si="13"/>
        <v>3.1893420443689848</v>
      </c>
      <c r="S22" s="32">
        <f t="shared" si="3"/>
        <v>8.8035933197282823</v>
      </c>
      <c r="T22" s="32">
        <f>Q22*(1-$C$11)*Dashboard!G22</f>
        <v>0</v>
      </c>
      <c r="U22" s="32">
        <f t="shared" si="4"/>
        <v>6.3515812939442826</v>
      </c>
      <c r="V22" s="33">
        <f t="shared" si="5"/>
        <v>111.28447390689239</v>
      </c>
      <c r="W22" s="31">
        <f t="shared" si="14"/>
        <v>132.8183326093029</v>
      </c>
      <c r="X22" s="32">
        <f t="shared" si="15"/>
        <v>4.2524560591586464</v>
      </c>
      <c r="Y22" s="33">
        <f t="shared" si="6"/>
        <v>137.07078866846155</v>
      </c>
      <c r="Z22" s="43">
        <f t="shared" si="7"/>
        <v>118.4604935067226</v>
      </c>
    </row>
    <row r="23" spans="2:26" s="2" customFormat="1" ht="16.2" x14ac:dyDescent="0.35">
      <c r="B23" s="9"/>
      <c r="C23" s="18"/>
      <c r="D23" s="10"/>
      <c r="E23" s="11" t="s">
        <v>395</v>
      </c>
      <c r="F23" s="12" t="s">
        <v>13</v>
      </c>
      <c r="G23" s="13">
        <v>21</v>
      </c>
      <c r="H23" s="42"/>
      <c r="I23" s="31">
        <f t="shared" si="8"/>
        <v>99487.130129076264</v>
      </c>
      <c r="J23" s="34"/>
      <c r="K23" s="33">
        <f t="shared" si="1"/>
        <v>99487.130129076264</v>
      </c>
      <c r="L23" s="31">
        <f t="shared" si="9"/>
        <v>7.1760195998302159</v>
      </c>
      <c r="M23" s="36"/>
      <c r="N23" s="32">
        <f t="shared" si="2"/>
        <v>1.794004899957554</v>
      </c>
      <c r="O23" s="32">
        <f>L23*(1-$C$10)*Dashboard!G23</f>
        <v>0</v>
      </c>
      <c r="P23" s="33">
        <f t="shared" si="11"/>
        <v>5.3820146998726619</v>
      </c>
      <c r="Q23" s="31">
        <f t="shared" si="12"/>
        <v>111.28447390689239</v>
      </c>
      <c r="R23" s="32">
        <f t="shared" si="13"/>
        <v>2.3920065332767386</v>
      </c>
      <c r="S23" s="32">
        <f t="shared" si="3"/>
        <v>7.9488909933494556</v>
      </c>
      <c r="T23" s="32">
        <f>Q23*(1-$C$11)*Dashboard!G23</f>
        <v>0</v>
      </c>
      <c r="U23" s="32">
        <f t="shared" si="4"/>
        <v>5.7349340783177922</v>
      </c>
      <c r="V23" s="33">
        <f t="shared" si="5"/>
        <v>99.992655368501886</v>
      </c>
      <c r="W23" s="31">
        <f t="shared" si="14"/>
        <v>118.4604935067226</v>
      </c>
      <c r="X23" s="32">
        <f t="shared" si="15"/>
        <v>3.1893420443689848</v>
      </c>
      <c r="Y23" s="33">
        <f t="shared" si="6"/>
        <v>121.64983555109158</v>
      </c>
      <c r="Z23" s="43">
        <f t="shared" si="7"/>
        <v>105.37467006837454</v>
      </c>
    </row>
    <row r="24" spans="2:26" s="2" customFormat="1" ht="16.8" thickBot="1" x14ac:dyDescent="0.4">
      <c r="B24" s="20"/>
      <c r="C24" s="21"/>
      <c r="D24" s="10"/>
      <c r="E24" s="22" t="s">
        <v>396</v>
      </c>
      <c r="F24" s="23" t="s">
        <v>23</v>
      </c>
      <c r="G24" s="24">
        <v>22</v>
      </c>
      <c r="H24" s="42"/>
      <c r="I24" s="37">
        <f t="shared" si="8"/>
        <v>99487.130129076264</v>
      </c>
      <c r="J24" s="38"/>
      <c r="K24" s="39">
        <f t="shared" si="1"/>
        <v>99487.130129076264</v>
      </c>
      <c r="L24" s="37">
        <f t="shared" si="9"/>
        <v>5.3820146998726619</v>
      </c>
      <c r="M24" s="38"/>
      <c r="N24" s="40">
        <f t="shared" si="2"/>
        <v>1.3455036749681655</v>
      </c>
      <c r="O24" s="40">
        <f>L24*(1-$C$10)*Dashboard!G24</f>
        <v>0.86112235197962606</v>
      </c>
      <c r="P24" s="39">
        <f t="shared" si="11"/>
        <v>3.1753886729248704</v>
      </c>
      <c r="Q24" s="31">
        <f t="shared" si="12"/>
        <v>99.992655368501886</v>
      </c>
      <c r="R24" s="40">
        <f t="shared" si="13"/>
        <v>1.794004899957554</v>
      </c>
      <c r="S24" s="40">
        <f t="shared" si="3"/>
        <v>7.1423325263215629</v>
      </c>
      <c r="T24" s="40">
        <f>Q24*(1-$C$11)*Dashboard!G24</f>
        <v>70.994785311636335</v>
      </c>
      <c r="U24" s="40">
        <f t="shared" si="4"/>
        <v>5.1530215017603753</v>
      </c>
      <c r="V24" s="39">
        <f t="shared" si="5"/>
        <v>18.496520928741166</v>
      </c>
      <c r="W24" s="37">
        <f t="shared" si="14"/>
        <v>105.37467006837454</v>
      </c>
      <c r="X24" s="40">
        <f t="shared" si="15"/>
        <v>2.3920065332767386</v>
      </c>
      <c r="Y24" s="33">
        <f t="shared" si="6"/>
        <v>107.76667660165128</v>
      </c>
      <c r="Z24" s="44">
        <f t="shared" si="7"/>
        <v>21.671909601666037</v>
      </c>
    </row>
    <row r="25" spans="2:26" s="2" customFormat="1" ht="4.95" customHeight="1" thickBot="1" x14ac:dyDescent="0.4">
      <c r="B25" s="25"/>
      <c r="C25" s="26"/>
      <c r="D25" s="10"/>
      <c r="E25" s="14"/>
      <c r="F25" s="14"/>
      <c r="G25" s="14"/>
      <c r="H25" s="14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2:26" s="2" customFormat="1" ht="16.2" customHeight="1" thickBot="1" x14ac:dyDescent="0.4">
      <c r="B26" s="190">
        <v>1</v>
      </c>
      <c r="C26" s="192"/>
      <c r="D26" s="8"/>
      <c r="E26" s="190">
        <v>2</v>
      </c>
      <c r="F26" s="191"/>
      <c r="G26" s="192"/>
      <c r="H26" s="8"/>
      <c r="I26" s="190">
        <v>3</v>
      </c>
      <c r="J26" s="191"/>
      <c r="K26" s="192"/>
      <c r="L26" s="190">
        <v>4</v>
      </c>
      <c r="M26" s="191"/>
      <c r="N26" s="191"/>
      <c r="O26" s="191"/>
      <c r="P26" s="192"/>
      <c r="Q26" s="190">
        <v>5</v>
      </c>
      <c r="R26" s="191"/>
      <c r="S26" s="191"/>
      <c r="T26" s="191"/>
      <c r="U26" s="191"/>
      <c r="V26" s="192"/>
      <c r="W26" s="190">
        <v>6</v>
      </c>
      <c r="X26" s="191"/>
      <c r="Y26" s="192"/>
      <c r="Z26" s="28">
        <v>7</v>
      </c>
    </row>
    <row r="27" spans="2:26" s="2" customFormat="1" ht="34.950000000000003" customHeight="1" x14ac:dyDescent="0.3">
      <c r="B27" s="4"/>
      <c r="C27" s="3"/>
      <c r="E27" s="3"/>
      <c r="F27" s="3"/>
      <c r="G27" s="3"/>
      <c r="H27" s="3"/>
      <c r="I27" s="3"/>
      <c r="J27" s="3"/>
    </row>
    <row r="28" spans="2:26" s="2" customFormat="1" x14ac:dyDescent="0.3">
      <c r="B28" s="4"/>
      <c r="C28" s="3"/>
      <c r="E28" s="3"/>
      <c r="F28" s="3"/>
      <c r="G28" s="3"/>
      <c r="H28" s="3"/>
      <c r="I28" s="3"/>
      <c r="J28" s="3"/>
    </row>
  </sheetData>
  <mergeCells count="6">
    <mergeCell ref="W26:Y26"/>
    <mergeCell ref="B26:C26"/>
    <mergeCell ref="E26:G26"/>
    <mergeCell ref="I26:K26"/>
    <mergeCell ref="L26:P26"/>
    <mergeCell ref="Q26:V2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DFE8-2040-4F02-8E2E-5164331530F3}">
  <dimension ref="A1:AA28"/>
  <sheetViews>
    <sheetView workbookViewId="0">
      <selection activeCell="F10" sqref="F10"/>
    </sheetView>
  </sheetViews>
  <sheetFormatPr defaultRowHeight="15.6" x14ac:dyDescent="0.3"/>
  <cols>
    <col min="1" max="1" width="1.88671875" style="2" customWidth="1"/>
    <col min="2" max="2" width="4.88671875" style="5" customWidth="1"/>
    <col min="3" max="3" width="11.33203125" style="1" customWidth="1"/>
    <col min="4" max="4" width="2.6640625" style="2" customWidth="1"/>
    <col min="5" max="5" width="6" style="1" bestFit="1" customWidth="1"/>
    <col min="6" max="6" width="10.88671875" style="1" bestFit="1" customWidth="1"/>
    <col min="7" max="7" width="3" style="1" bestFit="1" customWidth="1"/>
    <col min="8" max="8" width="1.44140625" style="3" customWidth="1"/>
    <col min="9" max="9" width="8.88671875" style="1" bestFit="1" customWidth="1"/>
    <col min="10" max="10" width="7.6640625" style="1" bestFit="1" customWidth="1"/>
    <col min="11" max="12" width="9.33203125" bestFit="1" customWidth="1"/>
    <col min="13" max="13" width="10.44140625" bestFit="1" customWidth="1"/>
    <col min="14" max="14" width="9.33203125" bestFit="1" customWidth="1"/>
    <col min="15" max="15" width="9.6640625" bestFit="1" customWidth="1"/>
    <col min="16" max="16" width="7.5546875" customWidth="1"/>
    <col min="17" max="17" width="6.6640625" bestFit="1" customWidth="1"/>
    <col min="18" max="18" width="9.33203125" bestFit="1" customWidth="1"/>
    <col min="19" max="19" width="8.33203125" bestFit="1" customWidth="1"/>
    <col min="20" max="20" width="8.88671875" bestFit="1" customWidth="1"/>
    <col min="21" max="21" width="10.5546875" bestFit="1" customWidth="1"/>
    <col min="22" max="22" width="5.44140625" bestFit="1" customWidth="1"/>
    <col min="23" max="23" width="7.6640625" bestFit="1" customWidth="1"/>
    <col min="24" max="24" width="8.33203125" bestFit="1" customWidth="1"/>
    <col min="25" max="25" width="6.44140625" bestFit="1" customWidth="1"/>
    <col min="26" max="26" width="7.44140625" customWidth="1"/>
    <col min="27" max="27" width="10.109375" style="2" customWidth="1"/>
  </cols>
  <sheetData>
    <row r="1" spans="2:26" s="2" customFormat="1" ht="6.6" customHeight="1" thickBot="1" x14ac:dyDescent="0.35">
      <c r="B1" s="4"/>
      <c r="C1" s="3"/>
      <c r="E1" s="3"/>
      <c r="F1" s="3"/>
      <c r="G1" s="3"/>
      <c r="H1" s="3"/>
      <c r="I1" s="3"/>
      <c r="J1" s="3"/>
    </row>
    <row r="2" spans="2:26" s="2" customFormat="1" ht="20.399999999999999" customHeight="1" x14ac:dyDescent="0.5">
      <c r="B2" s="29" t="s">
        <v>39</v>
      </c>
      <c r="C2" s="6" t="s">
        <v>0</v>
      </c>
      <c r="D2" s="7"/>
      <c r="E2" s="46" t="s">
        <v>469</v>
      </c>
      <c r="F2" s="47" t="s">
        <v>470</v>
      </c>
      <c r="G2" s="48" t="s">
        <v>468</v>
      </c>
      <c r="H2" s="8"/>
      <c r="I2" s="46" t="s">
        <v>471</v>
      </c>
      <c r="J2" s="49" t="s">
        <v>472</v>
      </c>
      <c r="K2" s="48" t="s">
        <v>473</v>
      </c>
      <c r="L2" s="46" t="s">
        <v>474</v>
      </c>
      <c r="M2" s="47" t="s">
        <v>475</v>
      </c>
      <c r="N2" s="47" t="s">
        <v>479</v>
      </c>
      <c r="O2" s="47" t="s">
        <v>476</v>
      </c>
      <c r="P2" s="48" t="s">
        <v>477</v>
      </c>
      <c r="Q2" s="50" t="s">
        <v>478</v>
      </c>
      <c r="R2" s="47" t="s">
        <v>479</v>
      </c>
      <c r="S2" s="47" t="s">
        <v>484</v>
      </c>
      <c r="T2" s="47" t="s">
        <v>480</v>
      </c>
      <c r="U2" s="47" t="s">
        <v>481</v>
      </c>
      <c r="V2" s="48" t="s">
        <v>482</v>
      </c>
      <c r="W2" s="46" t="s">
        <v>483</v>
      </c>
      <c r="X2" s="47" t="s">
        <v>484</v>
      </c>
      <c r="Y2" s="48" t="s">
        <v>485</v>
      </c>
      <c r="Z2" s="51" t="s">
        <v>564</v>
      </c>
    </row>
    <row r="3" spans="2:26" s="2" customFormat="1" ht="18" x14ac:dyDescent="0.35">
      <c r="B3" s="45" t="s">
        <v>24</v>
      </c>
      <c r="C3" s="121">
        <f>Dashboard!D5</f>
        <v>100000</v>
      </c>
      <c r="D3" s="10"/>
      <c r="E3" s="11" t="s">
        <v>1</v>
      </c>
      <c r="F3" s="12" t="s">
        <v>2</v>
      </c>
      <c r="G3" s="13">
        <v>1</v>
      </c>
      <c r="H3" s="42"/>
      <c r="I3" s="31">
        <f>C3-L3-Q3-W3</f>
        <v>99995.381504999998</v>
      </c>
      <c r="J3" s="32">
        <f>I3*$C$14*$C$19</f>
        <v>4.6182816950393493</v>
      </c>
      <c r="K3" s="33">
        <f>I3-J3</f>
        <v>99990.763223304952</v>
      </c>
      <c r="L3" s="31">
        <f>C3*$C$14*$C$19*0.5</f>
        <v>2.3092474999999997</v>
      </c>
      <c r="M3" s="32">
        <v>0</v>
      </c>
      <c r="N3" s="32">
        <f>L3*$C$6</f>
        <v>0.57731187499999992</v>
      </c>
      <c r="O3" s="34"/>
      <c r="P3" s="33">
        <f>L3+M3-N3-O3</f>
        <v>1.7319356249999998</v>
      </c>
      <c r="Q3" s="31">
        <f>C3*$C$14*$C$19*0.5</f>
        <v>2.3092474999999997</v>
      </c>
      <c r="R3" s="32">
        <v>0</v>
      </c>
      <c r="S3" s="32">
        <f>Q3*$C$8</f>
        <v>0.16494624999999996</v>
      </c>
      <c r="T3" s="34"/>
      <c r="U3" s="32">
        <f>Q3*$C$9*(1-$C$21)</f>
        <v>5.571983292749999E-2</v>
      </c>
      <c r="V3" s="33">
        <f>Q3+R3-S3-T3-U3</f>
        <v>2.0885814170724997</v>
      </c>
      <c r="W3" s="31">
        <v>0</v>
      </c>
      <c r="X3" s="32">
        <v>0</v>
      </c>
      <c r="Y3" s="33">
        <f>W3+X3</f>
        <v>0</v>
      </c>
      <c r="Z3" s="43">
        <f>P3+V3</f>
        <v>3.8205170420724994</v>
      </c>
    </row>
    <row r="4" spans="2:26" s="2" customFormat="1" ht="18" x14ac:dyDescent="0.35">
      <c r="B4" s="45" t="s">
        <v>25</v>
      </c>
      <c r="C4" s="121">
        <f>C14*2</f>
        <v>9.7999999999999997E-5</v>
      </c>
      <c r="D4" s="10"/>
      <c r="E4" s="11" t="s">
        <v>1</v>
      </c>
      <c r="F4" s="12" t="s">
        <v>2</v>
      </c>
      <c r="G4" s="13">
        <v>2</v>
      </c>
      <c r="H4" s="42"/>
      <c r="I4" s="31">
        <f>K3</f>
        <v>99990.763223304952</v>
      </c>
      <c r="J4" s="32">
        <f t="shared" ref="J4:J8" si="0">I4*$C$14*$C$19</f>
        <v>4.6180683999301779</v>
      </c>
      <c r="K4" s="33">
        <f t="shared" ref="K4:K24" si="1">I4-J4</f>
        <v>99986.145154905025</v>
      </c>
      <c r="L4" s="31">
        <f>P3</f>
        <v>1.7319356249999998</v>
      </c>
      <c r="M4" s="32">
        <f>J3</f>
        <v>4.6182816950393493</v>
      </c>
      <c r="N4" s="32">
        <f t="shared" ref="N4:N24" si="2">L4*$C$6</f>
        <v>0.43298390624999994</v>
      </c>
      <c r="O4" s="34"/>
      <c r="P4" s="33">
        <f>L4+M4-N4-O4</f>
        <v>5.917233413789349</v>
      </c>
      <c r="Q4" s="31">
        <f>V3</f>
        <v>2.0885814170724997</v>
      </c>
      <c r="R4" s="32">
        <f>N3</f>
        <v>0.57731187499999992</v>
      </c>
      <c r="S4" s="32">
        <f t="shared" ref="S4:S24" si="3">Q4*$C$8</f>
        <v>0.14918438693374997</v>
      </c>
      <c r="T4" s="34"/>
      <c r="U4" s="32">
        <f t="shared" ref="U4:U24" si="4">Q4*$C$9*(1-$C$21)</f>
        <v>5.0395381012542345E-2</v>
      </c>
      <c r="V4" s="33">
        <f t="shared" ref="V4:V24" si="5">Q4+R4-S4-T4-U4</f>
        <v>2.4663135241262073</v>
      </c>
      <c r="W4" s="31">
        <f>Z3</f>
        <v>3.8205170420724994</v>
      </c>
      <c r="X4" s="32">
        <f>R3</f>
        <v>0</v>
      </c>
      <c r="Y4" s="33">
        <f t="shared" ref="Y4:Y24" si="6">W4+X4</f>
        <v>3.8205170420724994</v>
      </c>
      <c r="Z4" s="43">
        <f t="shared" ref="Z4:Z24" si="7">P4+V4</f>
        <v>8.3835469379155558</v>
      </c>
    </row>
    <row r="5" spans="2:26" s="2" customFormat="1" ht="18" x14ac:dyDescent="0.35">
      <c r="B5" s="45" t="s">
        <v>28</v>
      </c>
      <c r="C5" s="121">
        <f>Dashboard!D6</f>
        <v>4</v>
      </c>
      <c r="D5" s="10"/>
      <c r="E5" s="11" t="s">
        <v>3</v>
      </c>
      <c r="F5" s="12" t="s">
        <v>4</v>
      </c>
      <c r="G5" s="13">
        <v>3</v>
      </c>
      <c r="H5" s="42"/>
      <c r="I5" s="31">
        <f t="shared" ref="I5:I24" si="8">K4</f>
        <v>99986.145154905025</v>
      </c>
      <c r="J5" s="32">
        <f t="shared" si="0"/>
        <v>4.6178551146720306</v>
      </c>
      <c r="K5" s="33">
        <f t="shared" si="1"/>
        <v>99981.527299790352</v>
      </c>
      <c r="L5" s="31">
        <f t="shared" ref="L5:L24" si="9">P4</f>
        <v>5.917233413789349</v>
      </c>
      <c r="M5" s="32">
        <f t="shared" ref="M5:M10" si="10">J4</f>
        <v>4.6180683999301779</v>
      </c>
      <c r="N5" s="32">
        <f t="shared" si="2"/>
        <v>1.4793083534473372</v>
      </c>
      <c r="O5" s="32">
        <f>L5*(1-$C$10)*Dashboard!G5</f>
        <v>0</v>
      </c>
      <c r="P5" s="33">
        <f t="shared" ref="P5:P24" si="11">L5+M5-N5-O5</f>
        <v>9.055993460272191</v>
      </c>
      <c r="Q5" s="31">
        <f t="shared" ref="Q5:Q24" si="12">V4</f>
        <v>2.4663135241262073</v>
      </c>
      <c r="R5" s="32">
        <f t="shared" ref="R5:R24" si="13">N4</f>
        <v>0.43298390624999994</v>
      </c>
      <c r="S5" s="32">
        <f t="shared" si="3"/>
        <v>0.17616525172330053</v>
      </c>
      <c r="T5" s="32">
        <f>Q5*(1-$C$11)*Dashboard!G5</f>
        <v>0</v>
      </c>
      <c r="U5" s="32">
        <f t="shared" si="4"/>
        <v>5.9509679023641252E-2</v>
      </c>
      <c r="V5" s="33">
        <f t="shared" si="5"/>
        <v>2.6636224996292657</v>
      </c>
      <c r="W5" s="31">
        <f t="shared" ref="W5:W24" si="14">Z4</f>
        <v>8.3835469379155558</v>
      </c>
      <c r="X5" s="32">
        <f t="shared" ref="X5:X24" si="15">R4</f>
        <v>0.57731187499999992</v>
      </c>
      <c r="Y5" s="33">
        <f>W5+X5</f>
        <v>8.9608588129155553</v>
      </c>
      <c r="Z5" s="43">
        <f t="shared" si="7"/>
        <v>11.719615959901457</v>
      </c>
    </row>
    <row r="6" spans="2:26" s="2" customFormat="1" ht="18" x14ac:dyDescent="0.35">
      <c r="B6" s="45" t="s">
        <v>26</v>
      </c>
      <c r="C6" s="122">
        <f>1/C5</f>
        <v>0.25</v>
      </c>
      <c r="D6" s="10"/>
      <c r="E6" s="11" t="s">
        <v>5</v>
      </c>
      <c r="F6" s="12" t="s">
        <v>6</v>
      </c>
      <c r="G6" s="13">
        <v>4</v>
      </c>
      <c r="H6" s="42"/>
      <c r="I6" s="31">
        <f t="shared" si="8"/>
        <v>99981.527299790352</v>
      </c>
      <c r="J6" s="32">
        <f t="shared" si="0"/>
        <v>4.6176418392644525</v>
      </c>
      <c r="K6" s="33">
        <f t="shared" si="1"/>
        <v>99976.909657951081</v>
      </c>
      <c r="L6" s="31">
        <f t="shared" si="9"/>
        <v>9.055993460272191</v>
      </c>
      <c r="M6" s="32">
        <f t="shared" si="10"/>
        <v>4.6178551146720306</v>
      </c>
      <c r="N6" s="32">
        <f t="shared" si="2"/>
        <v>2.2639983650680477</v>
      </c>
      <c r="O6" s="32">
        <f>L6*(1-$C$10)*Dashboard!G6</f>
        <v>0</v>
      </c>
      <c r="P6" s="33">
        <f t="shared" si="11"/>
        <v>11.409850209876174</v>
      </c>
      <c r="Q6" s="31">
        <f t="shared" si="12"/>
        <v>2.6636224996292657</v>
      </c>
      <c r="R6" s="32">
        <f t="shared" si="13"/>
        <v>1.4793083534473372</v>
      </c>
      <c r="S6" s="32">
        <f t="shared" si="3"/>
        <v>0.19025874997351896</v>
      </c>
      <c r="T6" s="32">
        <f>Q6*(1-$C$11)*Dashboard!G6</f>
        <v>0</v>
      </c>
      <c r="U6" s="32">
        <f t="shared" si="4"/>
        <v>6.4270547293554553E-2</v>
      </c>
      <c r="V6" s="33">
        <f t="shared" si="5"/>
        <v>3.8884015558095295</v>
      </c>
      <c r="W6" s="31">
        <f t="shared" si="14"/>
        <v>11.719615959901457</v>
      </c>
      <c r="X6" s="32">
        <f t="shared" si="15"/>
        <v>0.43298390624999994</v>
      </c>
      <c r="Y6" s="33">
        <f t="shared" si="6"/>
        <v>12.152599866151457</v>
      </c>
      <c r="Z6" s="43">
        <f t="shared" si="7"/>
        <v>15.298251765685704</v>
      </c>
    </row>
    <row r="7" spans="2:26" s="2" customFormat="1" ht="18" x14ac:dyDescent="0.35">
      <c r="B7" s="45" t="s">
        <v>29</v>
      </c>
      <c r="C7" s="121">
        <f>Dashboard!D8</f>
        <v>14</v>
      </c>
      <c r="D7" s="10"/>
      <c r="E7" s="11" t="s">
        <v>5</v>
      </c>
      <c r="F7" s="12" t="s">
        <v>7</v>
      </c>
      <c r="G7" s="13">
        <v>5</v>
      </c>
      <c r="H7" s="42"/>
      <c r="I7" s="31">
        <f t="shared" si="8"/>
        <v>99976.909657951081</v>
      </c>
      <c r="J7" s="32">
        <f t="shared" si="0"/>
        <v>4.6174285737069871</v>
      </c>
      <c r="K7" s="33">
        <f t="shared" si="1"/>
        <v>99972.292229377374</v>
      </c>
      <c r="L7" s="31">
        <f t="shared" si="9"/>
        <v>11.409850209876174</v>
      </c>
      <c r="M7" s="32">
        <f t="shared" si="10"/>
        <v>4.6176418392644525</v>
      </c>
      <c r="N7" s="32">
        <f t="shared" si="2"/>
        <v>2.8524625524690435</v>
      </c>
      <c r="O7" s="32">
        <f>L7*(1-$C$10)*Dashboard!G7</f>
        <v>0</v>
      </c>
      <c r="P7" s="33">
        <f t="shared" si="11"/>
        <v>13.175029496671582</v>
      </c>
      <c r="Q7" s="31">
        <f t="shared" si="12"/>
        <v>3.8884015558095295</v>
      </c>
      <c r="R7" s="32">
        <f t="shared" si="13"/>
        <v>2.2639983650680477</v>
      </c>
      <c r="S7" s="32">
        <f t="shared" si="3"/>
        <v>0.27774296827210926</v>
      </c>
      <c r="T7" s="32">
        <f>Q7*(1-$C$11)*Dashboard!G7</f>
        <v>0</v>
      </c>
      <c r="U7" s="32">
        <f>Q7*$C$9*(1-$C$21)</f>
        <v>9.3823241140128133E-2</v>
      </c>
      <c r="V7" s="33">
        <f t="shared" si="5"/>
        <v>5.7808337114653403</v>
      </c>
      <c r="W7" s="31">
        <f t="shared" si="14"/>
        <v>15.298251765685704</v>
      </c>
      <c r="X7" s="32">
        <f t="shared" si="15"/>
        <v>1.4793083534473372</v>
      </c>
      <c r="Y7" s="33">
        <f t="shared" si="6"/>
        <v>16.777560119133042</v>
      </c>
      <c r="Z7" s="43">
        <f t="shared" si="7"/>
        <v>18.955863208136922</v>
      </c>
    </row>
    <row r="8" spans="2:26" s="2" customFormat="1" ht="18" x14ac:dyDescent="0.35">
      <c r="B8" s="45" t="s">
        <v>27</v>
      </c>
      <c r="C8" s="122">
        <f>1/C7</f>
        <v>7.1428571428571425E-2</v>
      </c>
      <c r="D8" s="10"/>
      <c r="E8" s="11" t="s">
        <v>467</v>
      </c>
      <c r="F8" s="12" t="s">
        <v>8</v>
      </c>
      <c r="G8" s="13">
        <v>6</v>
      </c>
      <c r="H8" s="42"/>
      <c r="I8" s="31">
        <f t="shared" si="8"/>
        <v>99972.292229377374</v>
      </c>
      <c r="J8" s="32">
        <f t="shared" si="0"/>
        <v>4.6172153179991824</v>
      </c>
      <c r="K8" s="33">
        <f t="shared" si="1"/>
        <v>99967.675014059379</v>
      </c>
      <c r="L8" s="31">
        <f t="shared" si="9"/>
        <v>13.175029496671582</v>
      </c>
      <c r="M8" s="32">
        <f t="shared" si="10"/>
        <v>4.6174285737069871</v>
      </c>
      <c r="N8" s="32">
        <f t="shared" si="2"/>
        <v>3.2937573741678956</v>
      </c>
      <c r="O8" s="32">
        <f>L8*(1-$C$10)*Dashboard!G8</f>
        <v>0</v>
      </c>
      <c r="P8" s="33">
        <f t="shared" si="11"/>
        <v>14.498700696210673</v>
      </c>
      <c r="Q8" s="31">
        <f t="shared" si="12"/>
        <v>5.7808337114653403</v>
      </c>
      <c r="R8" s="32">
        <f t="shared" si="13"/>
        <v>2.8524625524690435</v>
      </c>
      <c r="S8" s="32">
        <f t="shared" si="3"/>
        <v>0.41291669367609574</v>
      </c>
      <c r="T8" s="32">
        <f>Q8*(1-$C$11)*Dashboard!G8</f>
        <v>0</v>
      </c>
      <c r="U8" s="32">
        <f t="shared" si="4"/>
        <v>0.1394857366239472</v>
      </c>
      <c r="V8" s="33">
        <f t="shared" si="5"/>
        <v>8.0808938336343417</v>
      </c>
      <c r="W8" s="31">
        <f t="shared" si="14"/>
        <v>18.955863208136922</v>
      </c>
      <c r="X8" s="32">
        <f t="shared" si="15"/>
        <v>2.2639983650680477</v>
      </c>
      <c r="Y8" s="33">
        <f t="shared" si="6"/>
        <v>21.21986157320497</v>
      </c>
      <c r="Z8" s="43">
        <f t="shared" si="7"/>
        <v>22.579594529845014</v>
      </c>
    </row>
    <row r="9" spans="2:26" s="2" customFormat="1" ht="18" x14ac:dyDescent="0.35">
      <c r="B9" s="45" t="s">
        <v>30</v>
      </c>
      <c r="C9" s="122">
        <f>Dashboard!D11</f>
        <v>0.18</v>
      </c>
      <c r="D9" s="10"/>
      <c r="E9" s="11" t="s">
        <v>9</v>
      </c>
      <c r="F9" s="12" t="s">
        <v>10</v>
      </c>
      <c r="G9" s="13">
        <v>7</v>
      </c>
      <c r="H9" s="42"/>
      <c r="I9" s="31">
        <f t="shared" si="8"/>
        <v>99967.675014059379</v>
      </c>
      <c r="J9" s="32">
        <f>I9*$C$4*$C$19</f>
        <v>9.2340041442811636</v>
      </c>
      <c r="K9" s="33">
        <f t="shared" si="1"/>
        <v>99958.441009915099</v>
      </c>
      <c r="L9" s="31">
        <f t="shared" si="9"/>
        <v>14.498700696210673</v>
      </c>
      <c r="M9" s="35">
        <f t="shared" si="10"/>
        <v>4.6172153179991824</v>
      </c>
      <c r="N9" s="32">
        <f t="shared" si="2"/>
        <v>3.6246751740526681</v>
      </c>
      <c r="O9" s="34"/>
      <c r="P9" s="33">
        <f t="shared" si="11"/>
        <v>15.491240840157186</v>
      </c>
      <c r="Q9" s="31">
        <f t="shared" si="12"/>
        <v>8.0808938336343417</v>
      </c>
      <c r="R9" s="32">
        <f t="shared" si="13"/>
        <v>3.2937573741678956</v>
      </c>
      <c r="S9" s="32">
        <f t="shared" si="3"/>
        <v>0.57720670240245298</v>
      </c>
      <c r="T9" s="34"/>
      <c r="U9" s="32">
        <f t="shared" si="4"/>
        <v>0.19498388731176303</v>
      </c>
      <c r="V9" s="33">
        <f t="shared" si="5"/>
        <v>10.602460618088022</v>
      </c>
      <c r="W9" s="31">
        <f t="shared" si="14"/>
        <v>22.579594529845014</v>
      </c>
      <c r="X9" s="32">
        <f t="shared" si="15"/>
        <v>2.8524625524690435</v>
      </c>
      <c r="Y9" s="33">
        <f t="shared" si="6"/>
        <v>25.432057082314056</v>
      </c>
      <c r="Z9" s="43">
        <f t="shared" si="7"/>
        <v>26.093701458245206</v>
      </c>
    </row>
    <row r="10" spans="2:26" s="2" customFormat="1" ht="18" x14ac:dyDescent="0.35">
      <c r="B10" s="45" t="s">
        <v>31</v>
      </c>
      <c r="C10" s="122">
        <f>Dashboard!D14</f>
        <v>0.84</v>
      </c>
      <c r="D10" s="10"/>
      <c r="E10" s="15" t="s">
        <v>382</v>
      </c>
      <c r="F10" s="16" t="s">
        <v>583</v>
      </c>
      <c r="G10" s="17">
        <v>8</v>
      </c>
      <c r="H10" s="42"/>
      <c r="I10" s="31">
        <f t="shared" si="8"/>
        <v>99958.441009915099</v>
      </c>
      <c r="J10" s="34"/>
      <c r="K10" s="33">
        <f t="shared" si="1"/>
        <v>99958.441009915099</v>
      </c>
      <c r="L10" s="31">
        <f t="shared" si="9"/>
        <v>15.491240840157186</v>
      </c>
      <c r="M10" s="35">
        <f t="shared" si="10"/>
        <v>9.2340041442811636</v>
      </c>
      <c r="N10" s="32">
        <f t="shared" si="2"/>
        <v>3.8728102100392965</v>
      </c>
      <c r="O10" s="32">
        <f>L10*(1-$C$10)*Dashboard!G9</f>
        <v>2.4785985344251502</v>
      </c>
      <c r="P10" s="33">
        <f>L10+M10-N10-O10</f>
        <v>18.373836239973901</v>
      </c>
      <c r="Q10" s="31">
        <f t="shared" si="12"/>
        <v>10.602460618088022</v>
      </c>
      <c r="R10" s="32">
        <f t="shared" si="13"/>
        <v>3.6246751740526681</v>
      </c>
      <c r="S10" s="32">
        <f t="shared" si="3"/>
        <v>0.75731861557771585</v>
      </c>
      <c r="T10" s="32">
        <f>Q10*(1-$C$11)*Dashboard!G9</f>
        <v>7.5277470388424952</v>
      </c>
      <c r="U10" s="32">
        <f t="shared" si="4"/>
        <v>0.25582677225384587</v>
      </c>
      <c r="V10" s="33">
        <f t="shared" si="5"/>
        <v>5.6862433654666322</v>
      </c>
      <c r="W10" s="31">
        <f t="shared" si="14"/>
        <v>26.093701458245206</v>
      </c>
      <c r="X10" s="32">
        <f t="shared" si="15"/>
        <v>3.2937573741678956</v>
      </c>
      <c r="Y10" s="33">
        <f t="shared" si="6"/>
        <v>29.387458832413103</v>
      </c>
      <c r="Z10" s="43">
        <f t="shared" si="7"/>
        <v>24.060079605440535</v>
      </c>
    </row>
    <row r="11" spans="2:26" s="2" customFormat="1" ht="18" x14ac:dyDescent="0.35">
      <c r="B11" s="45" t="s">
        <v>32</v>
      </c>
      <c r="C11" s="122">
        <f>Dashboard!D15</f>
        <v>0.28999999999999998</v>
      </c>
      <c r="D11" s="10"/>
      <c r="E11" s="11" t="s">
        <v>383</v>
      </c>
      <c r="F11" s="12" t="s">
        <v>11</v>
      </c>
      <c r="G11" s="13">
        <v>9</v>
      </c>
      <c r="H11" s="42"/>
      <c r="I11" s="31">
        <f t="shared" si="8"/>
        <v>99958.441009915099</v>
      </c>
      <c r="J11" s="34"/>
      <c r="K11" s="33">
        <f t="shared" si="1"/>
        <v>99958.441009915099</v>
      </c>
      <c r="L11" s="31">
        <f>P10</f>
        <v>18.373836239973901</v>
      </c>
      <c r="M11" s="36"/>
      <c r="N11" s="32">
        <f t="shared" si="2"/>
        <v>4.5934590599934753</v>
      </c>
      <c r="O11" s="32">
        <f>L11*(1-$C$10)*Dashboard!G11</f>
        <v>0</v>
      </c>
      <c r="P11" s="33">
        <f t="shared" si="11"/>
        <v>13.780377179980427</v>
      </c>
      <c r="Q11" s="31">
        <f t="shared" si="12"/>
        <v>5.6862433654666322</v>
      </c>
      <c r="R11" s="32">
        <f t="shared" si="13"/>
        <v>3.8728102100392965</v>
      </c>
      <c r="S11" s="32">
        <f t="shared" si="3"/>
        <v>0.40616024039047371</v>
      </c>
      <c r="T11" s="32">
        <f>Q11*(1-$C$11)*Dashboard!G11</f>
        <v>0</v>
      </c>
      <c r="U11" s="32">
        <f t="shared" si="4"/>
        <v>0.13720336616534437</v>
      </c>
      <c r="V11" s="33">
        <f t="shared" si="5"/>
        <v>9.0156899689501095</v>
      </c>
      <c r="W11" s="31">
        <f t="shared" si="14"/>
        <v>24.060079605440535</v>
      </c>
      <c r="X11" s="32">
        <f t="shared" si="15"/>
        <v>3.6246751740526681</v>
      </c>
      <c r="Y11" s="33">
        <f t="shared" si="6"/>
        <v>27.684754779493204</v>
      </c>
      <c r="Z11" s="43">
        <f t="shared" si="7"/>
        <v>22.796067148930536</v>
      </c>
    </row>
    <row r="12" spans="2:26" s="2" customFormat="1" ht="16.2" x14ac:dyDescent="0.35">
      <c r="B12" s="9"/>
      <c r="C12" s="119"/>
      <c r="D12" s="10"/>
      <c r="E12" s="11" t="s">
        <v>384</v>
      </c>
      <c r="F12" s="12" t="s">
        <v>12</v>
      </c>
      <c r="G12" s="13">
        <v>10</v>
      </c>
      <c r="H12" s="42"/>
      <c r="I12" s="31">
        <f t="shared" si="8"/>
        <v>99958.441009915099</v>
      </c>
      <c r="J12" s="34"/>
      <c r="K12" s="33">
        <f t="shared" si="1"/>
        <v>99958.441009915099</v>
      </c>
      <c r="L12" s="31">
        <f t="shared" si="9"/>
        <v>13.780377179980427</v>
      </c>
      <c r="M12" s="36"/>
      <c r="N12" s="32">
        <f t="shared" si="2"/>
        <v>3.4450942949951067</v>
      </c>
      <c r="O12" s="32">
        <f>L12*(1-$C$10)*Dashboard!G12</f>
        <v>0</v>
      </c>
      <c r="P12" s="33">
        <f t="shared" si="11"/>
        <v>10.33528288498532</v>
      </c>
      <c r="Q12" s="31">
        <f t="shared" si="12"/>
        <v>9.0156899689501095</v>
      </c>
      <c r="R12" s="32">
        <f t="shared" si="13"/>
        <v>4.5934590599934753</v>
      </c>
      <c r="S12" s="32">
        <f t="shared" si="3"/>
        <v>0.64397785492500781</v>
      </c>
      <c r="T12" s="32">
        <f>Q12*(1-$C$11)*Dashboard!G12</f>
        <v>0</v>
      </c>
      <c r="U12" s="32">
        <f t="shared" si="4"/>
        <v>0.21753958326079717</v>
      </c>
      <c r="V12" s="33">
        <f t="shared" si="5"/>
        <v>12.747631590757779</v>
      </c>
      <c r="W12" s="31">
        <f t="shared" si="14"/>
        <v>22.796067148930536</v>
      </c>
      <c r="X12" s="32">
        <f t="shared" si="15"/>
        <v>3.8728102100392965</v>
      </c>
      <c r="Y12" s="33">
        <f t="shared" si="6"/>
        <v>26.668877358969834</v>
      </c>
      <c r="Z12" s="43">
        <f t="shared" si="7"/>
        <v>23.082914475743099</v>
      </c>
    </row>
    <row r="13" spans="2:26" s="2" customFormat="1" ht="16.2" x14ac:dyDescent="0.35">
      <c r="B13" s="30" t="s">
        <v>40</v>
      </c>
      <c r="C13" s="123" t="s">
        <v>0</v>
      </c>
      <c r="D13" s="10"/>
      <c r="E13" s="11" t="s">
        <v>385</v>
      </c>
      <c r="F13" s="12" t="s">
        <v>13</v>
      </c>
      <c r="G13" s="13">
        <v>11</v>
      </c>
      <c r="H13" s="42"/>
      <c r="I13" s="31">
        <f t="shared" si="8"/>
        <v>99958.441009915099</v>
      </c>
      <c r="J13" s="34"/>
      <c r="K13" s="33">
        <f t="shared" si="1"/>
        <v>99958.441009915099</v>
      </c>
      <c r="L13" s="31">
        <f t="shared" si="9"/>
        <v>10.33528288498532</v>
      </c>
      <c r="M13" s="36"/>
      <c r="N13" s="32">
        <f t="shared" si="2"/>
        <v>2.58382072124633</v>
      </c>
      <c r="O13" s="32">
        <f>L13*(1-$C$10)*Dashboard!G13</f>
        <v>0</v>
      </c>
      <c r="P13" s="33">
        <f t="shared" si="11"/>
        <v>7.7514621637389904</v>
      </c>
      <c r="Q13" s="31">
        <f t="shared" si="12"/>
        <v>12.747631590757779</v>
      </c>
      <c r="R13" s="32">
        <f t="shared" si="13"/>
        <v>3.4450942949951067</v>
      </c>
      <c r="S13" s="32">
        <f t="shared" si="3"/>
        <v>0.91054511362555557</v>
      </c>
      <c r="T13" s="32">
        <f>Q13*(1-$C$11)*Dashboard!G13</f>
        <v>0</v>
      </c>
      <c r="U13" s="32">
        <f t="shared" si="4"/>
        <v>0.30758760265339441</v>
      </c>
      <c r="V13" s="33">
        <f t="shared" si="5"/>
        <v>14.974593169473936</v>
      </c>
      <c r="W13" s="31">
        <f t="shared" si="14"/>
        <v>23.082914475743099</v>
      </c>
      <c r="X13" s="32">
        <f t="shared" si="15"/>
        <v>4.5934590599934753</v>
      </c>
      <c r="Y13" s="33">
        <f t="shared" si="6"/>
        <v>27.676373535736573</v>
      </c>
      <c r="Z13" s="43">
        <f t="shared" si="7"/>
        <v>22.726055333212926</v>
      </c>
    </row>
    <row r="14" spans="2:26" s="2" customFormat="1" ht="18" x14ac:dyDescent="0.35">
      <c r="B14" s="45" t="s">
        <v>33</v>
      </c>
      <c r="C14" s="119">
        <f>Dashboard!D22</f>
        <v>4.8999999999999998E-5</v>
      </c>
      <c r="D14" s="10"/>
      <c r="E14" s="11" t="s">
        <v>386</v>
      </c>
      <c r="F14" s="12" t="s">
        <v>14</v>
      </c>
      <c r="G14" s="13">
        <v>12</v>
      </c>
      <c r="H14" s="42"/>
      <c r="I14" s="31">
        <f t="shared" si="8"/>
        <v>99958.441009915099</v>
      </c>
      <c r="J14" s="34"/>
      <c r="K14" s="33">
        <f t="shared" si="1"/>
        <v>99958.441009915099</v>
      </c>
      <c r="L14" s="31">
        <f t="shared" si="9"/>
        <v>7.7514621637389904</v>
      </c>
      <c r="M14" s="36"/>
      <c r="N14" s="32">
        <f t="shared" si="2"/>
        <v>1.9378655409347476</v>
      </c>
      <c r="O14" s="32">
        <f>L14*(1-$C$10)*Dashboard!G14</f>
        <v>0</v>
      </c>
      <c r="P14" s="33">
        <f t="shared" si="11"/>
        <v>5.8135966228042424</v>
      </c>
      <c r="Q14" s="31">
        <f t="shared" si="12"/>
        <v>14.974593169473936</v>
      </c>
      <c r="R14" s="32">
        <f t="shared" si="13"/>
        <v>2.58382072124633</v>
      </c>
      <c r="S14" s="32">
        <f t="shared" si="3"/>
        <v>1.0696137978195668</v>
      </c>
      <c r="T14" s="32">
        <f>Q14*(1-$C$11)*Dashboard!G14</f>
        <v>0</v>
      </c>
      <c r="U14" s="32">
        <f t="shared" si="4"/>
        <v>0.36132195858623661</v>
      </c>
      <c r="V14" s="33">
        <f t="shared" si="5"/>
        <v>16.127478134314462</v>
      </c>
      <c r="W14" s="31">
        <f t="shared" si="14"/>
        <v>22.726055333212926</v>
      </c>
      <c r="X14" s="32">
        <f t="shared" si="15"/>
        <v>3.4450942949951067</v>
      </c>
      <c r="Y14" s="33">
        <f t="shared" si="6"/>
        <v>26.171149628208035</v>
      </c>
      <c r="Z14" s="43">
        <f t="shared" si="7"/>
        <v>21.941074757118706</v>
      </c>
    </row>
    <row r="15" spans="2:26" s="2" customFormat="1" ht="18" x14ac:dyDescent="0.35">
      <c r="B15" s="45" t="s">
        <v>34</v>
      </c>
      <c r="C15" s="119">
        <f>Dashboard!D27</f>
        <v>0.19149999999999998</v>
      </c>
      <c r="D15" s="10"/>
      <c r="E15" s="11" t="s">
        <v>387</v>
      </c>
      <c r="F15" s="12" t="s">
        <v>15</v>
      </c>
      <c r="G15" s="13">
        <v>13</v>
      </c>
      <c r="H15" s="42"/>
      <c r="I15" s="31">
        <f t="shared" si="8"/>
        <v>99958.441009915099</v>
      </c>
      <c r="J15" s="34"/>
      <c r="K15" s="33">
        <f t="shared" si="1"/>
        <v>99958.441009915099</v>
      </c>
      <c r="L15" s="31">
        <f t="shared" si="9"/>
        <v>5.8135966228042424</v>
      </c>
      <c r="M15" s="36"/>
      <c r="N15" s="32">
        <f t="shared" si="2"/>
        <v>1.4533991557010606</v>
      </c>
      <c r="O15" s="32">
        <f>L15*(1-$C$10)*Dashboard!G15</f>
        <v>0</v>
      </c>
      <c r="P15" s="33">
        <f t="shared" si="11"/>
        <v>4.3601974671031822</v>
      </c>
      <c r="Q15" s="31">
        <f t="shared" si="12"/>
        <v>16.127478134314462</v>
      </c>
      <c r="R15" s="32">
        <f t="shared" si="13"/>
        <v>1.9378655409347476</v>
      </c>
      <c r="S15" s="32">
        <f t="shared" si="3"/>
        <v>1.1519627238796044</v>
      </c>
      <c r="T15" s="32">
        <f>Q15*(1-$C$11)*Dashboard!G15</f>
        <v>0</v>
      </c>
      <c r="U15" s="32">
        <f t="shared" si="4"/>
        <v>0.38913991990287367</v>
      </c>
      <c r="V15" s="33">
        <f t="shared" si="5"/>
        <v>16.52424103146673</v>
      </c>
      <c r="W15" s="31">
        <f t="shared" si="14"/>
        <v>21.941074757118706</v>
      </c>
      <c r="X15" s="32">
        <f t="shared" si="15"/>
        <v>2.58382072124633</v>
      </c>
      <c r="Y15" s="33">
        <f t="shared" si="6"/>
        <v>24.524895478365035</v>
      </c>
      <c r="Z15" s="43">
        <f t="shared" si="7"/>
        <v>20.884438498569914</v>
      </c>
    </row>
    <row r="16" spans="2:26" s="2" customFormat="1" ht="16.2" x14ac:dyDescent="0.35">
      <c r="B16" s="9"/>
      <c r="C16" s="119"/>
      <c r="D16" s="10"/>
      <c r="E16" s="11" t="s">
        <v>388</v>
      </c>
      <c r="F16" s="12" t="s">
        <v>16</v>
      </c>
      <c r="G16" s="13">
        <v>14</v>
      </c>
      <c r="H16" s="42"/>
      <c r="I16" s="31">
        <f t="shared" si="8"/>
        <v>99958.441009915099</v>
      </c>
      <c r="J16" s="34"/>
      <c r="K16" s="33">
        <f t="shared" si="1"/>
        <v>99958.441009915099</v>
      </c>
      <c r="L16" s="31">
        <f t="shared" si="9"/>
        <v>4.3601974671031822</v>
      </c>
      <c r="M16" s="36"/>
      <c r="N16" s="32">
        <f t="shared" si="2"/>
        <v>1.0900493667757956</v>
      </c>
      <c r="O16" s="32">
        <f>L16*(1-$C$10)*Dashboard!G16</f>
        <v>0</v>
      </c>
      <c r="P16" s="33">
        <f t="shared" si="11"/>
        <v>3.2701481003273867</v>
      </c>
      <c r="Q16" s="31">
        <f t="shared" si="12"/>
        <v>16.52424103146673</v>
      </c>
      <c r="R16" s="32">
        <f t="shared" si="13"/>
        <v>1.4533991557010606</v>
      </c>
      <c r="S16" s="32">
        <f t="shared" si="3"/>
        <v>1.180302930819052</v>
      </c>
      <c r="T16" s="32">
        <f>Q16*(1-$C$11)*Dashboard!G16</f>
        <v>0</v>
      </c>
      <c r="U16" s="32">
        <f t="shared" si="4"/>
        <v>0.3987134118482607</v>
      </c>
      <c r="V16" s="33">
        <f t="shared" si="5"/>
        <v>16.398623844500477</v>
      </c>
      <c r="W16" s="31">
        <f t="shared" si="14"/>
        <v>20.884438498569914</v>
      </c>
      <c r="X16" s="32">
        <f t="shared" si="15"/>
        <v>1.9378655409347476</v>
      </c>
      <c r="Y16" s="33">
        <f t="shared" si="6"/>
        <v>22.822304039504662</v>
      </c>
      <c r="Z16" s="43">
        <f t="shared" si="7"/>
        <v>19.668771944827864</v>
      </c>
    </row>
    <row r="17" spans="2:26" s="2" customFormat="1" ht="16.2" x14ac:dyDescent="0.35">
      <c r="B17" s="30" t="s">
        <v>41</v>
      </c>
      <c r="C17" s="123" t="s">
        <v>0</v>
      </c>
      <c r="D17" s="10"/>
      <c r="E17" s="11" t="s">
        <v>389</v>
      </c>
      <c r="F17" s="12" t="s">
        <v>17</v>
      </c>
      <c r="G17" s="13">
        <v>15</v>
      </c>
      <c r="H17" s="42"/>
      <c r="I17" s="31">
        <f t="shared" si="8"/>
        <v>99958.441009915099</v>
      </c>
      <c r="J17" s="34"/>
      <c r="K17" s="33">
        <f t="shared" si="1"/>
        <v>99958.441009915099</v>
      </c>
      <c r="L17" s="31">
        <f t="shared" si="9"/>
        <v>3.2701481003273867</v>
      </c>
      <c r="M17" s="36"/>
      <c r="N17" s="32">
        <f t="shared" si="2"/>
        <v>0.81753702508184667</v>
      </c>
      <c r="O17" s="32">
        <f>L17*(1-$C$10)*Dashboard!G17</f>
        <v>0</v>
      </c>
      <c r="P17" s="33">
        <f t="shared" si="11"/>
        <v>2.4526110752455401</v>
      </c>
      <c r="Q17" s="31">
        <f t="shared" si="12"/>
        <v>16.398623844500477</v>
      </c>
      <c r="R17" s="32">
        <f t="shared" si="13"/>
        <v>1.0900493667757956</v>
      </c>
      <c r="S17" s="32">
        <f t="shared" si="3"/>
        <v>1.171330274607177</v>
      </c>
      <c r="T17" s="32">
        <f>Q17*(1-$C$11)*Dashboard!G17</f>
        <v>0</v>
      </c>
      <c r="U17" s="32">
        <f t="shared" si="4"/>
        <v>0.395682394743952</v>
      </c>
      <c r="V17" s="33">
        <f t="shared" si="5"/>
        <v>15.921660541925144</v>
      </c>
      <c r="W17" s="31">
        <f t="shared" si="14"/>
        <v>19.668771944827864</v>
      </c>
      <c r="X17" s="32">
        <f t="shared" si="15"/>
        <v>1.4533991557010606</v>
      </c>
      <c r="Y17" s="33">
        <f t="shared" si="6"/>
        <v>21.122171100528924</v>
      </c>
      <c r="Z17" s="43">
        <f t="shared" si="7"/>
        <v>18.374271617170685</v>
      </c>
    </row>
    <row r="18" spans="2:26" s="2" customFormat="1" ht="18" x14ac:dyDescent="0.35">
      <c r="B18" s="45" t="s">
        <v>35</v>
      </c>
      <c r="C18" s="119">
        <f>Dashboard!D30</f>
        <v>0.3</v>
      </c>
      <c r="D18" s="10"/>
      <c r="E18" s="11" t="s">
        <v>390</v>
      </c>
      <c r="F18" s="12" t="s">
        <v>18</v>
      </c>
      <c r="G18" s="13">
        <v>16</v>
      </c>
      <c r="H18" s="42"/>
      <c r="I18" s="31">
        <f t="shared" si="8"/>
        <v>99958.441009915099</v>
      </c>
      <c r="J18" s="34"/>
      <c r="K18" s="33">
        <f t="shared" si="1"/>
        <v>99958.441009915099</v>
      </c>
      <c r="L18" s="31">
        <f t="shared" si="9"/>
        <v>2.4526110752455401</v>
      </c>
      <c r="M18" s="36"/>
      <c r="N18" s="32">
        <f t="shared" si="2"/>
        <v>0.61315276881138503</v>
      </c>
      <c r="O18" s="32">
        <f>L18*(1-$C$10)*Dashboard!G18</f>
        <v>0</v>
      </c>
      <c r="P18" s="33">
        <f t="shared" si="11"/>
        <v>1.839458306434155</v>
      </c>
      <c r="Q18" s="31">
        <f t="shared" si="12"/>
        <v>15.921660541925144</v>
      </c>
      <c r="R18" s="32">
        <f t="shared" si="13"/>
        <v>0.81753702508184667</v>
      </c>
      <c r="S18" s="32">
        <f t="shared" si="3"/>
        <v>1.1372614672803674</v>
      </c>
      <c r="T18" s="32">
        <f>Q18*(1-$C$11)*Dashboard!G18</f>
        <v>0</v>
      </c>
      <c r="U18" s="32">
        <f t="shared" si="4"/>
        <v>0.38417374721611175</v>
      </c>
      <c r="V18" s="33">
        <f t="shared" si="5"/>
        <v>15.21776235251051</v>
      </c>
      <c r="W18" s="31">
        <f t="shared" si="14"/>
        <v>18.374271617170685</v>
      </c>
      <c r="X18" s="32">
        <f t="shared" si="15"/>
        <v>1.0900493667757956</v>
      </c>
      <c r="Y18" s="33">
        <f t="shared" si="6"/>
        <v>19.464320983946479</v>
      </c>
      <c r="Z18" s="43">
        <f t="shared" si="7"/>
        <v>17.057220658944665</v>
      </c>
    </row>
    <row r="19" spans="2:26" s="2" customFormat="1" ht="18" x14ac:dyDescent="0.35">
      <c r="B19" s="45" t="s">
        <v>36</v>
      </c>
      <c r="C19" s="119">
        <f>(((C15)*(1-C18))+(1-C15))</f>
        <v>0.94255</v>
      </c>
      <c r="D19" s="10"/>
      <c r="E19" s="11" t="s">
        <v>391</v>
      </c>
      <c r="F19" s="12" t="s">
        <v>19</v>
      </c>
      <c r="G19" s="13">
        <v>17</v>
      </c>
      <c r="H19" s="42"/>
      <c r="I19" s="31">
        <f t="shared" si="8"/>
        <v>99958.441009915099</v>
      </c>
      <c r="J19" s="34"/>
      <c r="K19" s="33">
        <f t="shared" si="1"/>
        <v>99958.441009915099</v>
      </c>
      <c r="L19" s="31">
        <f t="shared" si="9"/>
        <v>1.839458306434155</v>
      </c>
      <c r="M19" s="36"/>
      <c r="N19" s="32">
        <f t="shared" si="2"/>
        <v>0.45986457660853874</v>
      </c>
      <c r="O19" s="32">
        <f>L19*(1-$C$10)*Dashboard!G19</f>
        <v>0</v>
      </c>
      <c r="P19" s="33">
        <f t="shared" si="11"/>
        <v>1.3795937298256162</v>
      </c>
      <c r="Q19" s="31">
        <f t="shared" si="12"/>
        <v>15.21776235251051</v>
      </c>
      <c r="R19" s="32">
        <f t="shared" si="13"/>
        <v>0.61315276881138503</v>
      </c>
      <c r="S19" s="32">
        <f t="shared" si="3"/>
        <v>1.086983025179322</v>
      </c>
      <c r="T19" s="32">
        <f>Q19*(1-$C$11)*Dashboard!G19</f>
        <v>0</v>
      </c>
      <c r="U19" s="32">
        <f t="shared" si="4"/>
        <v>0.36718938780372606</v>
      </c>
      <c r="V19" s="33">
        <f t="shared" si="5"/>
        <v>14.376742708338847</v>
      </c>
      <c r="W19" s="31">
        <f t="shared" si="14"/>
        <v>17.057220658944665</v>
      </c>
      <c r="X19" s="32">
        <f t="shared" si="15"/>
        <v>0.81753702508184667</v>
      </c>
      <c r="Y19" s="33">
        <f t="shared" si="6"/>
        <v>17.874757684026513</v>
      </c>
      <c r="Z19" s="43">
        <f t="shared" si="7"/>
        <v>15.756336438164464</v>
      </c>
    </row>
    <row r="20" spans="2:26" s="2" customFormat="1" ht="18" x14ac:dyDescent="0.35">
      <c r="B20" s="45" t="s">
        <v>37</v>
      </c>
      <c r="C20" s="119">
        <f>Dashboard!D31</f>
        <v>0.7</v>
      </c>
      <c r="D20" s="10"/>
      <c r="E20" s="11" t="s">
        <v>392</v>
      </c>
      <c r="F20" s="12" t="s">
        <v>20</v>
      </c>
      <c r="G20" s="13">
        <v>18</v>
      </c>
      <c r="H20" s="42"/>
      <c r="I20" s="31">
        <f t="shared" si="8"/>
        <v>99958.441009915099</v>
      </c>
      <c r="J20" s="34"/>
      <c r="K20" s="33">
        <f t="shared" si="1"/>
        <v>99958.441009915099</v>
      </c>
      <c r="L20" s="31">
        <f t="shared" si="9"/>
        <v>1.3795937298256162</v>
      </c>
      <c r="M20" s="36"/>
      <c r="N20" s="32">
        <f t="shared" si="2"/>
        <v>0.34489843245640406</v>
      </c>
      <c r="O20" s="32">
        <f>L20*(1-$C$10)*Dashboard!G20</f>
        <v>0</v>
      </c>
      <c r="P20" s="33">
        <f t="shared" si="11"/>
        <v>1.0346952973692121</v>
      </c>
      <c r="Q20" s="31">
        <f t="shared" si="12"/>
        <v>14.376742708338847</v>
      </c>
      <c r="R20" s="32">
        <f t="shared" si="13"/>
        <v>0.45986457660853874</v>
      </c>
      <c r="S20" s="32">
        <f t="shared" si="3"/>
        <v>1.0269101934527747</v>
      </c>
      <c r="T20" s="32">
        <f>Q20*(1-$C$11)*Dashboard!G20</f>
        <v>0</v>
      </c>
      <c r="U20" s="32">
        <f t="shared" si="4"/>
        <v>0.346896424809508</v>
      </c>
      <c r="V20" s="33">
        <f t="shared" si="5"/>
        <v>13.462800666685103</v>
      </c>
      <c r="W20" s="31">
        <f t="shared" si="14"/>
        <v>15.756336438164464</v>
      </c>
      <c r="X20" s="32">
        <f t="shared" si="15"/>
        <v>0.61315276881138503</v>
      </c>
      <c r="Y20" s="33">
        <f t="shared" si="6"/>
        <v>16.36948920697585</v>
      </c>
      <c r="Z20" s="43">
        <f t="shared" si="7"/>
        <v>14.497495964054316</v>
      </c>
    </row>
    <row r="21" spans="2:26" s="2" customFormat="1" ht="18" x14ac:dyDescent="0.35">
      <c r="B21" s="45" t="s">
        <v>38</v>
      </c>
      <c r="C21" s="120">
        <f>(((C15)*(1-C20))+(1-C15))</f>
        <v>0.86595</v>
      </c>
      <c r="D21" s="10"/>
      <c r="E21" s="11" t="s">
        <v>393</v>
      </c>
      <c r="F21" s="12" t="s">
        <v>21</v>
      </c>
      <c r="G21" s="13">
        <v>19</v>
      </c>
      <c r="H21" s="42"/>
      <c r="I21" s="31">
        <f t="shared" si="8"/>
        <v>99958.441009915099</v>
      </c>
      <c r="J21" s="34"/>
      <c r="K21" s="33">
        <f t="shared" si="1"/>
        <v>99958.441009915099</v>
      </c>
      <c r="L21" s="31">
        <f t="shared" si="9"/>
        <v>1.0346952973692121</v>
      </c>
      <c r="M21" s="36"/>
      <c r="N21" s="32">
        <f t="shared" si="2"/>
        <v>0.25867382434230302</v>
      </c>
      <c r="O21" s="32">
        <f>L21*(1-$C$10)*Dashboard!G21</f>
        <v>0</v>
      </c>
      <c r="P21" s="33">
        <f t="shared" si="11"/>
        <v>0.77602147302690905</v>
      </c>
      <c r="Q21" s="31">
        <f t="shared" si="12"/>
        <v>13.462800666685103</v>
      </c>
      <c r="R21" s="32">
        <f t="shared" si="13"/>
        <v>0.34489843245640406</v>
      </c>
      <c r="S21" s="32">
        <f t="shared" si="3"/>
        <v>0.96162861904893593</v>
      </c>
      <c r="T21" s="32">
        <f>Q21*(1-$C$11)*Dashboard!G21</f>
        <v>0</v>
      </c>
      <c r="U21" s="32">
        <f t="shared" si="4"/>
        <v>0.32484391728644485</v>
      </c>
      <c r="V21" s="33">
        <f t="shared" si="5"/>
        <v>12.521226562806126</v>
      </c>
      <c r="W21" s="31">
        <f t="shared" si="14"/>
        <v>14.497495964054316</v>
      </c>
      <c r="X21" s="32">
        <f t="shared" si="15"/>
        <v>0.45986457660853874</v>
      </c>
      <c r="Y21" s="33">
        <f t="shared" si="6"/>
        <v>14.957360540662854</v>
      </c>
      <c r="Z21" s="43">
        <f t="shared" si="7"/>
        <v>13.297248035833034</v>
      </c>
    </row>
    <row r="22" spans="2:26" s="2" customFormat="1" ht="16.2" x14ac:dyDescent="0.35">
      <c r="B22" s="9"/>
      <c r="C22" s="18"/>
      <c r="D22" s="10"/>
      <c r="E22" s="11" t="s">
        <v>394</v>
      </c>
      <c r="F22" s="12" t="s">
        <v>22</v>
      </c>
      <c r="G22" s="13">
        <v>20</v>
      </c>
      <c r="H22" s="42"/>
      <c r="I22" s="31">
        <f t="shared" si="8"/>
        <v>99958.441009915099</v>
      </c>
      <c r="J22" s="34"/>
      <c r="K22" s="33">
        <f t="shared" si="1"/>
        <v>99958.441009915099</v>
      </c>
      <c r="L22" s="31">
        <f t="shared" si="9"/>
        <v>0.77602147302690905</v>
      </c>
      <c r="M22" s="36"/>
      <c r="N22" s="32">
        <f t="shared" si="2"/>
        <v>0.19400536825672726</v>
      </c>
      <c r="O22" s="32">
        <f>L22*(1-$C$10)*Dashboard!G22</f>
        <v>0</v>
      </c>
      <c r="P22" s="33">
        <f t="shared" si="11"/>
        <v>0.58201610477018173</v>
      </c>
      <c r="Q22" s="31">
        <f t="shared" si="12"/>
        <v>12.521226562806126</v>
      </c>
      <c r="R22" s="32">
        <f t="shared" si="13"/>
        <v>0.25867382434230302</v>
      </c>
      <c r="S22" s="32">
        <f t="shared" si="3"/>
        <v>0.89437332591472318</v>
      </c>
      <c r="T22" s="32">
        <f>Q22*(1-$C$11)*Dashboard!G22</f>
        <v>0</v>
      </c>
      <c r="U22" s="32">
        <f t="shared" si="4"/>
        <v>0.30212467573394902</v>
      </c>
      <c r="V22" s="33">
        <f t="shared" si="5"/>
        <v>11.583402385499756</v>
      </c>
      <c r="W22" s="31">
        <f t="shared" si="14"/>
        <v>13.297248035833034</v>
      </c>
      <c r="X22" s="32">
        <f t="shared" si="15"/>
        <v>0.34489843245640406</v>
      </c>
      <c r="Y22" s="33">
        <f t="shared" si="6"/>
        <v>13.642146468289438</v>
      </c>
      <c r="Z22" s="43">
        <f t="shared" si="7"/>
        <v>12.165418490269937</v>
      </c>
    </row>
    <row r="23" spans="2:26" s="2" customFormat="1" ht="16.2" x14ac:dyDescent="0.35">
      <c r="B23" s="9"/>
      <c r="C23" s="18"/>
      <c r="D23" s="10"/>
      <c r="E23" s="11" t="s">
        <v>395</v>
      </c>
      <c r="F23" s="12" t="s">
        <v>13</v>
      </c>
      <c r="G23" s="13">
        <v>21</v>
      </c>
      <c r="H23" s="42"/>
      <c r="I23" s="31">
        <f t="shared" si="8"/>
        <v>99958.441009915099</v>
      </c>
      <c r="J23" s="34"/>
      <c r="K23" s="33">
        <f t="shared" si="1"/>
        <v>99958.441009915099</v>
      </c>
      <c r="L23" s="31">
        <f t="shared" si="9"/>
        <v>0.58201610477018173</v>
      </c>
      <c r="M23" s="36"/>
      <c r="N23" s="32">
        <f t="shared" si="2"/>
        <v>0.14550402619254543</v>
      </c>
      <c r="O23" s="32">
        <f>L23*(1-$C$10)*Dashboard!G23</f>
        <v>0</v>
      </c>
      <c r="P23" s="33">
        <f t="shared" si="11"/>
        <v>0.4365120785776363</v>
      </c>
      <c r="Q23" s="31">
        <f t="shared" si="12"/>
        <v>11.583402385499756</v>
      </c>
      <c r="R23" s="32">
        <f t="shared" si="13"/>
        <v>0.19400536825672726</v>
      </c>
      <c r="S23" s="32">
        <f t="shared" si="3"/>
        <v>0.82738588467855401</v>
      </c>
      <c r="T23" s="32">
        <f>Q23*(1-$C$11)*Dashboard!G23</f>
        <v>0</v>
      </c>
      <c r="U23" s="32">
        <f t="shared" si="4"/>
        <v>0.27949591615972358</v>
      </c>
      <c r="V23" s="33">
        <f t="shared" si="5"/>
        <v>10.670525952918206</v>
      </c>
      <c r="W23" s="31">
        <f t="shared" si="14"/>
        <v>12.165418490269937</v>
      </c>
      <c r="X23" s="32">
        <f t="shared" si="15"/>
        <v>0.25867382434230302</v>
      </c>
      <c r="Y23" s="33">
        <f t="shared" si="6"/>
        <v>12.42409231461224</v>
      </c>
      <c r="Z23" s="43">
        <f t="shared" si="7"/>
        <v>11.107038031495842</v>
      </c>
    </row>
    <row r="24" spans="2:26" s="2" customFormat="1" ht="16.8" thickBot="1" x14ac:dyDescent="0.4">
      <c r="B24" s="20"/>
      <c r="C24" s="21"/>
      <c r="D24" s="10"/>
      <c r="E24" s="22" t="s">
        <v>396</v>
      </c>
      <c r="F24" s="23" t="s">
        <v>23</v>
      </c>
      <c r="G24" s="24">
        <v>22</v>
      </c>
      <c r="H24" s="42"/>
      <c r="I24" s="37">
        <f t="shared" si="8"/>
        <v>99958.441009915099</v>
      </c>
      <c r="J24" s="38"/>
      <c r="K24" s="39">
        <f t="shared" si="1"/>
        <v>99958.441009915099</v>
      </c>
      <c r="L24" s="37">
        <f t="shared" si="9"/>
        <v>0.4365120785776363</v>
      </c>
      <c r="M24" s="38"/>
      <c r="N24" s="40">
        <f t="shared" si="2"/>
        <v>0.10912801964440907</v>
      </c>
      <c r="O24" s="40">
        <f>L24*(1-$C$10)*Dashboard!G24</f>
        <v>6.9841932572421828E-2</v>
      </c>
      <c r="P24" s="39">
        <f t="shared" si="11"/>
        <v>0.25754212636080537</v>
      </c>
      <c r="Q24" s="31">
        <f t="shared" si="12"/>
        <v>10.670525952918206</v>
      </c>
      <c r="R24" s="40">
        <f t="shared" si="13"/>
        <v>0.14550402619254543</v>
      </c>
      <c r="S24" s="40">
        <f t="shared" si="3"/>
        <v>0.7621804252084432</v>
      </c>
      <c r="T24" s="40">
        <f>Q24*(1-$C$11)*Dashboard!G24</f>
        <v>7.5760734265719263</v>
      </c>
      <c r="U24" s="40">
        <f t="shared" si="4"/>
        <v>0.25746912071796341</v>
      </c>
      <c r="V24" s="39">
        <f t="shared" si="5"/>
        <v>2.2203070066124186</v>
      </c>
      <c r="W24" s="37">
        <f t="shared" si="14"/>
        <v>11.107038031495842</v>
      </c>
      <c r="X24" s="40">
        <f t="shared" si="15"/>
        <v>0.19400536825672726</v>
      </c>
      <c r="Y24" s="33">
        <f t="shared" si="6"/>
        <v>11.301043399752569</v>
      </c>
      <c r="Z24" s="44">
        <f t="shared" si="7"/>
        <v>2.477849132973224</v>
      </c>
    </row>
    <row r="25" spans="2:26" s="2" customFormat="1" ht="4.95" customHeight="1" thickBot="1" x14ac:dyDescent="0.4">
      <c r="B25" s="25"/>
      <c r="C25" s="26"/>
      <c r="D25" s="10"/>
      <c r="E25" s="14"/>
      <c r="F25" s="14"/>
      <c r="G25" s="14"/>
      <c r="H25" s="14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2:26" s="2" customFormat="1" ht="16.2" customHeight="1" thickBot="1" x14ac:dyDescent="0.4">
      <c r="B26" s="190">
        <v>1</v>
      </c>
      <c r="C26" s="192"/>
      <c r="D26" s="8"/>
      <c r="E26" s="190">
        <v>2</v>
      </c>
      <c r="F26" s="191"/>
      <c r="G26" s="192"/>
      <c r="H26" s="8"/>
      <c r="I26" s="190">
        <v>3</v>
      </c>
      <c r="J26" s="191"/>
      <c r="K26" s="192"/>
      <c r="L26" s="190">
        <v>4</v>
      </c>
      <c r="M26" s="191"/>
      <c r="N26" s="191"/>
      <c r="O26" s="191"/>
      <c r="P26" s="192"/>
      <c r="Q26" s="190">
        <v>5</v>
      </c>
      <c r="R26" s="191"/>
      <c r="S26" s="191"/>
      <c r="T26" s="191"/>
      <c r="U26" s="191"/>
      <c r="V26" s="192"/>
      <c r="W26" s="190">
        <v>6</v>
      </c>
      <c r="X26" s="191"/>
      <c r="Y26" s="192"/>
      <c r="Z26" s="28">
        <v>7</v>
      </c>
    </row>
    <row r="27" spans="2:26" s="2" customFormat="1" ht="34.950000000000003" customHeight="1" x14ac:dyDescent="0.3">
      <c r="B27" s="4"/>
      <c r="C27" s="3"/>
      <c r="E27" s="3"/>
      <c r="F27" s="3"/>
      <c r="G27" s="3"/>
      <c r="H27" s="3"/>
      <c r="I27" s="3"/>
      <c r="J27" s="3"/>
    </row>
    <row r="28" spans="2:26" s="2" customFormat="1" x14ac:dyDescent="0.3">
      <c r="B28" s="4"/>
      <c r="C28" s="3"/>
      <c r="E28" s="3"/>
      <c r="F28" s="3"/>
      <c r="G28" s="3"/>
      <c r="H28" s="3"/>
      <c r="I28" s="3"/>
      <c r="J28" s="3"/>
    </row>
  </sheetData>
  <mergeCells count="6">
    <mergeCell ref="W26:Y26"/>
    <mergeCell ref="B26:C26"/>
    <mergeCell ref="E26:G26"/>
    <mergeCell ref="I26:K26"/>
    <mergeCell ref="L26:P26"/>
    <mergeCell ref="Q26:V2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3139-80F2-4906-94BC-AC649B09861C}">
  <dimension ref="A1:AA28"/>
  <sheetViews>
    <sheetView topLeftCell="C1" workbookViewId="0">
      <selection activeCell="F10" sqref="F10"/>
    </sheetView>
  </sheetViews>
  <sheetFormatPr defaultRowHeight="15.6" x14ac:dyDescent="0.3"/>
  <cols>
    <col min="1" max="1" width="1.88671875" style="2" customWidth="1"/>
    <col min="2" max="2" width="4.88671875" style="5" customWidth="1"/>
    <col min="3" max="3" width="11.33203125" style="1" customWidth="1"/>
    <col min="4" max="4" width="2.6640625" style="2" customWidth="1"/>
    <col min="5" max="5" width="6" style="1" bestFit="1" customWidth="1"/>
    <col min="6" max="6" width="10.88671875" style="1" bestFit="1" customWidth="1"/>
    <col min="7" max="7" width="3" style="1" bestFit="1" customWidth="1"/>
    <col min="8" max="8" width="1.44140625" style="3" customWidth="1"/>
    <col min="9" max="9" width="8.88671875" style="1" bestFit="1" customWidth="1"/>
    <col min="10" max="10" width="7.6640625" style="1" bestFit="1" customWidth="1"/>
    <col min="11" max="12" width="9.33203125" bestFit="1" customWidth="1"/>
    <col min="13" max="13" width="10.44140625" bestFit="1" customWidth="1"/>
    <col min="14" max="14" width="9.33203125" bestFit="1" customWidth="1"/>
    <col min="15" max="15" width="9.6640625" bestFit="1" customWidth="1"/>
    <col min="16" max="16" width="7.5546875" customWidth="1"/>
    <col min="17" max="17" width="6.6640625" bestFit="1" customWidth="1"/>
    <col min="18" max="18" width="9.33203125" bestFit="1" customWidth="1"/>
    <col min="19" max="19" width="8.33203125" bestFit="1" customWidth="1"/>
    <col min="20" max="20" width="8.88671875" bestFit="1" customWidth="1"/>
    <col min="21" max="21" width="10.5546875" bestFit="1" customWidth="1"/>
    <col min="22" max="22" width="5.44140625" bestFit="1" customWidth="1"/>
    <col min="23" max="23" width="7.6640625" bestFit="1" customWidth="1"/>
    <col min="24" max="24" width="8.33203125" bestFit="1" customWidth="1"/>
    <col min="25" max="25" width="6.44140625" bestFit="1" customWidth="1"/>
    <col min="26" max="26" width="6.88671875" customWidth="1"/>
    <col min="27" max="27" width="10.109375" style="2" customWidth="1"/>
  </cols>
  <sheetData>
    <row r="1" spans="2:26" s="2" customFormat="1" ht="6.6" customHeight="1" thickBot="1" x14ac:dyDescent="0.35">
      <c r="B1" s="4"/>
      <c r="C1" s="3"/>
      <c r="E1" s="3"/>
      <c r="F1" s="3"/>
      <c r="G1" s="3"/>
      <c r="H1" s="3"/>
      <c r="I1" s="3"/>
      <c r="J1" s="3"/>
    </row>
    <row r="2" spans="2:26" s="2" customFormat="1" ht="21.6" x14ac:dyDescent="0.5">
      <c r="B2" s="29" t="s">
        <v>39</v>
      </c>
      <c r="C2" s="6" t="s">
        <v>0</v>
      </c>
      <c r="D2" s="7"/>
      <c r="E2" s="46" t="s">
        <v>469</v>
      </c>
      <c r="F2" s="47" t="s">
        <v>470</v>
      </c>
      <c r="G2" s="48" t="s">
        <v>468</v>
      </c>
      <c r="H2" s="8"/>
      <c r="I2" s="46" t="s">
        <v>471</v>
      </c>
      <c r="J2" s="49" t="s">
        <v>472</v>
      </c>
      <c r="K2" s="48" t="s">
        <v>473</v>
      </c>
      <c r="L2" s="46" t="s">
        <v>474</v>
      </c>
      <c r="M2" s="47" t="s">
        <v>475</v>
      </c>
      <c r="N2" s="47" t="s">
        <v>479</v>
      </c>
      <c r="O2" s="47" t="s">
        <v>476</v>
      </c>
      <c r="P2" s="48" t="s">
        <v>477</v>
      </c>
      <c r="Q2" s="50" t="s">
        <v>478</v>
      </c>
      <c r="R2" s="47" t="s">
        <v>479</v>
      </c>
      <c r="S2" s="47" t="s">
        <v>484</v>
      </c>
      <c r="T2" s="47" t="s">
        <v>480</v>
      </c>
      <c r="U2" s="47" t="s">
        <v>481</v>
      </c>
      <c r="V2" s="48" t="s">
        <v>482</v>
      </c>
      <c r="W2" s="46" t="s">
        <v>483</v>
      </c>
      <c r="X2" s="47" t="s">
        <v>484</v>
      </c>
      <c r="Y2" s="48" t="s">
        <v>485</v>
      </c>
      <c r="Z2" s="51" t="s">
        <v>564</v>
      </c>
    </row>
    <row r="3" spans="2:26" s="2" customFormat="1" ht="18" x14ac:dyDescent="0.35">
      <c r="B3" s="45" t="s">
        <v>24</v>
      </c>
      <c r="C3" s="121">
        <f>Dashboard!D5</f>
        <v>100000</v>
      </c>
      <c r="D3" s="10"/>
      <c r="E3" s="11" t="s">
        <v>1</v>
      </c>
      <c r="F3" s="12" t="s">
        <v>2</v>
      </c>
      <c r="G3" s="13">
        <v>1</v>
      </c>
      <c r="H3" s="42"/>
      <c r="I3" s="31">
        <f>C3-L3-Q3-W3</f>
        <v>99986.209999999992</v>
      </c>
      <c r="J3" s="32">
        <f>I3*$C$14*$C$19</f>
        <v>13.788098358999997</v>
      </c>
      <c r="K3" s="33">
        <f>I3-J3</f>
        <v>99972.421901640992</v>
      </c>
      <c r="L3" s="31">
        <f>C3*$C$14*$C$19*0.5</f>
        <v>6.8949999999999996</v>
      </c>
      <c r="M3" s="32">
        <v>0</v>
      </c>
      <c r="N3" s="32">
        <f>L3*$C$6</f>
        <v>1.7237499999999999</v>
      </c>
      <c r="O3" s="34"/>
      <c r="P3" s="33">
        <f>L3+M3-N3-O3</f>
        <v>5.1712499999999997</v>
      </c>
      <c r="Q3" s="31">
        <f>C3*$C$14*$C$19*0.5</f>
        <v>6.8949999999999996</v>
      </c>
      <c r="R3" s="32">
        <v>0</v>
      </c>
      <c r="S3" s="32">
        <f>Q3*$C$8</f>
        <v>0.49249999999999994</v>
      </c>
      <c r="T3" s="34"/>
      <c r="U3" s="32">
        <f>Q3*$C$9*(1-$C$21)</f>
        <v>0.86876999999999982</v>
      </c>
      <c r="V3" s="33">
        <f>Q3+R3-S3-T3-U3</f>
        <v>5.5337300000000003</v>
      </c>
      <c r="W3" s="31">
        <v>0</v>
      </c>
      <c r="X3" s="32">
        <v>0</v>
      </c>
      <c r="Y3" s="33">
        <f>W3+X3</f>
        <v>0</v>
      </c>
      <c r="Z3" s="43">
        <f>P3+V3</f>
        <v>10.704979999999999</v>
      </c>
    </row>
    <row r="4" spans="2:26" s="2" customFormat="1" ht="18" x14ac:dyDescent="0.35">
      <c r="B4" s="45" t="s">
        <v>25</v>
      </c>
      <c r="C4" s="124">
        <f>C14*2</f>
        <v>3.9399999999999998E-4</v>
      </c>
      <c r="D4" s="10"/>
      <c r="E4" s="11" t="s">
        <v>1</v>
      </c>
      <c r="F4" s="12" t="s">
        <v>2</v>
      </c>
      <c r="G4" s="13">
        <v>2</v>
      </c>
      <c r="H4" s="42"/>
      <c r="I4" s="31">
        <f>K3</f>
        <v>99972.421901640992</v>
      </c>
      <c r="J4" s="32">
        <f t="shared" ref="J4:J8" si="0">I4*$C$14*$C$19</f>
        <v>13.786196980236292</v>
      </c>
      <c r="K4" s="33">
        <f t="shared" ref="K4:K24" si="1">I4-J4</f>
        <v>99958.635704660759</v>
      </c>
      <c r="L4" s="31">
        <f>P3</f>
        <v>5.1712499999999997</v>
      </c>
      <c r="M4" s="32">
        <f>J3</f>
        <v>13.788098358999997</v>
      </c>
      <c r="N4" s="32">
        <f t="shared" ref="N4:N24" si="2">L4*$C$6</f>
        <v>1.2928124999999999</v>
      </c>
      <c r="O4" s="34"/>
      <c r="P4" s="33">
        <f>L4+M4-N4-O4</f>
        <v>17.666535858999996</v>
      </c>
      <c r="Q4" s="31">
        <f>V3</f>
        <v>5.5337300000000003</v>
      </c>
      <c r="R4" s="32">
        <f>N3</f>
        <v>1.7237499999999999</v>
      </c>
      <c r="S4" s="32">
        <f t="shared" ref="S4:S24" si="3">Q4*$C$8</f>
        <v>0.39526642857142857</v>
      </c>
      <c r="T4" s="34"/>
      <c r="U4" s="32">
        <f t="shared" ref="U4:U24" si="4">Q4*$C$9*(1-$C$21)</f>
        <v>0.69724998000000005</v>
      </c>
      <c r="V4" s="33">
        <f t="shared" ref="V4:V24" si="5">Q4+R4-S4-T4-U4</f>
        <v>6.1649635914285721</v>
      </c>
      <c r="W4" s="31">
        <f>Z3</f>
        <v>10.704979999999999</v>
      </c>
      <c r="X4" s="32">
        <f>R3</f>
        <v>0</v>
      </c>
      <c r="Y4" s="33">
        <f t="shared" ref="Y4:Y24" si="6">W4+X4</f>
        <v>10.704979999999999</v>
      </c>
      <c r="Z4" s="43">
        <f t="shared" ref="Z4:Z24" si="7">P4+V4</f>
        <v>23.831499450428566</v>
      </c>
    </row>
    <row r="5" spans="2:26" s="2" customFormat="1" ht="18" x14ac:dyDescent="0.35">
      <c r="B5" s="45" t="s">
        <v>28</v>
      </c>
      <c r="C5" s="121">
        <f>Dashboard!D6</f>
        <v>4</v>
      </c>
      <c r="D5" s="10"/>
      <c r="E5" s="11" t="s">
        <v>3</v>
      </c>
      <c r="F5" s="12" t="s">
        <v>4</v>
      </c>
      <c r="G5" s="13">
        <v>3</v>
      </c>
      <c r="H5" s="42"/>
      <c r="I5" s="31">
        <f t="shared" ref="I5:I24" si="8">K4</f>
        <v>99958.635704660759</v>
      </c>
      <c r="J5" s="32">
        <f t="shared" si="0"/>
        <v>13.784295863672718</v>
      </c>
      <c r="K5" s="33">
        <f t="shared" si="1"/>
        <v>99944.851408797083</v>
      </c>
      <c r="L5" s="31">
        <f t="shared" ref="L5:L24" si="9">P4</f>
        <v>17.666535858999996</v>
      </c>
      <c r="M5" s="32">
        <f t="shared" ref="M5:M10" si="10">J4</f>
        <v>13.786196980236292</v>
      </c>
      <c r="N5" s="32">
        <f t="shared" si="2"/>
        <v>4.416633964749999</v>
      </c>
      <c r="O5" s="32">
        <f>L5*(1-$C$10)*Dashboard!J5</f>
        <v>0</v>
      </c>
      <c r="P5" s="33">
        <f t="shared" ref="P5:P24" si="11">L5+M5-N5-O5</f>
        <v>27.036098874486292</v>
      </c>
      <c r="Q5" s="31">
        <f t="shared" ref="Q5:Q24" si="12">V4</f>
        <v>6.1649635914285721</v>
      </c>
      <c r="R5" s="32">
        <f t="shared" ref="R5:R24" si="13">N4</f>
        <v>1.2928124999999999</v>
      </c>
      <c r="S5" s="32">
        <f t="shared" si="3"/>
        <v>0.44035454224489801</v>
      </c>
      <c r="T5" s="32">
        <f>(1-$C$11)*Q5*Dashboard!J5</f>
        <v>0</v>
      </c>
      <c r="U5" s="32">
        <f t="shared" si="4"/>
        <v>0.77678541252</v>
      </c>
      <c r="V5" s="33">
        <f t="shared" si="5"/>
        <v>6.2406361366636744</v>
      </c>
      <c r="W5" s="31">
        <f t="shared" ref="W5:W24" si="14">Z4</f>
        <v>23.831499450428566</v>
      </c>
      <c r="X5" s="32">
        <f t="shared" ref="X5:X24" si="15">R4</f>
        <v>1.7237499999999999</v>
      </c>
      <c r="Y5" s="33">
        <f>W5+X5</f>
        <v>25.555249450428565</v>
      </c>
      <c r="Z5" s="43">
        <f t="shared" si="7"/>
        <v>33.276735011149967</v>
      </c>
    </row>
    <row r="6" spans="2:26" s="2" customFormat="1" ht="18" x14ac:dyDescent="0.35">
      <c r="B6" s="45" t="s">
        <v>26</v>
      </c>
      <c r="C6" s="122">
        <f>1/C5</f>
        <v>0.25</v>
      </c>
      <c r="D6" s="10"/>
      <c r="E6" s="11" t="s">
        <v>5</v>
      </c>
      <c r="F6" s="12" t="s">
        <v>6</v>
      </c>
      <c r="G6" s="13">
        <v>4</v>
      </c>
      <c r="H6" s="42"/>
      <c r="I6" s="31">
        <f t="shared" si="8"/>
        <v>99944.851408797083</v>
      </c>
      <c r="J6" s="32">
        <f t="shared" si="0"/>
        <v>13.782395009273117</v>
      </c>
      <c r="K6" s="33">
        <f t="shared" si="1"/>
        <v>99931.069013787812</v>
      </c>
      <c r="L6" s="31">
        <f t="shared" si="9"/>
        <v>27.036098874486292</v>
      </c>
      <c r="M6" s="32">
        <f t="shared" si="10"/>
        <v>13.784295863672718</v>
      </c>
      <c r="N6" s="32">
        <f t="shared" si="2"/>
        <v>6.7590247186215731</v>
      </c>
      <c r="O6" s="32">
        <f>L6*(1-$C$10)*Dashboard!J6</f>
        <v>0</v>
      </c>
      <c r="P6" s="33">
        <f t="shared" si="11"/>
        <v>34.061370019537435</v>
      </c>
      <c r="Q6" s="31">
        <f t="shared" si="12"/>
        <v>6.2406361366636744</v>
      </c>
      <c r="R6" s="32">
        <f t="shared" si="13"/>
        <v>4.416633964749999</v>
      </c>
      <c r="S6" s="32">
        <f t="shared" si="3"/>
        <v>0.44575972404740527</v>
      </c>
      <c r="T6" s="32">
        <f>(1-$C$11)*Q6*Dashboard!J6</f>
        <v>0</v>
      </c>
      <c r="U6" s="32">
        <f t="shared" si="4"/>
        <v>0.78632015321962279</v>
      </c>
      <c r="V6" s="33">
        <f t="shared" si="5"/>
        <v>9.4251902241466432</v>
      </c>
      <c r="W6" s="31">
        <f t="shared" si="14"/>
        <v>33.276735011149967</v>
      </c>
      <c r="X6" s="32">
        <f t="shared" si="15"/>
        <v>1.2928124999999999</v>
      </c>
      <c r="Y6" s="33">
        <f t="shared" si="6"/>
        <v>34.569547511149963</v>
      </c>
      <c r="Z6" s="43">
        <f t="shared" si="7"/>
        <v>43.486560243684082</v>
      </c>
    </row>
    <row r="7" spans="2:26" s="2" customFormat="1" ht="18" x14ac:dyDescent="0.35">
      <c r="B7" s="45" t="s">
        <v>29</v>
      </c>
      <c r="C7" s="121">
        <f>Dashboard!D8</f>
        <v>14</v>
      </c>
      <c r="D7" s="10"/>
      <c r="E7" s="11" t="s">
        <v>5</v>
      </c>
      <c r="F7" s="12" t="s">
        <v>7</v>
      </c>
      <c r="G7" s="13">
        <v>5</v>
      </c>
      <c r="H7" s="42"/>
      <c r="I7" s="31">
        <f t="shared" si="8"/>
        <v>99931.069013787812</v>
      </c>
      <c r="J7" s="32">
        <f t="shared" si="0"/>
        <v>13.780494417001337</v>
      </c>
      <c r="K7" s="33">
        <f t="shared" si="1"/>
        <v>99917.288519370806</v>
      </c>
      <c r="L7" s="31">
        <f t="shared" si="9"/>
        <v>34.061370019537435</v>
      </c>
      <c r="M7" s="32">
        <f t="shared" si="10"/>
        <v>13.782395009273117</v>
      </c>
      <c r="N7" s="32">
        <f t="shared" si="2"/>
        <v>8.5153425048843587</v>
      </c>
      <c r="O7" s="32">
        <f>L7*(1-$C$10)*Dashboard!J7</f>
        <v>0</v>
      </c>
      <c r="P7" s="33">
        <f t="shared" si="11"/>
        <v>39.328422523926193</v>
      </c>
      <c r="Q7" s="31">
        <f t="shared" si="12"/>
        <v>9.4251902241466432</v>
      </c>
      <c r="R7" s="32">
        <f t="shared" si="13"/>
        <v>6.7590247186215731</v>
      </c>
      <c r="S7" s="32">
        <f t="shared" si="3"/>
        <v>0.67322787315333166</v>
      </c>
      <c r="T7" s="32">
        <f>(1-$C$11)*Q7*Dashboard!J7</f>
        <v>0</v>
      </c>
      <c r="U7" s="32">
        <f t="shared" si="4"/>
        <v>1.1875739682424769</v>
      </c>
      <c r="V7" s="33">
        <f t="shared" si="5"/>
        <v>14.323413101372406</v>
      </c>
      <c r="W7" s="31">
        <f t="shared" si="14"/>
        <v>43.486560243684082</v>
      </c>
      <c r="X7" s="32">
        <f t="shared" si="15"/>
        <v>4.416633964749999</v>
      </c>
      <c r="Y7" s="33">
        <f t="shared" si="6"/>
        <v>47.90319420843408</v>
      </c>
      <c r="Z7" s="43">
        <f t="shared" si="7"/>
        <v>53.651835625298602</v>
      </c>
    </row>
    <row r="8" spans="2:26" s="2" customFormat="1" ht="18" x14ac:dyDescent="0.35">
      <c r="B8" s="45" t="s">
        <v>27</v>
      </c>
      <c r="C8" s="122">
        <f>1/C7</f>
        <v>7.1428571428571425E-2</v>
      </c>
      <c r="D8" s="10"/>
      <c r="E8" s="11" t="s">
        <v>467</v>
      </c>
      <c r="F8" s="12" t="s">
        <v>8</v>
      </c>
      <c r="G8" s="13">
        <v>6</v>
      </c>
      <c r="H8" s="42"/>
      <c r="I8" s="31">
        <f t="shared" si="8"/>
        <v>99917.288519370806</v>
      </c>
      <c r="J8" s="32">
        <f t="shared" si="0"/>
        <v>13.778594086821233</v>
      </c>
      <c r="K8" s="33">
        <f t="shared" si="1"/>
        <v>99903.509925283986</v>
      </c>
      <c r="L8" s="31">
        <f t="shared" si="9"/>
        <v>39.328422523926193</v>
      </c>
      <c r="M8" s="32">
        <f t="shared" si="10"/>
        <v>13.780494417001337</v>
      </c>
      <c r="N8" s="32">
        <f t="shared" si="2"/>
        <v>9.8321056309815482</v>
      </c>
      <c r="O8" s="32">
        <f>L8*(1-$C$10)*Dashboard!J8</f>
        <v>0</v>
      </c>
      <c r="P8" s="33">
        <f t="shared" si="11"/>
        <v>43.276811309945984</v>
      </c>
      <c r="Q8" s="31">
        <f t="shared" si="12"/>
        <v>14.323413101372406</v>
      </c>
      <c r="R8" s="32">
        <f t="shared" si="13"/>
        <v>8.5153425048843587</v>
      </c>
      <c r="S8" s="32">
        <f t="shared" si="3"/>
        <v>1.0231009358123146</v>
      </c>
      <c r="T8" s="32">
        <f>(1-$C$11)*Q8*Dashboard!J8</f>
        <v>0</v>
      </c>
      <c r="U8" s="32">
        <f t="shared" si="4"/>
        <v>1.8047500507729228</v>
      </c>
      <c r="V8" s="33">
        <f t="shared" si="5"/>
        <v>20.010904619671525</v>
      </c>
      <c r="W8" s="31">
        <f t="shared" si="14"/>
        <v>53.651835625298602</v>
      </c>
      <c r="X8" s="32">
        <f t="shared" si="15"/>
        <v>6.7590247186215731</v>
      </c>
      <c r="Y8" s="33">
        <f t="shared" si="6"/>
        <v>60.410860343920177</v>
      </c>
      <c r="Z8" s="43">
        <f t="shared" si="7"/>
        <v>63.287715929617505</v>
      </c>
    </row>
    <row r="9" spans="2:26" s="2" customFormat="1" ht="18" x14ac:dyDescent="0.35">
      <c r="B9" s="45" t="s">
        <v>30</v>
      </c>
      <c r="C9" s="122">
        <f>Dashboard!D11</f>
        <v>0.18</v>
      </c>
      <c r="D9" s="10"/>
      <c r="E9" s="11" t="s">
        <v>9</v>
      </c>
      <c r="F9" s="12" t="s">
        <v>10</v>
      </c>
      <c r="G9" s="13">
        <v>7</v>
      </c>
      <c r="H9" s="42"/>
      <c r="I9" s="31">
        <f t="shared" si="8"/>
        <v>99903.509925283986</v>
      </c>
      <c r="J9" s="32">
        <f>I9*$C$4*$C$19</f>
        <v>27.553388037393322</v>
      </c>
      <c r="K9" s="33">
        <f t="shared" si="1"/>
        <v>99875.956537246588</v>
      </c>
      <c r="L9" s="31">
        <f t="shared" si="9"/>
        <v>43.276811309945984</v>
      </c>
      <c r="M9" s="35">
        <f t="shared" si="10"/>
        <v>13.778594086821233</v>
      </c>
      <c r="N9" s="32">
        <f t="shared" si="2"/>
        <v>10.819202827486496</v>
      </c>
      <c r="O9" s="34"/>
      <c r="P9" s="33">
        <f t="shared" si="11"/>
        <v>46.236202569280721</v>
      </c>
      <c r="Q9" s="31">
        <f t="shared" si="12"/>
        <v>20.010904619671525</v>
      </c>
      <c r="R9" s="32">
        <f t="shared" si="13"/>
        <v>9.8321056309815482</v>
      </c>
      <c r="S9" s="32">
        <f t="shared" si="3"/>
        <v>1.4293503299765373</v>
      </c>
      <c r="T9" s="34"/>
      <c r="U9" s="32">
        <f t="shared" si="4"/>
        <v>2.5213739820786119</v>
      </c>
      <c r="V9" s="33">
        <f t="shared" si="5"/>
        <v>25.892285938597926</v>
      </c>
      <c r="W9" s="31">
        <f t="shared" si="14"/>
        <v>63.287715929617505</v>
      </c>
      <c r="X9" s="32">
        <f t="shared" si="15"/>
        <v>8.5153425048843587</v>
      </c>
      <c r="Y9" s="33">
        <f t="shared" si="6"/>
        <v>71.803058434501864</v>
      </c>
      <c r="Z9" s="43">
        <f t="shared" si="7"/>
        <v>72.128488507878643</v>
      </c>
    </row>
    <row r="10" spans="2:26" s="2" customFormat="1" ht="18" x14ac:dyDescent="0.35">
      <c r="B10" s="45" t="s">
        <v>31</v>
      </c>
      <c r="C10" s="122">
        <f>Dashboard!D14</f>
        <v>0.84</v>
      </c>
      <c r="D10" s="10"/>
      <c r="E10" s="15" t="s">
        <v>382</v>
      </c>
      <c r="F10" s="16" t="s">
        <v>583</v>
      </c>
      <c r="G10" s="17">
        <v>8</v>
      </c>
      <c r="H10" s="42"/>
      <c r="I10" s="31">
        <f t="shared" si="8"/>
        <v>99875.956537246588</v>
      </c>
      <c r="J10" s="34"/>
      <c r="K10" s="33">
        <f t="shared" si="1"/>
        <v>99875.956537246588</v>
      </c>
      <c r="L10" s="31">
        <f t="shared" si="9"/>
        <v>46.236202569280721</v>
      </c>
      <c r="M10" s="35">
        <f t="shared" si="10"/>
        <v>27.553388037393322</v>
      </c>
      <c r="N10" s="32">
        <f t="shared" si="2"/>
        <v>11.55905064232018</v>
      </c>
      <c r="O10" s="32">
        <f>L10*(1-$C$10)*Dashboard!J9</f>
        <v>7.3977924110849171</v>
      </c>
      <c r="P10" s="33">
        <f>L10+M10-N10-O10</f>
        <v>54.832747553268945</v>
      </c>
      <c r="Q10" s="31">
        <f t="shared" si="12"/>
        <v>25.892285938597926</v>
      </c>
      <c r="R10" s="32">
        <f t="shared" si="13"/>
        <v>10.819202827486496</v>
      </c>
      <c r="S10" s="32">
        <f t="shared" si="3"/>
        <v>1.8494489956141376</v>
      </c>
      <c r="T10" s="32">
        <f>(1-$C$11)*Q10*Dashboard!J9</f>
        <v>18.383523016404528</v>
      </c>
      <c r="U10" s="32">
        <f t="shared" si="4"/>
        <v>3.2624280282633387</v>
      </c>
      <c r="V10" s="33">
        <f t="shared" si="5"/>
        <v>13.216088725802416</v>
      </c>
      <c r="W10" s="31">
        <f t="shared" si="14"/>
        <v>72.128488507878643</v>
      </c>
      <c r="X10" s="32">
        <f t="shared" si="15"/>
        <v>9.8321056309815482</v>
      </c>
      <c r="Y10" s="33">
        <f t="shared" si="6"/>
        <v>81.960594138860188</v>
      </c>
      <c r="Z10" s="43">
        <f t="shared" si="7"/>
        <v>68.048836279071367</v>
      </c>
    </row>
    <row r="11" spans="2:26" s="2" customFormat="1" ht="18" x14ac:dyDescent="0.35">
      <c r="B11" s="45" t="s">
        <v>32</v>
      </c>
      <c r="C11" s="122">
        <f>Dashboard!D15</f>
        <v>0.28999999999999998</v>
      </c>
      <c r="D11" s="10"/>
      <c r="E11" s="11" t="s">
        <v>383</v>
      </c>
      <c r="F11" s="12" t="s">
        <v>11</v>
      </c>
      <c r="G11" s="13">
        <v>9</v>
      </c>
      <c r="H11" s="42"/>
      <c r="I11" s="31">
        <f t="shared" si="8"/>
        <v>99875.956537246588</v>
      </c>
      <c r="J11" s="34"/>
      <c r="K11" s="33">
        <f t="shared" si="1"/>
        <v>99875.956537246588</v>
      </c>
      <c r="L11" s="31">
        <f>P10</f>
        <v>54.832747553268945</v>
      </c>
      <c r="M11" s="36"/>
      <c r="N11" s="32">
        <f t="shared" si="2"/>
        <v>13.708186888317236</v>
      </c>
      <c r="O11" s="32">
        <f>L11*(1-$C$10)*Dashboard!J11</f>
        <v>0</v>
      </c>
      <c r="P11" s="33">
        <f t="shared" si="11"/>
        <v>41.124560664951709</v>
      </c>
      <c r="Q11" s="31">
        <f t="shared" si="12"/>
        <v>13.216088725802416</v>
      </c>
      <c r="R11" s="32">
        <f t="shared" si="13"/>
        <v>11.55905064232018</v>
      </c>
      <c r="S11" s="32">
        <f t="shared" si="3"/>
        <v>0.94400633755731544</v>
      </c>
      <c r="T11" s="32">
        <f>Q11*(1-$C$11)*Dashboard!J11</f>
        <v>0</v>
      </c>
      <c r="U11" s="32">
        <f t="shared" si="4"/>
        <v>1.6652271794511044</v>
      </c>
      <c r="V11" s="33">
        <f t="shared" si="5"/>
        <v>22.165905851114175</v>
      </c>
      <c r="W11" s="31">
        <f t="shared" si="14"/>
        <v>68.048836279071367</v>
      </c>
      <c r="X11" s="32">
        <f t="shared" si="15"/>
        <v>10.819202827486496</v>
      </c>
      <c r="Y11" s="33">
        <f t="shared" si="6"/>
        <v>78.868039106557859</v>
      </c>
      <c r="Z11" s="43">
        <f t="shared" si="7"/>
        <v>63.290466516065884</v>
      </c>
    </row>
    <row r="12" spans="2:26" s="2" customFormat="1" ht="16.2" x14ac:dyDescent="0.35">
      <c r="B12" s="9"/>
      <c r="C12" s="119"/>
      <c r="D12" s="10"/>
      <c r="E12" s="11" t="s">
        <v>384</v>
      </c>
      <c r="F12" s="12" t="s">
        <v>12</v>
      </c>
      <c r="G12" s="13">
        <v>10</v>
      </c>
      <c r="H12" s="42"/>
      <c r="I12" s="31">
        <f t="shared" si="8"/>
        <v>99875.956537246588</v>
      </c>
      <c r="J12" s="34"/>
      <c r="K12" s="33">
        <f t="shared" si="1"/>
        <v>99875.956537246588</v>
      </c>
      <c r="L12" s="31">
        <f t="shared" si="9"/>
        <v>41.124560664951709</v>
      </c>
      <c r="M12" s="36"/>
      <c r="N12" s="32">
        <f t="shared" si="2"/>
        <v>10.281140166237927</v>
      </c>
      <c r="O12" s="32">
        <f>L12*(1-$C$10)*Dashboard!J12</f>
        <v>0</v>
      </c>
      <c r="P12" s="33">
        <f t="shared" si="11"/>
        <v>30.843420498713783</v>
      </c>
      <c r="Q12" s="31">
        <f t="shared" si="12"/>
        <v>22.165905851114175</v>
      </c>
      <c r="R12" s="32">
        <f t="shared" si="13"/>
        <v>13.708186888317236</v>
      </c>
      <c r="S12" s="32">
        <f t="shared" si="3"/>
        <v>1.5832789893652981</v>
      </c>
      <c r="T12" s="32">
        <f>Q12*(1-$C$11)*Dashboard!J12</f>
        <v>0</v>
      </c>
      <c r="U12" s="32">
        <f t="shared" si="4"/>
        <v>2.7929041372403858</v>
      </c>
      <c r="V12" s="33">
        <f t="shared" si="5"/>
        <v>31.49790961282573</v>
      </c>
      <c r="W12" s="31">
        <f t="shared" si="14"/>
        <v>63.290466516065884</v>
      </c>
      <c r="X12" s="32">
        <f t="shared" si="15"/>
        <v>11.55905064232018</v>
      </c>
      <c r="Y12" s="33">
        <f t="shared" si="6"/>
        <v>74.849517158386064</v>
      </c>
      <c r="Z12" s="43">
        <f t="shared" si="7"/>
        <v>62.341330111539513</v>
      </c>
    </row>
    <row r="13" spans="2:26" s="2" customFormat="1" ht="16.2" x14ac:dyDescent="0.35">
      <c r="B13" s="30" t="s">
        <v>40</v>
      </c>
      <c r="C13" s="123" t="s">
        <v>0</v>
      </c>
      <c r="D13" s="10"/>
      <c r="E13" s="11" t="s">
        <v>385</v>
      </c>
      <c r="F13" s="12" t="s">
        <v>13</v>
      </c>
      <c r="G13" s="13">
        <v>11</v>
      </c>
      <c r="H13" s="42"/>
      <c r="I13" s="31">
        <f t="shared" si="8"/>
        <v>99875.956537246588</v>
      </c>
      <c r="J13" s="34"/>
      <c r="K13" s="33">
        <f t="shared" si="1"/>
        <v>99875.956537246588</v>
      </c>
      <c r="L13" s="31">
        <f t="shared" si="9"/>
        <v>30.843420498713783</v>
      </c>
      <c r="M13" s="36"/>
      <c r="N13" s="32">
        <f t="shared" si="2"/>
        <v>7.7108551246784458</v>
      </c>
      <c r="O13" s="32">
        <f>L13*(1-$C$10)*Dashboard!J13</f>
        <v>0</v>
      </c>
      <c r="P13" s="33">
        <f t="shared" si="11"/>
        <v>23.132565374035337</v>
      </c>
      <c r="Q13" s="31">
        <f t="shared" si="12"/>
        <v>31.49790961282573</v>
      </c>
      <c r="R13" s="32">
        <f t="shared" si="13"/>
        <v>10.281140166237927</v>
      </c>
      <c r="S13" s="32">
        <f t="shared" si="3"/>
        <v>2.2498506866304093</v>
      </c>
      <c r="T13" s="32">
        <f>Q13*(1-$C$11)*Dashboard!J13</f>
        <v>0</v>
      </c>
      <c r="U13" s="32">
        <f t="shared" si="4"/>
        <v>3.9687366112160416</v>
      </c>
      <c r="V13" s="33">
        <f t="shared" si="5"/>
        <v>35.560462481217201</v>
      </c>
      <c r="W13" s="31">
        <f t="shared" si="14"/>
        <v>62.341330111539513</v>
      </c>
      <c r="X13" s="32">
        <f t="shared" si="15"/>
        <v>13.708186888317236</v>
      </c>
      <c r="Y13" s="33">
        <f t="shared" si="6"/>
        <v>76.049516999856749</v>
      </c>
      <c r="Z13" s="43">
        <f t="shared" si="7"/>
        <v>58.693027855252538</v>
      </c>
    </row>
    <row r="14" spans="2:26" s="2" customFormat="1" ht="18" x14ac:dyDescent="0.35">
      <c r="B14" s="45" t="s">
        <v>33</v>
      </c>
      <c r="C14" s="119">
        <f>Dashboard!D19</f>
        <v>1.9699999999999999E-4</v>
      </c>
      <c r="D14" s="10"/>
      <c r="E14" s="11" t="s">
        <v>386</v>
      </c>
      <c r="F14" s="12" t="s">
        <v>14</v>
      </c>
      <c r="G14" s="13">
        <v>12</v>
      </c>
      <c r="H14" s="42"/>
      <c r="I14" s="31">
        <f t="shared" si="8"/>
        <v>99875.956537246588</v>
      </c>
      <c r="J14" s="34"/>
      <c r="K14" s="33">
        <f t="shared" si="1"/>
        <v>99875.956537246588</v>
      </c>
      <c r="L14" s="31">
        <f t="shared" si="9"/>
        <v>23.132565374035337</v>
      </c>
      <c r="M14" s="36"/>
      <c r="N14" s="32">
        <f t="shared" si="2"/>
        <v>5.7831413435088344</v>
      </c>
      <c r="O14" s="32">
        <f>L14*(1-$C$10)*Dashboard!J14</f>
        <v>0</v>
      </c>
      <c r="P14" s="33">
        <f t="shared" si="11"/>
        <v>17.349424030526503</v>
      </c>
      <c r="Q14" s="31">
        <f t="shared" si="12"/>
        <v>35.560462481217201</v>
      </c>
      <c r="R14" s="32">
        <f t="shared" si="13"/>
        <v>7.7108551246784458</v>
      </c>
      <c r="S14" s="32">
        <f t="shared" si="3"/>
        <v>2.5400330343726569</v>
      </c>
      <c r="T14" s="32">
        <f>Q14*(1-$C$11)*Dashboard!J14</f>
        <v>0</v>
      </c>
      <c r="U14" s="32">
        <f t="shared" si="4"/>
        <v>4.4806182726333672</v>
      </c>
      <c r="V14" s="33">
        <f t="shared" si="5"/>
        <v>36.250666298889627</v>
      </c>
      <c r="W14" s="31">
        <f t="shared" si="14"/>
        <v>58.693027855252538</v>
      </c>
      <c r="X14" s="32">
        <f t="shared" si="15"/>
        <v>10.281140166237927</v>
      </c>
      <c r="Y14" s="33">
        <f t="shared" si="6"/>
        <v>68.97416802149047</v>
      </c>
      <c r="Z14" s="43">
        <f t="shared" si="7"/>
        <v>53.600090329416133</v>
      </c>
    </row>
    <row r="15" spans="2:26" s="2" customFormat="1" ht="18" x14ac:dyDescent="0.35">
      <c r="B15" s="45" t="s">
        <v>34</v>
      </c>
      <c r="C15" s="125">
        <v>1</v>
      </c>
      <c r="D15" s="10"/>
      <c r="E15" s="11" t="s">
        <v>387</v>
      </c>
      <c r="F15" s="12" t="s">
        <v>15</v>
      </c>
      <c r="G15" s="13">
        <v>13</v>
      </c>
      <c r="H15" s="42"/>
      <c r="I15" s="31">
        <f t="shared" si="8"/>
        <v>99875.956537246588</v>
      </c>
      <c r="J15" s="34"/>
      <c r="K15" s="33">
        <f t="shared" si="1"/>
        <v>99875.956537246588</v>
      </c>
      <c r="L15" s="31">
        <f t="shared" si="9"/>
        <v>17.349424030526503</v>
      </c>
      <c r="M15" s="36"/>
      <c r="N15" s="32">
        <f t="shared" si="2"/>
        <v>4.3373560076316258</v>
      </c>
      <c r="O15" s="32">
        <f>L15*(1-$C$10)*Dashboard!J15</f>
        <v>0</v>
      </c>
      <c r="P15" s="33">
        <f t="shared" si="11"/>
        <v>13.012068022894876</v>
      </c>
      <c r="Q15" s="31">
        <f t="shared" si="12"/>
        <v>36.250666298889627</v>
      </c>
      <c r="R15" s="32">
        <f t="shared" si="13"/>
        <v>5.7831413435088344</v>
      </c>
      <c r="S15" s="32">
        <f t="shared" si="3"/>
        <v>2.5893333070635447</v>
      </c>
      <c r="T15" s="32">
        <f>Q15*(1-$C$11)*Dashboard!J15</f>
        <v>0</v>
      </c>
      <c r="U15" s="32">
        <f t="shared" si="4"/>
        <v>4.5675839536600922</v>
      </c>
      <c r="V15" s="33">
        <f t="shared" si="5"/>
        <v>34.876890381674819</v>
      </c>
      <c r="W15" s="31">
        <f t="shared" si="14"/>
        <v>53.600090329416133</v>
      </c>
      <c r="X15" s="32">
        <f t="shared" si="15"/>
        <v>7.7108551246784458</v>
      </c>
      <c r="Y15" s="33">
        <f t="shared" si="6"/>
        <v>61.310945454094579</v>
      </c>
      <c r="Z15" s="43">
        <f t="shared" si="7"/>
        <v>47.888958404569692</v>
      </c>
    </row>
    <row r="16" spans="2:26" s="2" customFormat="1" ht="16.2" x14ac:dyDescent="0.35">
      <c r="B16" s="9"/>
      <c r="C16" s="119"/>
      <c r="D16" s="10"/>
      <c r="E16" s="11" t="s">
        <v>388</v>
      </c>
      <c r="F16" s="12" t="s">
        <v>16</v>
      </c>
      <c r="G16" s="13">
        <v>14</v>
      </c>
      <c r="H16" s="42"/>
      <c r="I16" s="31">
        <f t="shared" si="8"/>
        <v>99875.956537246588</v>
      </c>
      <c r="J16" s="34"/>
      <c r="K16" s="33">
        <f t="shared" si="1"/>
        <v>99875.956537246588</v>
      </c>
      <c r="L16" s="31">
        <f t="shared" si="9"/>
        <v>13.012068022894876</v>
      </c>
      <c r="M16" s="36"/>
      <c r="N16" s="32">
        <f t="shared" si="2"/>
        <v>3.2530170057237191</v>
      </c>
      <c r="O16" s="32">
        <f>L16*(1-$C$10)*Dashboard!J16</f>
        <v>0</v>
      </c>
      <c r="P16" s="33">
        <f t="shared" si="11"/>
        <v>9.7590510171711564</v>
      </c>
      <c r="Q16" s="31">
        <f t="shared" si="12"/>
        <v>34.876890381674819</v>
      </c>
      <c r="R16" s="32">
        <f t="shared" si="13"/>
        <v>4.3373560076316258</v>
      </c>
      <c r="S16" s="32">
        <f t="shared" si="3"/>
        <v>2.4912064558339155</v>
      </c>
      <c r="T16" s="32">
        <f>Q16*(1-$C$11)*Dashboard!J16</f>
        <v>0</v>
      </c>
      <c r="U16" s="32">
        <f t="shared" si="4"/>
        <v>4.3944881880910271</v>
      </c>
      <c r="V16" s="33">
        <f t="shared" si="5"/>
        <v>32.328551745381503</v>
      </c>
      <c r="W16" s="31">
        <f t="shared" si="14"/>
        <v>47.888958404569692</v>
      </c>
      <c r="X16" s="32">
        <f t="shared" si="15"/>
        <v>5.7831413435088344</v>
      </c>
      <c r="Y16" s="33">
        <f t="shared" si="6"/>
        <v>53.672099748078523</v>
      </c>
      <c r="Z16" s="43">
        <f t="shared" si="7"/>
        <v>42.087602762552663</v>
      </c>
    </row>
    <row r="17" spans="2:26" s="2" customFormat="1" ht="16.2" x14ac:dyDescent="0.35">
      <c r="B17" s="30" t="s">
        <v>41</v>
      </c>
      <c r="C17" s="123" t="s">
        <v>0</v>
      </c>
      <c r="D17" s="10"/>
      <c r="E17" s="11" t="s">
        <v>389</v>
      </c>
      <c r="F17" s="12" t="s">
        <v>17</v>
      </c>
      <c r="G17" s="13">
        <v>15</v>
      </c>
      <c r="H17" s="42"/>
      <c r="I17" s="31">
        <f t="shared" si="8"/>
        <v>99875.956537246588</v>
      </c>
      <c r="J17" s="34"/>
      <c r="K17" s="33">
        <f t="shared" si="1"/>
        <v>99875.956537246588</v>
      </c>
      <c r="L17" s="31">
        <f t="shared" si="9"/>
        <v>9.7590510171711564</v>
      </c>
      <c r="M17" s="36"/>
      <c r="N17" s="32">
        <f t="shared" si="2"/>
        <v>2.4397627542927891</v>
      </c>
      <c r="O17" s="32">
        <f>L17*(1-$C$10)*Dashboard!J17</f>
        <v>0</v>
      </c>
      <c r="P17" s="33">
        <f t="shared" si="11"/>
        <v>7.3192882628783673</v>
      </c>
      <c r="Q17" s="31">
        <f t="shared" si="12"/>
        <v>32.328551745381503</v>
      </c>
      <c r="R17" s="32">
        <f t="shared" si="13"/>
        <v>3.2530170057237191</v>
      </c>
      <c r="S17" s="32">
        <f t="shared" si="3"/>
        <v>2.30918226752725</v>
      </c>
      <c r="T17" s="32">
        <f>Q17*(1-$C$11)*Dashboard!J17</f>
        <v>0</v>
      </c>
      <c r="U17" s="32">
        <f t="shared" si="4"/>
        <v>4.0733975199180694</v>
      </c>
      <c r="V17" s="33">
        <f t="shared" si="5"/>
        <v>29.198988963659907</v>
      </c>
      <c r="W17" s="31">
        <f t="shared" si="14"/>
        <v>42.087602762552663</v>
      </c>
      <c r="X17" s="32">
        <f t="shared" si="15"/>
        <v>4.3373560076316258</v>
      </c>
      <c r="Y17" s="33">
        <f t="shared" si="6"/>
        <v>46.42495877018429</v>
      </c>
      <c r="Z17" s="43">
        <f t="shared" si="7"/>
        <v>36.518277226538274</v>
      </c>
    </row>
    <row r="18" spans="2:26" s="2" customFormat="1" ht="18" x14ac:dyDescent="0.35">
      <c r="B18" s="45" t="s">
        <v>35</v>
      </c>
      <c r="C18" s="119">
        <f>Dashboard!D30</f>
        <v>0.3</v>
      </c>
      <c r="D18" s="10"/>
      <c r="E18" s="11" t="s">
        <v>390</v>
      </c>
      <c r="F18" s="12" t="s">
        <v>18</v>
      </c>
      <c r="G18" s="13">
        <v>16</v>
      </c>
      <c r="H18" s="42"/>
      <c r="I18" s="31">
        <f t="shared" si="8"/>
        <v>99875.956537246588</v>
      </c>
      <c r="J18" s="34"/>
      <c r="K18" s="33">
        <f t="shared" si="1"/>
        <v>99875.956537246588</v>
      </c>
      <c r="L18" s="31">
        <f t="shared" si="9"/>
        <v>7.3192882628783673</v>
      </c>
      <c r="M18" s="36"/>
      <c r="N18" s="32">
        <f t="shared" si="2"/>
        <v>1.8298220657195918</v>
      </c>
      <c r="O18" s="32">
        <f>L18*(1-$C$10)*Dashboard!J18</f>
        <v>0</v>
      </c>
      <c r="P18" s="33">
        <f t="shared" si="11"/>
        <v>5.4894661971587757</v>
      </c>
      <c r="Q18" s="31">
        <f t="shared" si="12"/>
        <v>29.198988963659907</v>
      </c>
      <c r="R18" s="32">
        <f t="shared" si="13"/>
        <v>2.4397627542927891</v>
      </c>
      <c r="S18" s="32">
        <f t="shared" si="3"/>
        <v>2.0856420688328505</v>
      </c>
      <c r="T18" s="32">
        <f>Q18*(1-$C$11)*Dashboard!J18</f>
        <v>0</v>
      </c>
      <c r="U18" s="32">
        <f t="shared" si="4"/>
        <v>3.6790726094211479</v>
      </c>
      <c r="V18" s="33">
        <f t="shared" si="5"/>
        <v>25.874037039698699</v>
      </c>
      <c r="W18" s="31">
        <f t="shared" si="14"/>
        <v>36.518277226538274</v>
      </c>
      <c r="X18" s="32">
        <f t="shared" si="15"/>
        <v>3.2530170057237191</v>
      </c>
      <c r="Y18" s="33">
        <f t="shared" si="6"/>
        <v>39.771294232261994</v>
      </c>
      <c r="Z18" s="43">
        <f t="shared" si="7"/>
        <v>31.363503236857476</v>
      </c>
    </row>
    <row r="19" spans="2:26" s="2" customFormat="1" ht="18" x14ac:dyDescent="0.35">
      <c r="B19" s="45" t="s">
        <v>36</v>
      </c>
      <c r="C19" s="119">
        <f>(((C15)*(1-C18))+(1-C15))</f>
        <v>0.7</v>
      </c>
      <c r="D19" s="10"/>
      <c r="E19" s="11" t="s">
        <v>391</v>
      </c>
      <c r="F19" s="12" t="s">
        <v>19</v>
      </c>
      <c r="G19" s="13">
        <v>17</v>
      </c>
      <c r="H19" s="42"/>
      <c r="I19" s="31">
        <f t="shared" si="8"/>
        <v>99875.956537246588</v>
      </c>
      <c r="J19" s="34"/>
      <c r="K19" s="33">
        <f t="shared" si="1"/>
        <v>99875.956537246588</v>
      </c>
      <c r="L19" s="31">
        <f t="shared" si="9"/>
        <v>5.4894661971587757</v>
      </c>
      <c r="M19" s="36"/>
      <c r="N19" s="32">
        <f t="shared" si="2"/>
        <v>1.3723665492896939</v>
      </c>
      <c r="O19" s="32">
        <f>L19*(1-$C$10)*Dashboard!J19</f>
        <v>0</v>
      </c>
      <c r="P19" s="33">
        <f t="shared" si="11"/>
        <v>4.1170996478690816</v>
      </c>
      <c r="Q19" s="31">
        <f t="shared" si="12"/>
        <v>25.874037039698699</v>
      </c>
      <c r="R19" s="32">
        <f t="shared" si="13"/>
        <v>1.8298220657195918</v>
      </c>
      <c r="S19" s="32">
        <f t="shared" si="3"/>
        <v>1.8481455028356213</v>
      </c>
      <c r="T19" s="32">
        <f>Q19*(1-$C$11)*Dashboard!J19</f>
        <v>0</v>
      </c>
      <c r="U19" s="32">
        <f t="shared" si="4"/>
        <v>3.2601286670020357</v>
      </c>
      <c r="V19" s="33">
        <f t="shared" si="5"/>
        <v>22.595584935580636</v>
      </c>
      <c r="W19" s="31">
        <f t="shared" si="14"/>
        <v>31.363503236857476</v>
      </c>
      <c r="X19" s="32">
        <f t="shared" si="15"/>
        <v>2.4397627542927891</v>
      </c>
      <c r="Y19" s="33">
        <f t="shared" si="6"/>
        <v>33.803265991150262</v>
      </c>
      <c r="Z19" s="43">
        <f t="shared" si="7"/>
        <v>26.712684583449718</v>
      </c>
    </row>
    <row r="20" spans="2:26" s="2" customFormat="1" ht="18" x14ac:dyDescent="0.35">
      <c r="B20" s="45" t="s">
        <v>37</v>
      </c>
      <c r="C20" s="119">
        <f>Dashboard!D31</f>
        <v>0.7</v>
      </c>
      <c r="D20" s="10"/>
      <c r="E20" s="11" t="s">
        <v>392</v>
      </c>
      <c r="F20" s="12" t="s">
        <v>20</v>
      </c>
      <c r="G20" s="13">
        <v>18</v>
      </c>
      <c r="H20" s="42"/>
      <c r="I20" s="31">
        <f t="shared" si="8"/>
        <v>99875.956537246588</v>
      </c>
      <c r="J20" s="34"/>
      <c r="K20" s="33">
        <f t="shared" si="1"/>
        <v>99875.956537246588</v>
      </c>
      <c r="L20" s="31">
        <f t="shared" si="9"/>
        <v>4.1170996478690816</v>
      </c>
      <c r="M20" s="36"/>
      <c r="N20" s="32">
        <f t="shared" si="2"/>
        <v>1.0292749119672704</v>
      </c>
      <c r="O20" s="32">
        <f>L20*(1-$C$10)*Dashboard!J20</f>
        <v>0</v>
      </c>
      <c r="P20" s="33">
        <f t="shared" si="11"/>
        <v>3.0878247359018109</v>
      </c>
      <c r="Q20" s="31">
        <f t="shared" si="12"/>
        <v>22.595584935580636</v>
      </c>
      <c r="R20" s="32">
        <f t="shared" si="13"/>
        <v>1.3723665492896939</v>
      </c>
      <c r="S20" s="32">
        <f t="shared" si="3"/>
        <v>1.6139703525414739</v>
      </c>
      <c r="T20" s="32">
        <f>Q20*(1-$C$11)*Dashboard!J20</f>
        <v>0</v>
      </c>
      <c r="U20" s="32">
        <f t="shared" si="4"/>
        <v>2.8470437018831598</v>
      </c>
      <c r="V20" s="33">
        <f t="shared" si="5"/>
        <v>19.506937430445696</v>
      </c>
      <c r="W20" s="31">
        <f t="shared" si="14"/>
        <v>26.712684583449718</v>
      </c>
      <c r="X20" s="32">
        <f t="shared" si="15"/>
        <v>1.8298220657195918</v>
      </c>
      <c r="Y20" s="33">
        <f t="shared" si="6"/>
        <v>28.542506649169312</v>
      </c>
      <c r="Z20" s="43">
        <f t="shared" si="7"/>
        <v>22.594762166347508</v>
      </c>
    </row>
    <row r="21" spans="2:26" s="2" customFormat="1" ht="18" x14ac:dyDescent="0.35">
      <c r="B21" s="45" t="s">
        <v>38</v>
      </c>
      <c r="C21" s="120">
        <f>(((C15)*(1-C20))+(1-C15))</f>
        <v>0.30000000000000004</v>
      </c>
      <c r="D21" s="10"/>
      <c r="E21" s="11" t="s">
        <v>393</v>
      </c>
      <c r="F21" s="12" t="s">
        <v>21</v>
      </c>
      <c r="G21" s="13">
        <v>19</v>
      </c>
      <c r="H21" s="42"/>
      <c r="I21" s="31">
        <f t="shared" si="8"/>
        <v>99875.956537246588</v>
      </c>
      <c r="J21" s="34"/>
      <c r="K21" s="33">
        <f t="shared" si="1"/>
        <v>99875.956537246588</v>
      </c>
      <c r="L21" s="31">
        <f t="shared" si="9"/>
        <v>3.0878247359018109</v>
      </c>
      <c r="M21" s="36"/>
      <c r="N21" s="32">
        <f t="shared" si="2"/>
        <v>0.77195618397545274</v>
      </c>
      <c r="O21" s="32">
        <f>L21*(1-$C$10)*Dashboard!J21</f>
        <v>0</v>
      </c>
      <c r="P21" s="33">
        <f t="shared" si="11"/>
        <v>2.315868551926358</v>
      </c>
      <c r="Q21" s="31">
        <f t="shared" si="12"/>
        <v>19.506937430445696</v>
      </c>
      <c r="R21" s="32">
        <f t="shared" si="13"/>
        <v>1.0292749119672704</v>
      </c>
      <c r="S21" s="32">
        <f t="shared" si="3"/>
        <v>1.393352673603264</v>
      </c>
      <c r="T21" s="32">
        <f>Q21*(1-$C$11)*Dashboard!J21</f>
        <v>0</v>
      </c>
      <c r="U21" s="32">
        <f t="shared" si="4"/>
        <v>2.4578741162361575</v>
      </c>
      <c r="V21" s="33">
        <f t="shared" si="5"/>
        <v>16.684985552573544</v>
      </c>
      <c r="W21" s="31">
        <f t="shared" si="14"/>
        <v>22.594762166347508</v>
      </c>
      <c r="X21" s="32">
        <f t="shared" si="15"/>
        <v>1.3723665492896939</v>
      </c>
      <c r="Y21" s="33">
        <f t="shared" si="6"/>
        <v>23.967128715637202</v>
      </c>
      <c r="Z21" s="43">
        <f t="shared" si="7"/>
        <v>19.000854104499901</v>
      </c>
    </row>
    <row r="22" spans="2:26" s="2" customFormat="1" ht="16.2" x14ac:dyDescent="0.35">
      <c r="B22" s="9"/>
      <c r="C22" s="18"/>
      <c r="D22" s="10"/>
      <c r="E22" s="11" t="s">
        <v>394</v>
      </c>
      <c r="F22" s="12" t="s">
        <v>22</v>
      </c>
      <c r="G22" s="13">
        <v>20</v>
      </c>
      <c r="H22" s="42"/>
      <c r="I22" s="31">
        <f t="shared" si="8"/>
        <v>99875.956537246588</v>
      </c>
      <c r="J22" s="34"/>
      <c r="K22" s="33">
        <f t="shared" si="1"/>
        <v>99875.956537246588</v>
      </c>
      <c r="L22" s="31">
        <f t="shared" si="9"/>
        <v>2.315868551926358</v>
      </c>
      <c r="M22" s="36"/>
      <c r="N22" s="32">
        <f t="shared" si="2"/>
        <v>0.5789671379815895</v>
      </c>
      <c r="O22" s="32">
        <f>L22*(1-$C$10)*Dashboard!J22</f>
        <v>0</v>
      </c>
      <c r="P22" s="33">
        <f t="shared" si="11"/>
        <v>1.7369014139447685</v>
      </c>
      <c r="Q22" s="31">
        <f t="shared" si="12"/>
        <v>16.684985552573544</v>
      </c>
      <c r="R22" s="32">
        <f t="shared" si="13"/>
        <v>0.77195618397545274</v>
      </c>
      <c r="S22" s="32">
        <f t="shared" si="3"/>
        <v>1.1917846823266816</v>
      </c>
      <c r="T22" s="32">
        <f>Q22*(1-$C$11)*Dashboard!J22</f>
        <v>0</v>
      </c>
      <c r="U22" s="32">
        <f t="shared" si="4"/>
        <v>2.1023081796242664</v>
      </c>
      <c r="V22" s="33">
        <f t="shared" si="5"/>
        <v>14.162848874598048</v>
      </c>
      <c r="W22" s="31">
        <f t="shared" si="14"/>
        <v>19.000854104499901</v>
      </c>
      <c r="X22" s="32">
        <f t="shared" si="15"/>
        <v>1.0292749119672704</v>
      </c>
      <c r="Y22" s="33">
        <f t="shared" si="6"/>
        <v>20.030129016467171</v>
      </c>
      <c r="Z22" s="43">
        <f t="shared" si="7"/>
        <v>15.899750288542815</v>
      </c>
    </row>
    <row r="23" spans="2:26" s="2" customFormat="1" ht="16.2" x14ac:dyDescent="0.35">
      <c r="B23" s="9"/>
      <c r="C23" s="18"/>
      <c r="D23" s="10"/>
      <c r="E23" s="11" t="s">
        <v>395</v>
      </c>
      <c r="F23" s="12" t="s">
        <v>13</v>
      </c>
      <c r="G23" s="13">
        <v>21</v>
      </c>
      <c r="H23" s="42"/>
      <c r="I23" s="31">
        <f t="shared" si="8"/>
        <v>99875.956537246588</v>
      </c>
      <c r="J23" s="34"/>
      <c r="K23" s="33">
        <f t="shared" si="1"/>
        <v>99875.956537246588</v>
      </c>
      <c r="L23" s="31">
        <f t="shared" si="9"/>
        <v>1.7369014139447685</v>
      </c>
      <c r="M23" s="36"/>
      <c r="N23" s="32">
        <f t="shared" si="2"/>
        <v>0.43422535348619212</v>
      </c>
      <c r="O23" s="32">
        <f>L23*(1-$C$10)*Dashboard!J23</f>
        <v>0</v>
      </c>
      <c r="P23" s="33">
        <f t="shared" si="11"/>
        <v>1.3026760604585763</v>
      </c>
      <c r="Q23" s="31">
        <f t="shared" si="12"/>
        <v>14.162848874598048</v>
      </c>
      <c r="R23" s="32">
        <f t="shared" si="13"/>
        <v>0.5789671379815895</v>
      </c>
      <c r="S23" s="32">
        <f t="shared" si="3"/>
        <v>1.0116320624712891</v>
      </c>
      <c r="T23" s="32">
        <f>Q23*(1-$C$11)*Dashboard!J23</f>
        <v>0</v>
      </c>
      <c r="U23" s="32">
        <f t="shared" si="4"/>
        <v>1.7845189581993537</v>
      </c>
      <c r="V23" s="33">
        <f t="shared" si="5"/>
        <v>11.945664991908995</v>
      </c>
      <c r="W23" s="31">
        <f t="shared" si="14"/>
        <v>15.899750288542815</v>
      </c>
      <c r="X23" s="32">
        <f t="shared" si="15"/>
        <v>0.77195618397545274</v>
      </c>
      <c r="Y23" s="33">
        <f t="shared" si="6"/>
        <v>16.671706472518267</v>
      </c>
      <c r="Z23" s="43">
        <f t="shared" si="7"/>
        <v>13.248341052367572</v>
      </c>
    </row>
    <row r="24" spans="2:26" s="2" customFormat="1" ht="16.8" thickBot="1" x14ac:dyDescent="0.4">
      <c r="B24" s="20"/>
      <c r="C24" s="21"/>
      <c r="D24" s="10"/>
      <c r="E24" s="22" t="s">
        <v>396</v>
      </c>
      <c r="F24" s="23" t="s">
        <v>23</v>
      </c>
      <c r="G24" s="24">
        <v>22</v>
      </c>
      <c r="H24" s="42"/>
      <c r="I24" s="37">
        <f t="shared" si="8"/>
        <v>99875.956537246588</v>
      </c>
      <c r="J24" s="38"/>
      <c r="K24" s="39">
        <f t="shared" si="1"/>
        <v>99875.956537246588</v>
      </c>
      <c r="L24" s="37">
        <f t="shared" si="9"/>
        <v>1.3026760604585763</v>
      </c>
      <c r="M24" s="38"/>
      <c r="N24" s="40">
        <f t="shared" si="2"/>
        <v>0.32566901511464408</v>
      </c>
      <c r="O24" s="40">
        <f>L24*(1-$C$10)*Dashboard!J24</f>
        <v>0.20842816967337224</v>
      </c>
      <c r="P24" s="39">
        <f t="shared" si="11"/>
        <v>0.76857887567056005</v>
      </c>
      <c r="Q24" s="31">
        <f t="shared" si="12"/>
        <v>11.945664991908995</v>
      </c>
      <c r="R24" s="40">
        <f t="shared" si="13"/>
        <v>0.43422535348619212</v>
      </c>
      <c r="S24" s="40">
        <f t="shared" si="3"/>
        <v>0.85326178513635675</v>
      </c>
      <c r="T24" s="40">
        <f>Q24*(1-$C$11)*Dashboard!J24</f>
        <v>8.4814221442553865</v>
      </c>
      <c r="U24" s="40">
        <f t="shared" si="4"/>
        <v>1.5051537889805331</v>
      </c>
      <c r="V24" s="39">
        <f t="shared" si="5"/>
        <v>1.5400526270229105</v>
      </c>
      <c r="W24" s="37">
        <f t="shared" si="14"/>
        <v>13.248341052367572</v>
      </c>
      <c r="X24" s="40">
        <f t="shared" si="15"/>
        <v>0.5789671379815895</v>
      </c>
      <c r="Y24" s="33">
        <f t="shared" si="6"/>
        <v>13.827308190349161</v>
      </c>
      <c r="Z24" s="44">
        <f t="shared" si="7"/>
        <v>2.3086315026934705</v>
      </c>
    </row>
    <row r="25" spans="2:26" s="2" customFormat="1" ht="4.95" customHeight="1" thickBot="1" x14ac:dyDescent="0.4">
      <c r="B25" s="25"/>
      <c r="C25" s="26"/>
      <c r="D25" s="10"/>
      <c r="E25" s="14"/>
      <c r="F25" s="14"/>
      <c r="G25" s="14"/>
      <c r="H25" s="14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2:26" s="2" customFormat="1" ht="16.2" customHeight="1" thickBot="1" x14ac:dyDescent="0.4">
      <c r="B26" s="190">
        <v>1</v>
      </c>
      <c r="C26" s="192"/>
      <c r="D26" s="8"/>
      <c r="E26" s="190">
        <v>2</v>
      </c>
      <c r="F26" s="191"/>
      <c r="G26" s="192"/>
      <c r="H26" s="8"/>
      <c r="I26" s="190">
        <v>3</v>
      </c>
      <c r="J26" s="191"/>
      <c r="K26" s="192"/>
      <c r="L26" s="190">
        <v>4</v>
      </c>
      <c r="M26" s="191"/>
      <c r="N26" s="191"/>
      <c r="O26" s="191"/>
      <c r="P26" s="192"/>
      <c r="Q26" s="190">
        <v>5</v>
      </c>
      <c r="R26" s="191"/>
      <c r="S26" s="191"/>
      <c r="T26" s="191"/>
      <c r="U26" s="191"/>
      <c r="V26" s="192"/>
      <c r="W26" s="190">
        <v>6</v>
      </c>
      <c r="X26" s="191"/>
      <c r="Y26" s="192"/>
      <c r="Z26" s="28">
        <v>7</v>
      </c>
    </row>
    <row r="27" spans="2:26" s="2" customFormat="1" ht="34.950000000000003" customHeight="1" x14ac:dyDescent="0.3">
      <c r="B27" s="4"/>
      <c r="C27" s="3"/>
      <c r="E27" s="3"/>
      <c r="F27" s="3"/>
      <c r="G27" s="3"/>
      <c r="H27" s="3"/>
      <c r="I27" s="3"/>
      <c r="J27" s="3"/>
    </row>
    <row r="28" spans="2:26" s="2" customFormat="1" x14ac:dyDescent="0.3">
      <c r="B28" s="4"/>
      <c r="C28" s="3"/>
      <c r="E28" s="3"/>
      <c r="F28" s="3"/>
      <c r="G28" s="3"/>
      <c r="H28" s="3"/>
      <c r="I28" s="3"/>
      <c r="J28" s="3"/>
    </row>
  </sheetData>
  <mergeCells count="6">
    <mergeCell ref="W26:Y26"/>
    <mergeCell ref="B26:C26"/>
    <mergeCell ref="E26:G26"/>
    <mergeCell ref="I26:K26"/>
    <mergeCell ref="L26:P26"/>
    <mergeCell ref="Q26:V2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DA27-96E8-4401-B2C5-618FAC48582B}">
  <dimension ref="A1:AA28"/>
  <sheetViews>
    <sheetView workbookViewId="0">
      <selection activeCell="F10" sqref="F10"/>
    </sheetView>
  </sheetViews>
  <sheetFormatPr defaultRowHeight="15.6" x14ac:dyDescent="0.3"/>
  <cols>
    <col min="1" max="1" width="1.88671875" style="2" customWidth="1"/>
    <col min="2" max="2" width="4.88671875" style="5" customWidth="1"/>
    <col min="3" max="3" width="11.33203125" style="1" customWidth="1"/>
    <col min="4" max="4" width="2.6640625" style="2" customWidth="1"/>
    <col min="5" max="5" width="6" style="1" bestFit="1" customWidth="1"/>
    <col min="6" max="6" width="10.88671875" style="1" bestFit="1" customWidth="1"/>
    <col min="7" max="7" width="3" style="1" bestFit="1" customWidth="1"/>
    <col min="8" max="8" width="1.44140625" style="3" customWidth="1"/>
    <col min="9" max="9" width="8.88671875" style="1" bestFit="1" customWidth="1"/>
    <col min="10" max="10" width="7.6640625" style="1" bestFit="1" customWidth="1"/>
    <col min="11" max="12" width="9.33203125" bestFit="1" customWidth="1"/>
    <col min="13" max="13" width="10.44140625" bestFit="1" customWidth="1"/>
    <col min="14" max="14" width="9.33203125" bestFit="1" customWidth="1"/>
    <col min="15" max="15" width="9.6640625" bestFit="1" customWidth="1"/>
    <col min="16" max="16" width="7.5546875" customWidth="1"/>
    <col min="17" max="17" width="6.6640625" bestFit="1" customWidth="1"/>
    <col min="18" max="18" width="9.33203125" bestFit="1" customWidth="1"/>
    <col min="19" max="19" width="8.33203125" bestFit="1" customWidth="1"/>
    <col min="20" max="20" width="8.88671875" bestFit="1" customWidth="1"/>
    <col min="21" max="21" width="10.5546875" bestFit="1" customWidth="1"/>
    <col min="22" max="22" width="5.44140625" bestFit="1" customWidth="1"/>
    <col min="23" max="23" width="7.6640625" bestFit="1" customWidth="1"/>
    <col min="24" max="24" width="8.33203125" bestFit="1" customWidth="1"/>
    <col min="25" max="25" width="6.44140625" bestFit="1" customWidth="1"/>
    <col min="26" max="26" width="7.5546875" customWidth="1"/>
    <col min="27" max="27" width="10.109375" style="2" customWidth="1"/>
  </cols>
  <sheetData>
    <row r="1" spans="2:26" s="2" customFormat="1" ht="6.6" customHeight="1" thickBot="1" x14ac:dyDescent="0.35">
      <c r="B1" s="4"/>
      <c r="C1" s="3"/>
      <c r="E1" s="3"/>
      <c r="F1" s="3"/>
      <c r="G1" s="3"/>
      <c r="H1" s="3"/>
      <c r="I1" s="3"/>
      <c r="J1" s="3"/>
    </row>
    <row r="2" spans="2:26" s="2" customFormat="1" ht="20.399999999999999" customHeight="1" x14ac:dyDescent="0.5">
      <c r="B2" s="29" t="s">
        <v>39</v>
      </c>
      <c r="C2" s="6" t="s">
        <v>0</v>
      </c>
      <c r="D2" s="7"/>
      <c r="E2" s="46" t="s">
        <v>469</v>
      </c>
      <c r="F2" s="47" t="s">
        <v>470</v>
      </c>
      <c r="G2" s="48" t="s">
        <v>468</v>
      </c>
      <c r="H2" s="8"/>
      <c r="I2" s="46" t="s">
        <v>471</v>
      </c>
      <c r="J2" s="49" t="s">
        <v>472</v>
      </c>
      <c r="K2" s="48" t="s">
        <v>473</v>
      </c>
      <c r="L2" s="46" t="s">
        <v>474</v>
      </c>
      <c r="M2" s="47" t="s">
        <v>475</v>
      </c>
      <c r="N2" s="47" t="s">
        <v>479</v>
      </c>
      <c r="O2" s="47" t="s">
        <v>476</v>
      </c>
      <c r="P2" s="48" t="s">
        <v>477</v>
      </c>
      <c r="Q2" s="50" t="s">
        <v>478</v>
      </c>
      <c r="R2" s="47" t="s">
        <v>479</v>
      </c>
      <c r="S2" s="47" t="s">
        <v>484</v>
      </c>
      <c r="T2" s="47" t="s">
        <v>480</v>
      </c>
      <c r="U2" s="47" t="s">
        <v>481</v>
      </c>
      <c r="V2" s="48" t="s">
        <v>482</v>
      </c>
      <c r="W2" s="46" t="s">
        <v>483</v>
      </c>
      <c r="X2" s="47" t="s">
        <v>484</v>
      </c>
      <c r="Y2" s="48" t="s">
        <v>485</v>
      </c>
      <c r="Z2" s="51" t="s">
        <v>564</v>
      </c>
    </row>
    <row r="3" spans="2:26" s="2" customFormat="1" ht="18" x14ac:dyDescent="0.35">
      <c r="B3" s="45" t="s">
        <v>24</v>
      </c>
      <c r="C3" s="121">
        <f>Dashboard!D5</f>
        <v>100000</v>
      </c>
      <c r="D3" s="10"/>
      <c r="E3" s="11" t="s">
        <v>1</v>
      </c>
      <c r="F3" s="12" t="s">
        <v>2</v>
      </c>
      <c r="G3" s="13">
        <v>1</v>
      </c>
      <c r="H3" s="42"/>
      <c r="I3" s="31">
        <f>C3-L3-Q3-W3</f>
        <v>99990.06</v>
      </c>
      <c r="J3" s="32">
        <f>I3*$C$14*$C$19</f>
        <v>9.9390119640000005</v>
      </c>
      <c r="K3" s="33">
        <f>I3-J3</f>
        <v>99980.120988035997</v>
      </c>
      <c r="L3" s="31">
        <f>C3*$C$14*$C$19*0.5</f>
        <v>4.97</v>
      </c>
      <c r="M3" s="32">
        <v>0</v>
      </c>
      <c r="N3" s="32">
        <f>L3*$C$6</f>
        <v>1.2424999999999999</v>
      </c>
      <c r="O3" s="34"/>
      <c r="P3" s="33">
        <f>L3+M3-N3-O3</f>
        <v>3.7275</v>
      </c>
      <c r="Q3" s="31">
        <f>C3*$C$14*$C$19*0.5</f>
        <v>4.97</v>
      </c>
      <c r="R3" s="32">
        <v>0</v>
      </c>
      <c r="S3" s="32">
        <f>Q3*$C$8</f>
        <v>0.35499999999999998</v>
      </c>
      <c r="T3" s="34"/>
      <c r="U3" s="32">
        <f>Q3*$C$9*(1-$C$21)</f>
        <v>0.62621999999999989</v>
      </c>
      <c r="V3" s="33">
        <f>Q3+R3-S3-T3-U3</f>
        <v>3.9887800000000002</v>
      </c>
      <c r="W3" s="31">
        <v>0</v>
      </c>
      <c r="X3" s="32">
        <v>0</v>
      </c>
      <c r="Y3" s="33">
        <f>W3+X3</f>
        <v>0</v>
      </c>
      <c r="Z3" s="43">
        <f>P3+V3</f>
        <v>7.7162800000000002</v>
      </c>
    </row>
    <row r="4" spans="2:26" s="2" customFormat="1" ht="18" x14ac:dyDescent="0.35">
      <c r="B4" s="45" t="s">
        <v>25</v>
      </c>
      <c r="C4" s="121">
        <f>C14*2</f>
        <v>2.8400000000000002E-4</v>
      </c>
      <c r="D4" s="10"/>
      <c r="E4" s="11" t="s">
        <v>1</v>
      </c>
      <c r="F4" s="12" t="s">
        <v>2</v>
      </c>
      <c r="G4" s="13">
        <v>2</v>
      </c>
      <c r="H4" s="42"/>
      <c r="I4" s="31">
        <f>K3</f>
        <v>99980.120988035997</v>
      </c>
      <c r="J4" s="32">
        <f t="shared" ref="J4:J8" si="0">I4*$C$14*$C$19</f>
        <v>9.938024026210778</v>
      </c>
      <c r="K4" s="33">
        <f t="shared" ref="K4:K24" si="1">I4-J4</f>
        <v>99970.182964009786</v>
      </c>
      <c r="L4" s="31">
        <f>P3</f>
        <v>3.7275</v>
      </c>
      <c r="M4" s="32">
        <f>J3</f>
        <v>9.9390119640000005</v>
      </c>
      <c r="N4" s="32">
        <f t="shared" ref="N4:N24" si="2">L4*$C$6</f>
        <v>0.93187500000000001</v>
      </c>
      <c r="O4" s="34"/>
      <c r="P4" s="33">
        <f>L4+M4-N4-O4</f>
        <v>12.734636964000002</v>
      </c>
      <c r="Q4" s="31">
        <f>V3</f>
        <v>3.9887800000000002</v>
      </c>
      <c r="R4" s="32">
        <f>N3</f>
        <v>1.2424999999999999</v>
      </c>
      <c r="S4" s="32">
        <f t="shared" ref="S4:S24" si="3">Q4*$C$8</f>
        <v>0.28491285714285713</v>
      </c>
      <c r="T4" s="34"/>
      <c r="U4" s="32">
        <f t="shared" ref="U4:U24" si="4">Q4*$C$9*(1-$C$21)</f>
        <v>0.50258627999999994</v>
      </c>
      <c r="V4" s="33">
        <f t="shared" ref="V4:V24" si="5">Q4+R4-S4-T4-U4</f>
        <v>4.4437808628571425</v>
      </c>
      <c r="W4" s="31">
        <f>Z3</f>
        <v>7.7162800000000002</v>
      </c>
      <c r="X4" s="32">
        <f>R3</f>
        <v>0</v>
      </c>
      <c r="Y4" s="33">
        <f t="shared" ref="Y4:Y24" si="6">W4+X4</f>
        <v>7.7162800000000002</v>
      </c>
      <c r="Z4" s="43">
        <f t="shared" ref="Z4:Z24" si="7">P4+V4</f>
        <v>17.178417826857142</v>
      </c>
    </row>
    <row r="5" spans="2:26" s="2" customFormat="1" ht="18" x14ac:dyDescent="0.35">
      <c r="B5" s="45" t="s">
        <v>28</v>
      </c>
      <c r="C5" s="121">
        <f>Dashboard!D6</f>
        <v>4</v>
      </c>
      <c r="D5" s="10"/>
      <c r="E5" s="11" t="s">
        <v>3</v>
      </c>
      <c r="F5" s="12" t="s">
        <v>4</v>
      </c>
      <c r="G5" s="13">
        <v>3</v>
      </c>
      <c r="H5" s="42"/>
      <c r="I5" s="31">
        <f t="shared" ref="I5:I24" si="8">K4</f>
        <v>99970.182964009786</v>
      </c>
      <c r="J5" s="32">
        <f t="shared" si="0"/>
        <v>9.9370361866225725</v>
      </c>
      <c r="K5" s="33">
        <f t="shared" si="1"/>
        <v>99960.245927823169</v>
      </c>
      <c r="L5" s="31">
        <f t="shared" ref="L5:L24" si="9">P4</f>
        <v>12.734636964000002</v>
      </c>
      <c r="M5" s="32">
        <f t="shared" ref="M5:M10" si="10">J4</f>
        <v>9.938024026210778</v>
      </c>
      <c r="N5" s="32">
        <f t="shared" si="2"/>
        <v>3.1836592410000004</v>
      </c>
      <c r="O5" s="32">
        <f>L5*(1-$C$10)*Dashboard!J5</f>
        <v>0</v>
      </c>
      <c r="P5" s="33">
        <f t="shared" ref="P5:P24" si="11">L5+M5-N5-O5</f>
        <v>19.489001749210779</v>
      </c>
      <c r="Q5" s="31">
        <f t="shared" ref="Q5:Q24" si="12">V4</f>
        <v>4.4437808628571425</v>
      </c>
      <c r="R5" s="32">
        <f t="shared" ref="R5:R24" si="13">N4</f>
        <v>0.93187500000000001</v>
      </c>
      <c r="S5" s="32">
        <f t="shared" si="3"/>
        <v>0.31741291877551014</v>
      </c>
      <c r="T5" s="32">
        <f>(1-$C$11)*Q5*Dashboard!J5</f>
        <v>0</v>
      </c>
      <c r="U5" s="32">
        <f t="shared" si="4"/>
        <v>0.55991638871999982</v>
      </c>
      <c r="V5" s="33">
        <f t="shared" si="5"/>
        <v>4.4983265553616327</v>
      </c>
      <c r="W5" s="31">
        <f t="shared" ref="W5:W24" si="14">Z4</f>
        <v>17.178417826857142</v>
      </c>
      <c r="X5" s="32">
        <f t="shared" ref="X5:X24" si="15">R4</f>
        <v>1.2424999999999999</v>
      </c>
      <c r="Y5" s="33">
        <f>W5+X5</f>
        <v>18.420917826857142</v>
      </c>
      <c r="Z5" s="43">
        <f t="shared" si="7"/>
        <v>23.987328304572411</v>
      </c>
    </row>
    <row r="6" spans="2:26" s="2" customFormat="1" ht="18" x14ac:dyDescent="0.35">
      <c r="B6" s="45" t="s">
        <v>26</v>
      </c>
      <c r="C6" s="122">
        <f>1/C5</f>
        <v>0.25</v>
      </c>
      <c r="D6" s="10"/>
      <c r="E6" s="11" t="s">
        <v>5</v>
      </c>
      <c r="F6" s="12" t="s">
        <v>6</v>
      </c>
      <c r="G6" s="13">
        <v>4</v>
      </c>
      <c r="H6" s="42"/>
      <c r="I6" s="31">
        <f t="shared" si="8"/>
        <v>99960.245927823169</v>
      </c>
      <c r="J6" s="32">
        <f t="shared" si="0"/>
        <v>9.936048445225623</v>
      </c>
      <c r="K6" s="33">
        <f t="shared" si="1"/>
        <v>99950.30987937795</v>
      </c>
      <c r="L6" s="31">
        <f t="shared" si="9"/>
        <v>19.489001749210779</v>
      </c>
      <c r="M6" s="32">
        <f t="shared" si="10"/>
        <v>9.9370361866225725</v>
      </c>
      <c r="N6" s="32">
        <f t="shared" si="2"/>
        <v>4.8722504373026947</v>
      </c>
      <c r="O6" s="32">
        <f>L6*(1-$C$10)*Dashboard!J6</f>
        <v>0</v>
      </c>
      <c r="P6" s="33">
        <f t="shared" si="11"/>
        <v>24.553787498530653</v>
      </c>
      <c r="Q6" s="31">
        <f t="shared" si="12"/>
        <v>4.4983265553616327</v>
      </c>
      <c r="R6" s="32">
        <f t="shared" si="13"/>
        <v>3.1836592410000004</v>
      </c>
      <c r="S6" s="32">
        <f t="shared" si="3"/>
        <v>0.32130903966868801</v>
      </c>
      <c r="T6" s="32">
        <f>(1-$C$11)*Q6*Dashboard!J6</f>
        <v>0</v>
      </c>
      <c r="U6" s="32">
        <f t="shared" si="4"/>
        <v>0.56678914597556562</v>
      </c>
      <c r="V6" s="33">
        <f t="shared" si="5"/>
        <v>6.7938876107173796</v>
      </c>
      <c r="W6" s="31">
        <f t="shared" si="14"/>
        <v>23.987328304572411</v>
      </c>
      <c r="X6" s="32">
        <f t="shared" si="15"/>
        <v>0.93187500000000001</v>
      </c>
      <c r="Y6" s="33">
        <f t="shared" si="6"/>
        <v>24.919203304572413</v>
      </c>
      <c r="Z6" s="43">
        <f t="shared" si="7"/>
        <v>31.347675109248033</v>
      </c>
    </row>
    <row r="7" spans="2:26" s="2" customFormat="1" ht="18" x14ac:dyDescent="0.35">
      <c r="B7" s="45" t="s">
        <v>29</v>
      </c>
      <c r="C7" s="121">
        <f>Dashboard!D8</f>
        <v>14</v>
      </c>
      <c r="D7" s="10"/>
      <c r="E7" s="11" t="s">
        <v>5</v>
      </c>
      <c r="F7" s="12" t="s">
        <v>7</v>
      </c>
      <c r="G7" s="13">
        <v>5</v>
      </c>
      <c r="H7" s="42"/>
      <c r="I7" s="31">
        <f t="shared" si="8"/>
        <v>99950.30987937795</v>
      </c>
      <c r="J7" s="32">
        <f t="shared" si="0"/>
        <v>9.9350608020101685</v>
      </c>
      <c r="K7" s="33">
        <f t="shared" si="1"/>
        <v>99940.374818575947</v>
      </c>
      <c r="L7" s="31">
        <f t="shared" si="9"/>
        <v>24.553787498530653</v>
      </c>
      <c r="M7" s="32">
        <f t="shared" si="10"/>
        <v>9.936048445225623</v>
      </c>
      <c r="N7" s="32">
        <f t="shared" si="2"/>
        <v>6.1384468746326633</v>
      </c>
      <c r="O7" s="32">
        <f>L7*(1-$C$10)*Dashboard!J7</f>
        <v>0</v>
      </c>
      <c r="P7" s="33">
        <f t="shared" si="11"/>
        <v>28.351389069123613</v>
      </c>
      <c r="Q7" s="31">
        <f t="shared" si="12"/>
        <v>6.7938876107173796</v>
      </c>
      <c r="R7" s="32">
        <f t="shared" si="13"/>
        <v>4.8722504373026947</v>
      </c>
      <c r="S7" s="32">
        <f t="shared" si="3"/>
        <v>0.48527768647981279</v>
      </c>
      <c r="T7" s="32">
        <f>(1-$C$11)*Q7*Dashboard!J7</f>
        <v>0</v>
      </c>
      <c r="U7" s="32">
        <f t="shared" si="4"/>
        <v>0.85602983895038964</v>
      </c>
      <c r="V7" s="33">
        <f t="shared" si="5"/>
        <v>10.32483052258987</v>
      </c>
      <c r="W7" s="31">
        <f t="shared" si="14"/>
        <v>31.347675109248033</v>
      </c>
      <c r="X7" s="32">
        <f t="shared" si="15"/>
        <v>3.1836592410000004</v>
      </c>
      <c r="Y7" s="33">
        <f t="shared" si="6"/>
        <v>34.531334350248031</v>
      </c>
      <c r="Z7" s="43">
        <f t="shared" si="7"/>
        <v>38.676219591713483</v>
      </c>
    </row>
    <row r="8" spans="2:26" s="2" customFormat="1" ht="18" x14ac:dyDescent="0.35">
      <c r="B8" s="45" t="s">
        <v>27</v>
      </c>
      <c r="C8" s="122">
        <f>1/C7</f>
        <v>7.1428571428571425E-2</v>
      </c>
      <c r="D8" s="10"/>
      <c r="E8" s="11" t="s">
        <v>467</v>
      </c>
      <c r="F8" s="12" t="s">
        <v>8</v>
      </c>
      <c r="G8" s="13">
        <v>6</v>
      </c>
      <c r="H8" s="42"/>
      <c r="I8" s="31">
        <f t="shared" si="8"/>
        <v>99940.374818575947</v>
      </c>
      <c r="J8" s="32">
        <f t="shared" si="0"/>
        <v>9.9340732569664496</v>
      </c>
      <c r="K8" s="33">
        <f t="shared" si="1"/>
        <v>99930.440745318978</v>
      </c>
      <c r="L8" s="31">
        <f t="shared" si="9"/>
        <v>28.351389069123613</v>
      </c>
      <c r="M8" s="32">
        <f t="shared" si="10"/>
        <v>9.9350608020101685</v>
      </c>
      <c r="N8" s="32">
        <f t="shared" si="2"/>
        <v>7.0878472672809032</v>
      </c>
      <c r="O8" s="32">
        <f>L8*(1-$C$10)*Dashboard!J8</f>
        <v>0</v>
      </c>
      <c r="P8" s="33">
        <f t="shared" si="11"/>
        <v>31.19860260385288</v>
      </c>
      <c r="Q8" s="31">
        <f t="shared" si="12"/>
        <v>10.32483052258987</v>
      </c>
      <c r="R8" s="32">
        <f t="shared" si="13"/>
        <v>6.1384468746326633</v>
      </c>
      <c r="S8" s="32">
        <f t="shared" si="3"/>
        <v>0.73748789447070495</v>
      </c>
      <c r="T8" s="32">
        <f>(1-$C$11)*Q8*Dashboard!J8</f>
        <v>0</v>
      </c>
      <c r="U8" s="32">
        <f t="shared" si="4"/>
        <v>1.3009286458463236</v>
      </c>
      <c r="V8" s="33">
        <f t="shared" si="5"/>
        <v>14.424860856905505</v>
      </c>
      <c r="W8" s="31">
        <f t="shared" si="14"/>
        <v>38.676219591713483</v>
      </c>
      <c r="X8" s="32">
        <f t="shared" si="15"/>
        <v>4.8722504373026947</v>
      </c>
      <c r="Y8" s="33">
        <f t="shared" si="6"/>
        <v>43.54847002901618</v>
      </c>
      <c r="Z8" s="43">
        <f t="shared" si="7"/>
        <v>45.623463460758387</v>
      </c>
    </row>
    <row r="9" spans="2:26" s="2" customFormat="1" ht="18" x14ac:dyDescent="0.35">
      <c r="B9" s="45" t="s">
        <v>30</v>
      </c>
      <c r="C9" s="122">
        <f>Dashboard!D11</f>
        <v>0.18</v>
      </c>
      <c r="D9" s="10"/>
      <c r="E9" s="11" t="s">
        <v>9</v>
      </c>
      <c r="F9" s="12" t="s">
        <v>10</v>
      </c>
      <c r="G9" s="13">
        <v>7</v>
      </c>
      <c r="H9" s="42"/>
      <c r="I9" s="31">
        <f t="shared" si="8"/>
        <v>99930.440745318978</v>
      </c>
      <c r="J9" s="32">
        <f>I9*$C$4*$C$19</f>
        <v>19.866171620169414</v>
      </c>
      <c r="K9" s="33">
        <f t="shared" si="1"/>
        <v>99910.574573698803</v>
      </c>
      <c r="L9" s="31">
        <f t="shared" si="9"/>
        <v>31.19860260385288</v>
      </c>
      <c r="M9" s="35">
        <f t="shared" si="10"/>
        <v>9.9340732569664496</v>
      </c>
      <c r="N9" s="32">
        <f t="shared" si="2"/>
        <v>7.79965065096322</v>
      </c>
      <c r="O9" s="34"/>
      <c r="P9" s="33">
        <f t="shared" si="11"/>
        <v>33.33302520985611</v>
      </c>
      <c r="Q9" s="31">
        <f t="shared" si="12"/>
        <v>14.424860856905505</v>
      </c>
      <c r="R9" s="32">
        <f t="shared" si="13"/>
        <v>7.0878472672809032</v>
      </c>
      <c r="S9" s="32">
        <f t="shared" si="3"/>
        <v>1.0303472040646788</v>
      </c>
      <c r="T9" s="34"/>
      <c r="U9" s="32">
        <f t="shared" si="4"/>
        <v>1.8175324679700935</v>
      </c>
      <c r="V9" s="33">
        <f t="shared" si="5"/>
        <v>18.664828452151639</v>
      </c>
      <c r="W9" s="31">
        <f t="shared" si="14"/>
        <v>45.623463460758387</v>
      </c>
      <c r="X9" s="32">
        <f t="shared" si="15"/>
        <v>6.1384468746326633</v>
      </c>
      <c r="Y9" s="33">
        <f t="shared" si="6"/>
        <v>51.76191033539105</v>
      </c>
      <c r="Z9" s="43">
        <f t="shared" si="7"/>
        <v>51.997853662007749</v>
      </c>
    </row>
    <row r="10" spans="2:26" s="2" customFormat="1" ht="18" x14ac:dyDescent="0.35">
      <c r="B10" s="45" t="s">
        <v>31</v>
      </c>
      <c r="C10" s="122">
        <f>Dashboard!D14</f>
        <v>0.84</v>
      </c>
      <c r="D10" s="10"/>
      <c r="E10" s="15" t="s">
        <v>382</v>
      </c>
      <c r="F10" s="16" t="s">
        <v>583</v>
      </c>
      <c r="G10" s="17">
        <v>8</v>
      </c>
      <c r="H10" s="42"/>
      <c r="I10" s="31">
        <f t="shared" si="8"/>
        <v>99910.574573698803</v>
      </c>
      <c r="J10" s="34"/>
      <c r="K10" s="33">
        <f t="shared" si="1"/>
        <v>99910.574573698803</v>
      </c>
      <c r="L10" s="31">
        <f t="shared" si="9"/>
        <v>33.33302520985611</v>
      </c>
      <c r="M10" s="35">
        <f t="shared" si="10"/>
        <v>19.866171620169414</v>
      </c>
      <c r="N10" s="32">
        <f t="shared" si="2"/>
        <v>8.3332563024640276</v>
      </c>
      <c r="O10" s="32">
        <f>L10*(1-$C$10)*Dashboard!J9</f>
        <v>5.3332840335769784</v>
      </c>
      <c r="P10" s="33">
        <f>L10+M10-N10-O10</f>
        <v>39.532656493984518</v>
      </c>
      <c r="Q10" s="31">
        <f t="shared" si="12"/>
        <v>18.664828452151639</v>
      </c>
      <c r="R10" s="32">
        <f t="shared" si="13"/>
        <v>7.79965065096322</v>
      </c>
      <c r="S10" s="32">
        <f t="shared" si="3"/>
        <v>1.3332020322965457</v>
      </c>
      <c r="T10" s="32">
        <f>(1-$C$11)*Q10*Dashboard!J9</f>
        <v>13.252028201027663</v>
      </c>
      <c r="U10" s="32">
        <f t="shared" si="4"/>
        <v>2.351768384971106</v>
      </c>
      <c r="V10" s="33">
        <f t="shared" si="5"/>
        <v>9.5274804848195451</v>
      </c>
      <c r="W10" s="31">
        <f t="shared" si="14"/>
        <v>51.997853662007749</v>
      </c>
      <c r="X10" s="32">
        <f t="shared" si="15"/>
        <v>7.0878472672809032</v>
      </c>
      <c r="Y10" s="33">
        <f t="shared" si="6"/>
        <v>59.085700929288649</v>
      </c>
      <c r="Z10" s="43">
        <f t="shared" si="7"/>
        <v>49.060136978804067</v>
      </c>
    </row>
    <row r="11" spans="2:26" s="2" customFormat="1" ht="18" x14ac:dyDescent="0.35">
      <c r="B11" s="45" t="s">
        <v>32</v>
      </c>
      <c r="C11" s="122">
        <f>Dashboard!D15</f>
        <v>0.28999999999999998</v>
      </c>
      <c r="D11" s="10"/>
      <c r="E11" s="11" t="s">
        <v>383</v>
      </c>
      <c r="F11" s="12" t="s">
        <v>11</v>
      </c>
      <c r="G11" s="13">
        <v>9</v>
      </c>
      <c r="H11" s="42"/>
      <c r="I11" s="31">
        <f t="shared" si="8"/>
        <v>99910.574573698803</v>
      </c>
      <c r="J11" s="34"/>
      <c r="K11" s="33">
        <f t="shared" si="1"/>
        <v>99910.574573698803</v>
      </c>
      <c r="L11" s="31">
        <f>P10</f>
        <v>39.532656493984518</v>
      </c>
      <c r="M11" s="36"/>
      <c r="N11" s="32">
        <f t="shared" si="2"/>
        <v>9.8831641234961296</v>
      </c>
      <c r="O11" s="32">
        <f>L11*(1-$C$10)*Dashboard!J11</f>
        <v>0</v>
      </c>
      <c r="P11" s="33">
        <f t="shared" si="11"/>
        <v>29.649492370488389</v>
      </c>
      <c r="Q11" s="31">
        <f t="shared" si="12"/>
        <v>9.5274804848195451</v>
      </c>
      <c r="R11" s="32">
        <f t="shared" si="13"/>
        <v>8.3332563024640276</v>
      </c>
      <c r="S11" s="32">
        <f t="shared" si="3"/>
        <v>0.68053432034425321</v>
      </c>
      <c r="T11" s="32">
        <f>Q11*(1-$C$11)*Dashboard!J11</f>
        <v>0</v>
      </c>
      <c r="U11" s="32">
        <f t="shared" si="4"/>
        <v>1.2004625410872625</v>
      </c>
      <c r="V11" s="33">
        <f t="shared" si="5"/>
        <v>15.979739925852055</v>
      </c>
      <c r="W11" s="31">
        <f t="shared" si="14"/>
        <v>49.060136978804067</v>
      </c>
      <c r="X11" s="32">
        <f t="shared" si="15"/>
        <v>7.79965065096322</v>
      </c>
      <c r="Y11" s="33">
        <f t="shared" si="6"/>
        <v>56.85978762976729</v>
      </c>
      <c r="Z11" s="43">
        <f t="shared" si="7"/>
        <v>45.629232296340447</v>
      </c>
    </row>
    <row r="12" spans="2:26" s="2" customFormat="1" ht="16.2" x14ac:dyDescent="0.35">
      <c r="B12" s="9"/>
      <c r="C12" s="119"/>
      <c r="D12" s="10"/>
      <c r="E12" s="11" t="s">
        <v>384</v>
      </c>
      <c r="F12" s="12" t="s">
        <v>12</v>
      </c>
      <c r="G12" s="13">
        <v>10</v>
      </c>
      <c r="H12" s="42"/>
      <c r="I12" s="31">
        <f t="shared" si="8"/>
        <v>99910.574573698803</v>
      </c>
      <c r="J12" s="34"/>
      <c r="K12" s="33">
        <f t="shared" si="1"/>
        <v>99910.574573698803</v>
      </c>
      <c r="L12" s="31">
        <f t="shared" si="9"/>
        <v>29.649492370488389</v>
      </c>
      <c r="M12" s="36"/>
      <c r="N12" s="32">
        <f t="shared" si="2"/>
        <v>7.4123730926220972</v>
      </c>
      <c r="O12" s="32">
        <f>L12*(1-$C$10)*Dashboard!J12</f>
        <v>0</v>
      </c>
      <c r="P12" s="33">
        <f t="shared" si="11"/>
        <v>22.237119277866292</v>
      </c>
      <c r="Q12" s="31">
        <f t="shared" si="12"/>
        <v>15.979739925852055</v>
      </c>
      <c r="R12" s="32">
        <f t="shared" si="13"/>
        <v>9.8831641234961296</v>
      </c>
      <c r="S12" s="32">
        <f t="shared" si="3"/>
        <v>1.1414099947037182</v>
      </c>
      <c r="T12" s="32">
        <f>Q12*(1-$C$11)*Dashboard!J12</f>
        <v>0</v>
      </c>
      <c r="U12" s="32">
        <f t="shared" si="4"/>
        <v>2.0134472306573588</v>
      </c>
      <c r="V12" s="33">
        <f t="shared" si="5"/>
        <v>22.708046823987107</v>
      </c>
      <c r="W12" s="31">
        <f t="shared" si="14"/>
        <v>45.629232296340447</v>
      </c>
      <c r="X12" s="32">
        <f t="shared" si="15"/>
        <v>8.3332563024640276</v>
      </c>
      <c r="Y12" s="33">
        <f t="shared" si="6"/>
        <v>53.962488598804477</v>
      </c>
      <c r="Z12" s="43">
        <f t="shared" si="7"/>
        <v>44.945166101853403</v>
      </c>
    </row>
    <row r="13" spans="2:26" s="2" customFormat="1" ht="16.2" x14ac:dyDescent="0.35">
      <c r="B13" s="30" t="s">
        <v>40</v>
      </c>
      <c r="C13" s="123" t="s">
        <v>0</v>
      </c>
      <c r="D13" s="10"/>
      <c r="E13" s="11" t="s">
        <v>385</v>
      </c>
      <c r="F13" s="12" t="s">
        <v>13</v>
      </c>
      <c r="G13" s="13">
        <v>11</v>
      </c>
      <c r="H13" s="42"/>
      <c r="I13" s="31">
        <f t="shared" si="8"/>
        <v>99910.574573698803</v>
      </c>
      <c r="J13" s="34"/>
      <c r="K13" s="33">
        <f t="shared" si="1"/>
        <v>99910.574573698803</v>
      </c>
      <c r="L13" s="31">
        <f t="shared" si="9"/>
        <v>22.237119277866292</v>
      </c>
      <c r="M13" s="36"/>
      <c r="N13" s="32">
        <f t="shared" si="2"/>
        <v>5.5592798194665729</v>
      </c>
      <c r="O13" s="32">
        <f>L13*(1-$C$10)*Dashboard!J13</f>
        <v>0</v>
      </c>
      <c r="P13" s="33">
        <f t="shared" si="11"/>
        <v>16.677839458399717</v>
      </c>
      <c r="Q13" s="31">
        <f t="shared" si="12"/>
        <v>22.708046823987107</v>
      </c>
      <c r="R13" s="32">
        <f t="shared" si="13"/>
        <v>7.4123730926220972</v>
      </c>
      <c r="S13" s="32">
        <f t="shared" si="3"/>
        <v>1.6220033445705075</v>
      </c>
      <c r="T13" s="32">
        <f>Q13*(1-$C$11)*Dashboard!J13</f>
        <v>0</v>
      </c>
      <c r="U13" s="32">
        <f t="shared" si="4"/>
        <v>2.8612138998223755</v>
      </c>
      <c r="V13" s="33">
        <f t="shared" si="5"/>
        <v>25.637202672216322</v>
      </c>
      <c r="W13" s="31">
        <f t="shared" si="14"/>
        <v>44.945166101853403</v>
      </c>
      <c r="X13" s="32">
        <f t="shared" si="15"/>
        <v>9.8831641234961296</v>
      </c>
      <c r="Y13" s="33">
        <f t="shared" si="6"/>
        <v>54.828330225349532</v>
      </c>
      <c r="Z13" s="43">
        <f t="shared" si="7"/>
        <v>42.315042130616035</v>
      </c>
    </row>
    <row r="14" spans="2:26" s="2" customFormat="1" ht="18" x14ac:dyDescent="0.35">
      <c r="B14" s="45" t="s">
        <v>33</v>
      </c>
      <c r="C14" s="119">
        <f>Dashboard!D20</f>
        <v>1.4200000000000001E-4</v>
      </c>
      <c r="D14" s="10"/>
      <c r="E14" s="11" t="s">
        <v>386</v>
      </c>
      <c r="F14" s="12" t="s">
        <v>14</v>
      </c>
      <c r="G14" s="13">
        <v>12</v>
      </c>
      <c r="H14" s="42"/>
      <c r="I14" s="31">
        <f t="shared" si="8"/>
        <v>99910.574573698803</v>
      </c>
      <c r="J14" s="34"/>
      <c r="K14" s="33">
        <f t="shared" si="1"/>
        <v>99910.574573698803</v>
      </c>
      <c r="L14" s="31">
        <f t="shared" si="9"/>
        <v>16.677839458399717</v>
      </c>
      <c r="M14" s="36"/>
      <c r="N14" s="32">
        <f t="shared" si="2"/>
        <v>4.1694598645999292</v>
      </c>
      <c r="O14" s="32">
        <f>L14*(1-$C$10)*Dashboard!J14</f>
        <v>0</v>
      </c>
      <c r="P14" s="33">
        <f t="shared" si="11"/>
        <v>12.508379593799788</v>
      </c>
      <c r="Q14" s="31">
        <f t="shared" si="12"/>
        <v>25.637202672216322</v>
      </c>
      <c r="R14" s="32">
        <f t="shared" si="13"/>
        <v>5.5592798194665729</v>
      </c>
      <c r="S14" s="32">
        <f t="shared" si="3"/>
        <v>1.8312287623011658</v>
      </c>
      <c r="T14" s="32">
        <f>Q14*(1-$C$11)*Dashboard!J14</f>
        <v>0</v>
      </c>
      <c r="U14" s="32">
        <f t="shared" si="4"/>
        <v>3.2302875366992563</v>
      </c>
      <c r="V14" s="33">
        <f t="shared" si="5"/>
        <v>26.134966192682469</v>
      </c>
      <c r="W14" s="31">
        <f t="shared" si="14"/>
        <v>42.315042130616035</v>
      </c>
      <c r="X14" s="32">
        <f t="shared" si="15"/>
        <v>7.4123730926220972</v>
      </c>
      <c r="Y14" s="33">
        <f t="shared" si="6"/>
        <v>49.727415223238133</v>
      </c>
      <c r="Z14" s="43">
        <f t="shared" si="7"/>
        <v>38.643345786482257</v>
      </c>
    </row>
    <row r="15" spans="2:26" s="2" customFormat="1" ht="18" x14ac:dyDescent="0.35">
      <c r="B15" s="45" t="s">
        <v>34</v>
      </c>
      <c r="C15" s="119">
        <v>1</v>
      </c>
      <c r="D15" s="10"/>
      <c r="E15" s="11" t="s">
        <v>387</v>
      </c>
      <c r="F15" s="12" t="s">
        <v>15</v>
      </c>
      <c r="G15" s="13">
        <v>13</v>
      </c>
      <c r="H15" s="42"/>
      <c r="I15" s="31">
        <f t="shared" si="8"/>
        <v>99910.574573698803</v>
      </c>
      <c r="J15" s="34"/>
      <c r="K15" s="33">
        <f t="shared" si="1"/>
        <v>99910.574573698803</v>
      </c>
      <c r="L15" s="31">
        <f t="shared" si="9"/>
        <v>12.508379593799788</v>
      </c>
      <c r="M15" s="36"/>
      <c r="N15" s="32">
        <f t="shared" si="2"/>
        <v>3.1270948984499469</v>
      </c>
      <c r="O15" s="32">
        <f>L15*(1-$C$10)*Dashboard!J15</f>
        <v>0</v>
      </c>
      <c r="P15" s="33">
        <f t="shared" si="11"/>
        <v>9.3812846953498408</v>
      </c>
      <c r="Q15" s="31">
        <f t="shared" si="12"/>
        <v>26.134966192682469</v>
      </c>
      <c r="R15" s="32">
        <f t="shared" si="13"/>
        <v>4.1694598645999292</v>
      </c>
      <c r="S15" s="32">
        <f t="shared" si="3"/>
        <v>1.8667832994773192</v>
      </c>
      <c r="T15" s="32">
        <f>Q15*(1-$C$11)*Dashboard!J15</f>
        <v>0</v>
      </c>
      <c r="U15" s="32">
        <f t="shared" si="4"/>
        <v>3.2930057402779904</v>
      </c>
      <c r="V15" s="33">
        <f t="shared" si="5"/>
        <v>25.144637017527089</v>
      </c>
      <c r="W15" s="31">
        <f t="shared" si="14"/>
        <v>38.643345786482257</v>
      </c>
      <c r="X15" s="32">
        <f t="shared" si="15"/>
        <v>5.5592798194665729</v>
      </c>
      <c r="Y15" s="33">
        <f t="shared" si="6"/>
        <v>44.202625605948832</v>
      </c>
      <c r="Z15" s="43">
        <f t="shared" si="7"/>
        <v>34.525921712876929</v>
      </c>
    </row>
    <row r="16" spans="2:26" s="2" customFormat="1" ht="16.2" x14ac:dyDescent="0.35">
      <c r="B16" s="9"/>
      <c r="C16" s="119"/>
      <c r="D16" s="10"/>
      <c r="E16" s="11" t="s">
        <v>388</v>
      </c>
      <c r="F16" s="12" t="s">
        <v>16</v>
      </c>
      <c r="G16" s="13">
        <v>14</v>
      </c>
      <c r="H16" s="42"/>
      <c r="I16" s="31">
        <f t="shared" si="8"/>
        <v>99910.574573698803</v>
      </c>
      <c r="J16" s="34"/>
      <c r="K16" s="33">
        <f t="shared" si="1"/>
        <v>99910.574573698803</v>
      </c>
      <c r="L16" s="31">
        <f t="shared" si="9"/>
        <v>9.3812846953498408</v>
      </c>
      <c r="M16" s="36"/>
      <c r="N16" s="32">
        <f t="shared" si="2"/>
        <v>2.3453211738374602</v>
      </c>
      <c r="O16" s="32">
        <f>L16*(1-$C$10)*Dashboard!J16</f>
        <v>0</v>
      </c>
      <c r="P16" s="33">
        <f t="shared" si="11"/>
        <v>7.0359635215123806</v>
      </c>
      <c r="Q16" s="31">
        <f t="shared" si="12"/>
        <v>25.144637017527089</v>
      </c>
      <c r="R16" s="32">
        <f t="shared" si="13"/>
        <v>3.1270948984499469</v>
      </c>
      <c r="S16" s="32">
        <f t="shared" si="3"/>
        <v>1.7960455012519347</v>
      </c>
      <c r="T16" s="32">
        <f>Q16*(1-$C$11)*Dashboard!J16</f>
        <v>0</v>
      </c>
      <c r="U16" s="32">
        <f t="shared" si="4"/>
        <v>3.1682242642084129</v>
      </c>
      <c r="V16" s="33">
        <f t="shared" si="5"/>
        <v>23.307462150516688</v>
      </c>
      <c r="W16" s="31">
        <f t="shared" si="14"/>
        <v>34.525921712876929</v>
      </c>
      <c r="X16" s="32">
        <f t="shared" si="15"/>
        <v>4.1694598645999292</v>
      </c>
      <c r="Y16" s="33">
        <f t="shared" si="6"/>
        <v>38.695381577476859</v>
      </c>
      <c r="Z16" s="43">
        <f t="shared" si="7"/>
        <v>30.34342567202907</v>
      </c>
    </row>
    <row r="17" spans="2:26" s="2" customFormat="1" ht="16.2" x14ac:dyDescent="0.35">
      <c r="B17" s="30" t="s">
        <v>41</v>
      </c>
      <c r="C17" s="123" t="s">
        <v>0</v>
      </c>
      <c r="D17" s="10"/>
      <c r="E17" s="11" t="s">
        <v>389</v>
      </c>
      <c r="F17" s="12" t="s">
        <v>17</v>
      </c>
      <c r="G17" s="13">
        <v>15</v>
      </c>
      <c r="H17" s="42"/>
      <c r="I17" s="31">
        <f t="shared" si="8"/>
        <v>99910.574573698803</v>
      </c>
      <c r="J17" s="34"/>
      <c r="K17" s="33">
        <f t="shared" si="1"/>
        <v>99910.574573698803</v>
      </c>
      <c r="L17" s="31">
        <f t="shared" si="9"/>
        <v>7.0359635215123806</v>
      </c>
      <c r="M17" s="36"/>
      <c r="N17" s="32">
        <f t="shared" si="2"/>
        <v>1.7589908803780951</v>
      </c>
      <c r="O17" s="32">
        <f>L17*(1-$C$10)*Dashboard!J17</f>
        <v>0</v>
      </c>
      <c r="P17" s="33">
        <f t="shared" si="11"/>
        <v>5.2769726411342859</v>
      </c>
      <c r="Q17" s="31">
        <f t="shared" si="12"/>
        <v>23.307462150516688</v>
      </c>
      <c r="R17" s="32">
        <f t="shared" si="13"/>
        <v>2.3453211738374602</v>
      </c>
      <c r="S17" s="32">
        <f t="shared" si="3"/>
        <v>1.6648187250369062</v>
      </c>
      <c r="T17" s="32">
        <f>Q17*(1-$C$11)*Dashboard!J17</f>
        <v>0</v>
      </c>
      <c r="U17" s="32">
        <f t="shared" si="4"/>
        <v>2.9367402309651025</v>
      </c>
      <c r="V17" s="33">
        <f t="shared" si="5"/>
        <v>21.051224368352138</v>
      </c>
      <c r="W17" s="31">
        <f t="shared" si="14"/>
        <v>30.34342567202907</v>
      </c>
      <c r="X17" s="32">
        <f t="shared" si="15"/>
        <v>3.1270948984499469</v>
      </c>
      <c r="Y17" s="33">
        <f t="shared" si="6"/>
        <v>33.470520570479017</v>
      </c>
      <c r="Z17" s="43">
        <f t="shared" si="7"/>
        <v>26.328197009486423</v>
      </c>
    </row>
    <row r="18" spans="2:26" s="2" customFormat="1" ht="18" x14ac:dyDescent="0.35">
      <c r="B18" s="45" t="s">
        <v>35</v>
      </c>
      <c r="C18" s="119">
        <f>Dashboard!D30</f>
        <v>0.3</v>
      </c>
      <c r="D18" s="10"/>
      <c r="E18" s="11" t="s">
        <v>390</v>
      </c>
      <c r="F18" s="12" t="s">
        <v>18</v>
      </c>
      <c r="G18" s="13">
        <v>16</v>
      </c>
      <c r="H18" s="42"/>
      <c r="I18" s="31">
        <f t="shared" si="8"/>
        <v>99910.574573698803</v>
      </c>
      <c r="J18" s="34"/>
      <c r="K18" s="33">
        <f t="shared" si="1"/>
        <v>99910.574573698803</v>
      </c>
      <c r="L18" s="31">
        <f t="shared" si="9"/>
        <v>5.2769726411342859</v>
      </c>
      <c r="M18" s="36"/>
      <c r="N18" s="32">
        <f t="shared" si="2"/>
        <v>1.3192431602835715</v>
      </c>
      <c r="O18" s="32">
        <f>L18*(1-$C$10)*Dashboard!J18</f>
        <v>0</v>
      </c>
      <c r="P18" s="33">
        <f t="shared" si="11"/>
        <v>3.9577294808507144</v>
      </c>
      <c r="Q18" s="31">
        <f t="shared" si="12"/>
        <v>21.051224368352138</v>
      </c>
      <c r="R18" s="32">
        <f t="shared" si="13"/>
        <v>1.7589908803780951</v>
      </c>
      <c r="S18" s="32">
        <f t="shared" si="3"/>
        <v>1.5036588834537241</v>
      </c>
      <c r="T18" s="32">
        <f>Q18*(1-$C$11)*Dashboard!J18</f>
        <v>0</v>
      </c>
      <c r="U18" s="32">
        <f t="shared" si="4"/>
        <v>2.652454270412369</v>
      </c>
      <c r="V18" s="33">
        <f t="shared" si="5"/>
        <v>18.65410209486414</v>
      </c>
      <c r="W18" s="31">
        <f t="shared" si="14"/>
        <v>26.328197009486423</v>
      </c>
      <c r="X18" s="32">
        <f t="shared" si="15"/>
        <v>2.3453211738374602</v>
      </c>
      <c r="Y18" s="33">
        <f t="shared" si="6"/>
        <v>28.673518183323885</v>
      </c>
      <c r="Z18" s="43">
        <f t="shared" si="7"/>
        <v>22.611831575714852</v>
      </c>
    </row>
    <row r="19" spans="2:26" s="2" customFormat="1" ht="18" x14ac:dyDescent="0.35">
      <c r="B19" s="45" t="s">
        <v>36</v>
      </c>
      <c r="C19" s="119">
        <f>(((C15)*(1-C18))+(1-C15))</f>
        <v>0.7</v>
      </c>
      <c r="D19" s="10"/>
      <c r="E19" s="11" t="s">
        <v>391</v>
      </c>
      <c r="F19" s="12" t="s">
        <v>19</v>
      </c>
      <c r="G19" s="13">
        <v>17</v>
      </c>
      <c r="H19" s="42"/>
      <c r="I19" s="31">
        <f t="shared" si="8"/>
        <v>99910.574573698803</v>
      </c>
      <c r="J19" s="34"/>
      <c r="K19" s="33">
        <f t="shared" si="1"/>
        <v>99910.574573698803</v>
      </c>
      <c r="L19" s="31">
        <f t="shared" si="9"/>
        <v>3.9577294808507144</v>
      </c>
      <c r="M19" s="36"/>
      <c r="N19" s="32">
        <f t="shared" si="2"/>
        <v>0.9894323702126786</v>
      </c>
      <c r="O19" s="32">
        <f>L19*(1-$C$10)*Dashboard!J19</f>
        <v>0</v>
      </c>
      <c r="P19" s="33">
        <f t="shared" si="11"/>
        <v>2.9682971106380358</v>
      </c>
      <c r="Q19" s="31">
        <f t="shared" si="12"/>
        <v>18.65410209486414</v>
      </c>
      <c r="R19" s="32">
        <f t="shared" si="13"/>
        <v>1.3192431602835715</v>
      </c>
      <c r="S19" s="32">
        <f t="shared" si="3"/>
        <v>1.3324358639188671</v>
      </c>
      <c r="T19" s="32">
        <f>Q19*(1-$C$11)*Dashboard!J19</f>
        <v>0</v>
      </c>
      <c r="U19" s="32">
        <f t="shared" si="4"/>
        <v>2.3504168639528813</v>
      </c>
      <c r="V19" s="33">
        <f t="shared" si="5"/>
        <v>16.290492527275966</v>
      </c>
      <c r="W19" s="31">
        <f t="shared" si="14"/>
        <v>22.611831575714852</v>
      </c>
      <c r="X19" s="32">
        <f t="shared" si="15"/>
        <v>1.7589908803780951</v>
      </c>
      <c r="Y19" s="33">
        <f t="shared" si="6"/>
        <v>24.370822456092949</v>
      </c>
      <c r="Z19" s="43">
        <f t="shared" si="7"/>
        <v>19.258789637914003</v>
      </c>
    </row>
    <row r="20" spans="2:26" s="2" customFormat="1" ht="18" x14ac:dyDescent="0.35">
      <c r="B20" s="45" t="s">
        <v>37</v>
      </c>
      <c r="C20" s="119">
        <f>Dashboard!D31</f>
        <v>0.7</v>
      </c>
      <c r="D20" s="10"/>
      <c r="E20" s="11" t="s">
        <v>392</v>
      </c>
      <c r="F20" s="12" t="s">
        <v>20</v>
      </c>
      <c r="G20" s="13">
        <v>18</v>
      </c>
      <c r="H20" s="42"/>
      <c r="I20" s="31">
        <f t="shared" si="8"/>
        <v>99910.574573698803</v>
      </c>
      <c r="J20" s="34"/>
      <c r="K20" s="33">
        <f t="shared" si="1"/>
        <v>99910.574573698803</v>
      </c>
      <c r="L20" s="31">
        <f t="shared" si="9"/>
        <v>2.9682971106380358</v>
      </c>
      <c r="M20" s="36"/>
      <c r="N20" s="32">
        <f t="shared" si="2"/>
        <v>0.74207427765950895</v>
      </c>
      <c r="O20" s="32">
        <f>L20*(1-$C$10)*Dashboard!J20</f>
        <v>0</v>
      </c>
      <c r="P20" s="33">
        <f t="shared" si="11"/>
        <v>2.226222832978527</v>
      </c>
      <c r="Q20" s="31">
        <f t="shared" si="12"/>
        <v>16.290492527275966</v>
      </c>
      <c r="R20" s="32">
        <f t="shared" si="13"/>
        <v>0.9894323702126786</v>
      </c>
      <c r="S20" s="32">
        <f t="shared" si="3"/>
        <v>1.1636066090911403</v>
      </c>
      <c r="T20" s="32">
        <f>Q20*(1-$C$11)*Dashboard!J20</f>
        <v>0</v>
      </c>
      <c r="U20" s="32">
        <f t="shared" si="4"/>
        <v>2.0526020584367717</v>
      </c>
      <c r="V20" s="33">
        <f t="shared" si="5"/>
        <v>14.063716229960733</v>
      </c>
      <c r="W20" s="31">
        <f t="shared" si="14"/>
        <v>19.258789637914003</v>
      </c>
      <c r="X20" s="32">
        <f t="shared" si="15"/>
        <v>1.3192431602835715</v>
      </c>
      <c r="Y20" s="33">
        <f t="shared" si="6"/>
        <v>20.578032798197576</v>
      </c>
      <c r="Z20" s="43">
        <f t="shared" si="7"/>
        <v>16.289939062939261</v>
      </c>
    </row>
    <row r="21" spans="2:26" s="2" customFormat="1" ht="18" x14ac:dyDescent="0.35">
      <c r="B21" s="45" t="s">
        <v>38</v>
      </c>
      <c r="C21" s="120">
        <f>(((C15)*(1-C20))+(1-C15))</f>
        <v>0.30000000000000004</v>
      </c>
      <c r="D21" s="10"/>
      <c r="E21" s="11" t="s">
        <v>393</v>
      </c>
      <c r="F21" s="12" t="s">
        <v>21</v>
      </c>
      <c r="G21" s="13">
        <v>19</v>
      </c>
      <c r="H21" s="42"/>
      <c r="I21" s="31">
        <f t="shared" si="8"/>
        <v>99910.574573698803</v>
      </c>
      <c r="J21" s="34"/>
      <c r="K21" s="33">
        <f t="shared" si="1"/>
        <v>99910.574573698803</v>
      </c>
      <c r="L21" s="31">
        <f t="shared" si="9"/>
        <v>2.226222832978527</v>
      </c>
      <c r="M21" s="36"/>
      <c r="N21" s="32">
        <f t="shared" si="2"/>
        <v>0.55655570824463174</v>
      </c>
      <c r="O21" s="32">
        <f>L21*(1-$C$10)*Dashboard!J21</f>
        <v>0</v>
      </c>
      <c r="P21" s="33">
        <f t="shared" si="11"/>
        <v>1.6696671247338952</v>
      </c>
      <c r="Q21" s="31">
        <f t="shared" si="12"/>
        <v>14.063716229960733</v>
      </c>
      <c r="R21" s="32">
        <f t="shared" si="13"/>
        <v>0.74207427765950895</v>
      </c>
      <c r="S21" s="32">
        <f t="shared" si="3"/>
        <v>1.0045511592829095</v>
      </c>
      <c r="T21" s="32">
        <f>Q21*(1-$C$11)*Dashboard!J21</f>
        <v>0</v>
      </c>
      <c r="U21" s="32">
        <f t="shared" si="4"/>
        <v>1.772028244975052</v>
      </c>
      <c r="V21" s="33">
        <f t="shared" si="5"/>
        <v>12.029211103362279</v>
      </c>
      <c r="W21" s="31">
        <f t="shared" si="14"/>
        <v>16.289939062939261</v>
      </c>
      <c r="X21" s="32">
        <f t="shared" si="15"/>
        <v>0.9894323702126786</v>
      </c>
      <c r="Y21" s="33">
        <f t="shared" si="6"/>
        <v>17.27937143315194</v>
      </c>
      <c r="Z21" s="43">
        <f t="shared" si="7"/>
        <v>13.698878228096174</v>
      </c>
    </row>
    <row r="22" spans="2:26" s="2" customFormat="1" ht="16.2" x14ac:dyDescent="0.35">
      <c r="B22" s="9"/>
      <c r="C22" s="18"/>
      <c r="D22" s="10"/>
      <c r="E22" s="11" t="s">
        <v>394</v>
      </c>
      <c r="F22" s="12" t="s">
        <v>22</v>
      </c>
      <c r="G22" s="13">
        <v>20</v>
      </c>
      <c r="H22" s="42"/>
      <c r="I22" s="31">
        <f t="shared" si="8"/>
        <v>99910.574573698803</v>
      </c>
      <c r="J22" s="34"/>
      <c r="K22" s="33">
        <f t="shared" si="1"/>
        <v>99910.574573698803</v>
      </c>
      <c r="L22" s="31">
        <f t="shared" si="9"/>
        <v>1.6696671247338952</v>
      </c>
      <c r="M22" s="36"/>
      <c r="N22" s="32">
        <f t="shared" si="2"/>
        <v>0.41741678118347381</v>
      </c>
      <c r="O22" s="32">
        <f>L22*(1-$C$10)*Dashboard!J22</f>
        <v>0</v>
      </c>
      <c r="P22" s="33">
        <f t="shared" si="11"/>
        <v>1.2522503435504215</v>
      </c>
      <c r="Q22" s="31">
        <f t="shared" si="12"/>
        <v>12.029211103362279</v>
      </c>
      <c r="R22" s="32">
        <f t="shared" si="13"/>
        <v>0.55655570824463174</v>
      </c>
      <c r="S22" s="32">
        <f t="shared" si="3"/>
        <v>0.85922936452587706</v>
      </c>
      <c r="T22" s="32">
        <f>Q22*(1-$C$11)*Dashboard!J22</f>
        <v>0</v>
      </c>
      <c r="U22" s="32">
        <f t="shared" si="4"/>
        <v>1.515680599023647</v>
      </c>
      <c r="V22" s="33">
        <f t="shared" si="5"/>
        <v>10.210856848057388</v>
      </c>
      <c r="W22" s="31">
        <f t="shared" si="14"/>
        <v>13.698878228096174</v>
      </c>
      <c r="X22" s="32">
        <f t="shared" si="15"/>
        <v>0.74207427765950895</v>
      </c>
      <c r="Y22" s="33">
        <f t="shared" si="6"/>
        <v>14.440952505755682</v>
      </c>
      <c r="Z22" s="43">
        <f t="shared" si="7"/>
        <v>11.46310719160781</v>
      </c>
    </row>
    <row r="23" spans="2:26" s="2" customFormat="1" ht="16.2" x14ac:dyDescent="0.35">
      <c r="B23" s="9"/>
      <c r="C23" s="18"/>
      <c r="D23" s="10"/>
      <c r="E23" s="11" t="s">
        <v>395</v>
      </c>
      <c r="F23" s="12" t="s">
        <v>13</v>
      </c>
      <c r="G23" s="13">
        <v>21</v>
      </c>
      <c r="H23" s="42"/>
      <c r="I23" s="31">
        <f t="shared" si="8"/>
        <v>99910.574573698803</v>
      </c>
      <c r="J23" s="34"/>
      <c r="K23" s="33">
        <f t="shared" si="1"/>
        <v>99910.574573698803</v>
      </c>
      <c r="L23" s="31">
        <f t="shared" si="9"/>
        <v>1.2522503435504215</v>
      </c>
      <c r="M23" s="36"/>
      <c r="N23" s="32">
        <f t="shared" si="2"/>
        <v>0.31306258588760538</v>
      </c>
      <c r="O23" s="32">
        <f>L23*(1-$C$10)*Dashboard!J23</f>
        <v>0</v>
      </c>
      <c r="P23" s="33">
        <f t="shared" si="11"/>
        <v>0.93918775766281615</v>
      </c>
      <c r="Q23" s="31">
        <f t="shared" si="12"/>
        <v>10.210856848057388</v>
      </c>
      <c r="R23" s="32">
        <f t="shared" si="13"/>
        <v>0.41741678118347381</v>
      </c>
      <c r="S23" s="32">
        <f t="shared" si="3"/>
        <v>0.72934691771838478</v>
      </c>
      <c r="T23" s="32">
        <f>Q23*(1-$C$11)*Dashboard!J23</f>
        <v>0</v>
      </c>
      <c r="U23" s="32">
        <f t="shared" si="4"/>
        <v>1.2865679628552307</v>
      </c>
      <c r="V23" s="33">
        <f t="shared" si="5"/>
        <v>8.6123587486672477</v>
      </c>
      <c r="W23" s="31">
        <f t="shared" si="14"/>
        <v>11.46310719160781</v>
      </c>
      <c r="X23" s="32">
        <f t="shared" si="15"/>
        <v>0.55655570824463174</v>
      </c>
      <c r="Y23" s="33">
        <f t="shared" si="6"/>
        <v>12.019662899852442</v>
      </c>
      <c r="Z23" s="43">
        <f t="shared" si="7"/>
        <v>9.5515465063300642</v>
      </c>
    </row>
    <row r="24" spans="2:26" s="2" customFormat="1" ht="16.8" thickBot="1" x14ac:dyDescent="0.4">
      <c r="B24" s="20"/>
      <c r="C24" s="21"/>
      <c r="D24" s="10"/>
      <c r="E24" s="22" t="s">
        <v>396</v>
      </c>
      <c r="F24" s="23" t="s">
        <v>23</v>
      </c>
      <c r="G24" s="24">
        <v>22</v>
      </c>
      <c r="H24" s="42"/>
      <c r="I24" s="37">
        <f t="shared" si="8"/>
        <v>99910.574573698803</v>
      </c>
      <c r="J24" s="38"/>
      <c r="K24" s="39">
        <f t="shared" si="1"/>
        <v>99910.574573698803</v>
      </c>
      <c r="L24" s="37">
        <f t="shared" si="9"/>
        <v>0.93918775766281615</v>
      </c>
      <c r="M24" s="38"/>
      <c r="N24" s="40">
        <f t="shared" si="2"/>
        <v>0.23479693941570404</v>
      </c>
      <c r="O24" s="40">
        <f>L24*(1-$C$10)*Dashboard!J24</f>
        <v>0.15027004122605062</v>
      </c>
      <c r="P24" s="39">
        <f t="shared" si="11"/>
        <v>0.55412077702106155</v>
      </c>
      <c r="Q24" s="31">
        <f t="shared" si="12"/>
        <v>8.6123587486672477</v>
      </c>
      <c r="R24" s="40">
        <f t="shared" si="13"/>
        <v>0.31306258588760538</v>
      </c>
      <c r="S24" s="40">
        <f t="shared" si="3"/>
        <v>0.6151684820476605</v>
      </c>
      <c r="T24" s="40">
        <f>Q24*(1-$C$11)*Dashboard!J24</f>
        <v>6.1147747115537454</v>
      </c>
      <c r="U24" s="40">
        <f t="shared" si="4"/>
        <v>1.085157202332073</v>
      </c>
      <c r="V24" s="39">
        <f t="shared" si="5"/>
        <v>1.1103209386213737</v>
      </c>
      <c r="W24" s="37">
        <f t="shared" si="14"/>
        <v>9.5515465063300642</v>
      </c>
      <c r="X24" s="40">
        <f t="shared" si="15"/>
        <v>0.41741678118347381</v>
      </c>
      <c r="Y24" s="33">
        <f t="shared" si="6"/>
        <v>9.9689632875135388</v>
      </c>
      <c r="Z24" s="44">
        <f t="shared" si="7"/>
        <v>1.6644417156424351</v>
      </c>
    </row>
    <row r="25" spans="2:26" s="2" customFormat="1" ht="4.95" customHeight="1" thickBot="1" x14ac:dyDescent="0.4">
      <c r="B25" s="25"/>
      <c r="C25" s="26"/>
      <c r="D25" s="10"/>
      <c r="E25" s="14"/>
      <c r="F25" s="14"/>
      <c r="G25" s="14"/>
      <c r="H25" s="14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2:26" s="2" customFormat="1" ht="16.2" customHeight="1" thickBot="1" x14ac:dyDescent="0.4">
      <c r="B26" s="190">
        <v>1</v>
      </c>
      <c r="C26" s="192"/>
      <c r="D26" s="8"/>
      <c r="E26" s="190">
        <v>2</v>
      </c>
      <c r="F26" s="191"/>
      <c r="G26" s="192"/>
      <c r="H26" s="8"/>
      <c r="I26" s="190">
        <v>3</v>
      </c>
      <c r="J26" s="191"/>
      <c r="K26" s="192"/>
      <c r="L26" s="190">
        <v>4</v>
      </c>
      <c r="M26" s="191"/>
      <c r="N26" s="191"/>
      <c r="O26" s="191"/>
      <c r="P26" s="192"/>
      <c r="Q26" s="190">
        <v>5</v>
      </c>
      <c r="R26" s="191"/>
      <c r="S26" s="191"/>
      <c r="T26" s="191"/>
      <c r="U26" s="191"/>
      <c r="V26" s="192"/>
      <c r="W26" s="190">
        <v>6</v>
      </c>
      <c r="X26" s="191"/>
      <c r="Y26" s="192"/>
      <c r="Z26" s="28">
        <v>7</v>
      </c>
    </row>
    <row r="27" spans="2:26" s="2" customFormat="1" ht="34.950000000000003" customHeight="1" x14ac:dyDescent="0.3">
      <c r="B27" s="4"/>
      <c r="C27" s="3"/>
      <c r="E27" s="3"/>
      <c r="F27" s="3"/>
      <c r="G27" s="3"/>
      <c r="H27" s="3"/>
      <c r="I27" s="3"/>
      <c r="J27" s="3"/>
    </row>
    <row r="28" spans="2:26" s="2" customFormat="1" x14ac:dyDescent="0.3">
      <c r="B28" s="4"/>
      <c r="C28" s="3"/>
      <c r="E28" s="3"/>
      <c r="F28" s="3"/>
      <c r="G28" s="3"/>
      <c r="H28" s="3"/>
      <c r="I28" s="3"/>
      <c r="J28" s="3"/>
    </row>
  </sheetData>
  <mergeCells count="6">
    <mergeCell ref="W26:Y26"/>
    <mergeCell ref="B26:C26"/>
    <mergeCell ref="E26:G26"/>
    <mergeCell ref="I26:K26"/>
    <mergeCell ref="L26:P26"/>
    <mergeCell ref="Q26:V2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Description</vt:lpstr>
      <vt:lpstr>Dashboard</vt:lpstr>
      <vt:lpstr>dont delete</vt:lpstr>
      <vt:lpstr>NVNC</vt:lpstr>
      <vt:lpstr>NVC 1</vt:lpstr>
      <vt:lpstr>NVC 2</vt:lpstr>
      <vt:lpstr>NVC 3</vt:lpstr>
      <vt:lpstr>VNC</vt:lpstr>
      <vt:lpstr>VC 1</vt:lpstr>
      <vt:lpstr>VC 2</vt:lpstr>
      <vt:lpstr>VC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Vidhyagorn Mahd-Adam</dc:creator>
  <cp:lastModifiedBy>Vidhyagorn Mahd-Adam</cp:lastModifiedBy>
  <dcterms:created xsi:type="dcterms:W3CDTF">2022-12-23T10:58:02Z</dcterms:created>
  <dcterms:modified xsi:type="dcterms:W3CDTF">2025-04-10T14:31:01Z</dcterms:modified>
</cp:coreProperties>
</file>