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Project\Cross Border Modelling\"/>
    </mc:Choice>
  </mc:AlternateContent>
  <xr:revisionPtr revIDLastSave="0" documentId="13_ncr:1_{483F11EE-CB92-4C8B-AE14-11823B242F11}" xr6:coauthVersionLast="47" xr6:coauthVersionMax="47" xr10:uidLastSave="{00000000-0000-0000-0000-000000000000}"/>
  <bookViews>
    <workbookView xWindow="-120" yWindow="-120" windowWidth="29040" windowHeight="15720" tabRatio="892" activeTab="1" xr2:uid="{E7733511-2C4F-4B73-BDD2-4B98DD113938}"/>
  </bookViews>
  <sheets>
    <sheet name="Table_1_Description" sheetId="2" r:id="rId1"/>
    <sheet name="Table_2_Dashboard" sheetId="5" r:id="rId2"/>
    <sheet name="dont delete" sheetId="17" state="hidden" r:id="rId3"/>
    <sheet name="Table_3_NVNC" sheetId="12" r:id="rId4"/>
    <sheet name="Table_4_NVC 1" sheetId="9" r:id="rId5"/>
    <sheet name="Table_5_NVC 2" sheetId="10" r:id="rId6"/>
    <sheet name="Table_6_NVC 3" sheetId="11" r:id="rId7"/>
    <sheet name="Table_7_VNC" sheetId="8" r:id="rId8"/>
    <sheet name="Table_8_VC 1" sheetId="1" r:id="rId9"/>
    <sheet name="Table_9_VC 2" sheetId="6" r:id="rId10"/>
    <sheet name="Table_10_VC 3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5" i="5" l="1"/>
  <c r="V25" i="5"/>
  <c r="U25" i="5"/>
  <c r="T25" i="5"/>
  <c r="W24" i="5"/>
  <c r="V24" i="5"/>
  <c r="U24" i="5"/>
  <c r="T24" i="5"/>
  <c r="W23" i="5"/>
  <c r="V23" i="5"/>
  <c r="U23" i="5"/>
  <c r="T23" i="5"/>
  <c r="W21" i="5"/>
  <c r="V21" i="5"/>
  <c r="U21" i="5"/>
  <c r="T21" i="5"/>
  <c r="W20" i="5"/>
  <c r="V20" i="5"/>
  <c r="U20" i="5"/>
  <c r="T20" i="5"/>
  <c r="W18" i="5"/>
  <c r="V18" i="5"/>
  <c r="U18" i="5"/>
  <c r="T18" i="5"/>
  <c r="W16" i="5"/>
  <c r="V16" i="5"/>
  <c r="U16" i="5"/>
  <c r="T16" i="5"/>
  <c r="W14" i="5"/>
  <c r="V14" i="5"/>
  <c r="U14" i="5"/>
  <c r="T14" i="5"/>
  <c r="N24" i="5"/>
  <c r="Q25" i="5"/>
  <c r="P25" i="5"/>
  <c r="O25" i="5"/>
  <c r="N25" i="5"/>
  <c r="Q24" i="5"/>
  <c r="P24" i="5"/>
  <c r="O24" i="5"/>
  <c r="Q23" i="5"/>
  <c r="P23" i="5"/>
  <c r="O23" i="5"/>
  <c r="N23" i="5"/>
  <c r="Q21" i="5"/>
  <c r="P21" i="5"/>
  <c r="O21" i="5"/>
  <c r="N21" i="5"/>
  <c r="Q20" i="5"/>
  <c r="P20" i="5"/>
  <c r="O20" i="5"/>
  <c r="N20" i="5"/>
  <c r="Q16" i="5"/>
  <c r="P16" i="5"/>
  <c r="O16" i="5"/>
  <c r="N16" i="5"/>
  <c r="Q14" i="5"/>
  <c r="P14" i="5"/>
  <c r="O14" i="5"/>
  <c r="N14" i="5"/>
  <c r="C18" i="12" l="1"/>
  <c r="C20" i="12" l="1"/>
  <c r="Y3" i="7"/>
  <c r="W4" i="7" s="1"/>
  <c r="Y3" i="6"/>
  <c r="W4" i="6" s="1"/>
  <c r="Y3" i="1"/>
  <c r="W4" i="1" s="1"/>
  <c r="Y3" i="11"/>
  <c r="W4" i="11" s="1"/>
  <c r="Y3" i="10"/>
  <c r="W4" i="10" s="1"/>
  <c r="Y3" i="9"/>
  <c r="W4" i="9" s="1"/>
  <c r="C14" i="11"/>
  <c r="C14" i="10"/>
  <c r="C14" i="9"/>
  <c r="C14" i="12"/>
  <c r="C4" i="12" s="1"/>
  <c r="C14" i="8"/>
  <c r="C14" i="6"/>
  <c r="C14" i="7" l="1"/>
  <c r="C4" i="7" s="1"/>
  <c r="C4" i="6"/>
  <c r="C14" i="1"/>
  <c r="C4" i="1" s="1"/>
  <c r="C4" i="8"/>
  <c r="C20" i="7"/>
  <c r="C18" i="7"/>
  <c r="C19" i="7" s="1"/>
  <c r="C11" i="7"/>
  <c r="C10" i="7"/>
  <c r="C9" i="7"/>
  <c r="C7" i="7"/>
  <c r="C8" i="7" s="1"/>
  <c r="C5" i="7"/>
  <c r="C6" i="7" s="1"/>
  <c r="C3" i="7"/>
  <c r="C20" i="6"/>
  <c r="C21" i="6" s="1"/>
  <c r="C18" i="6"/>
  <c r="C11" i="6"/>
  <c r="C10" i="6"/>
  <c r="C9" i="6"/>
  <c r="C7" i="6"/>
  <c r="C8" i="6" s="1"/>
  <c r="C5" i="6"/>
  <c r="C6" i="6" s="1"/>
  <c r="C3" i="6"/>
  <c r="C20" i="1"/>
  <c r="C21" i="1" s="1"/>
  <c r="C18" i="1"/>
  <c r="C11" i="1"/>
  <c r="C10" i="1"/>
  <c r="C9" i="1"/>
  <c r="C7" i="1"/>
  <c r="C8" i="1" s="1"/>
  <c r="C5" i="1"/>
  <c r="C6" i="1" s="1"/>
  <c r="C3" i="1"/>
  <c r="C20" i="8"/>
  <c r="C18" i="8"/>
  <c r="C19" i="8" s="1"/>
  <c r="C11" i="8"/>
  <c r="C10" i="8"/>
  <c r="C9" i="8"/>
  <c r="C7" i="8"/>
  <c r="C8" i="8" s="1"/>
  <c r="C5" i="8"/>
  <c r="C6" i="8" s="1"/>
  <c r="Y3" i="8"/>
  <c r="W4" i="8" s="1"/>
  <c r="C3" i="8"/>
  <c r="Y3" i="12"/>
  <c r="W4" i="12" s="1"/>
  <c r="C11" i="12"/>
  <c r="C10" i="12"/>
  <c r="C9" i="12"/>
  <c r="C7" i="12"/>
  <c r="C8" i="12" s="1"/>
  <c r="C5" i="12"/>
  <c r="C6" i="12" s="1"/>
  <c r="C3" i="12"/>
  <c r="C20" i="11"/>
  <c r="C18" i="11"/>
  <c r="C11" i="11"/>
  <c r="C10" i="11"/>
  <c r="C9" i="11"/>
  <c r="C7" i="11"/>
  <c r="C8" i="11" s="1"/>
  <c r="C5" i="11"/>
  <c r="C6" i="11" s="1"/>
  <c r="C4" i="11"/>
  <c r="C3" i="11"/>
  <c r="C20" i="10"/>
  <c r="C18" i="10"/>
  <c r="C4" i="10"/>
  <c r="C11" i="10"/>
  <c r="C10" i="10"/>
  <c r="C9" i="10"/>
  <c r="C7" i="10"/>
  <c r="C8" i="10" s="1"/>
  <c r="C5" i="10"/>
  <c r="C6" i="10" s="1"/>
  <c r="C3" i="10"/>
  <c r="C20" i="9"/>
  <c r="C18" i="9"/>
  <c r="C4" i="9"/>
  <c r="C11" i="9"/>
  <c r="C10" i="9"/>
  <c r="C9" i="9"/>
  <c r="C7" i="9"/>
  <c r="C8" i="9" s="1"/>
  <c r="C5" i="9"/>
  <c r="C6" i="9" s="1"/>
  <c r="C3" i="9"/>
  <c r="D27" i="5"/>
  <c r="C15" i="11" s="1"/>
  <c r="D26" i="5"/>
  <c r="C15" i="10" s="1"/>
  <c r="D25" i="5"/>
  <c r="C15" i="9" s="1"/>
  <c r="D24" i="5"/>
  <c r="C15" i="12" s="1"/>
  <c r="D10" i="5"/>
  <c r="D7" i="5"/>
  <c r="C19" i="12" l="1"/>
  <c r="Q3" i="12" s="1"/>
  <c r="C21" i="12"/>
  <c r="Q3" i="7"/>
  <c r="L3" i="7"/>
  <c r="Q3" i="8"/>
  <c r="S3" i="8" s="1"/>
  <c r="X4" i="8" s="1"/>
  <c r="L3" i="8"/>
  <c r="N3" i="8" s="1"/>
  <c r="R4" i="8" s="1"/>
  <c r="C19" i="9"/>
  <c r="L3" i="9" s="1"/>
  <c r="C21" i="10"/>
  <c r="C21" i="11"/>
  <c r="C19" i="10"/>
  <c r="L3" i="10" s="1"/>
  <c r="C21" i="7"/>
  <c r="C19" i="6"/>
  <c r="Q3" i="6" s="1"/>
  <c r="C19" i="1"/>
  <c r="L3" i="1" s="1"/>
  <c r="C21" i="8"/>
  <c r="C21" i="9"/>
  <c r="C19" i="11"/>
  <c r="Q3" i="11" s="1"/>
  <c r="L3" i="12" l="1"/>
  <c r="I3" i="12" s="1"/>
  <c r="L3" i="6"/>
  <c r="N3" i="6" s="1"/>
  <c r="R4" i="6" s="1"/>
  <c r="Q3" i="1"/>
  <c r="S3" i="1" s="1"/>
  <c r="X4" i="1" s="1"/>
  <c r="Q3" i="10"/>
  <c r="I3" i="10" s="1"/>
  <c r="L3" i="11"/>
  <c r="N3" i="11" s="1"/>
  <c r="R4" i="11" s="1"/>
  <c r="Q3" i="9"/>
  <c r="S3" i="9" s="1"/>
  <c r="X4" i="9" s="1"/>
  <c r="N3" i="9"/>
  <c r="P3" i="9" s="1"/>
  <c r="I3" i="7"/>
  <c r="J3" i="7" s="1"/>
  <c r="M4" i="7" s="1"/>
  <c r="U3" i="6"/>
  <c r="S3" i="6"/>
  <c r="X4" i="6" s="1"/>
  <c r="N3" i="7"/>
  <c r="R4" i="7" s="1"/>
  <c r="S3" i="7"/>
  <c r="X4" i="7" s="1"/>
  <c r="U3" i="7"/>
  <c r="S3" i="11"/>
  <c r="X4" i="11" s="1"/>
  <c r="U3" i="11"/>
  <c r="N3" i="12"/>
  <c r="R4" i="12" s="1"/>
  <c r="U3" i="12"/>
  <c r="U3" i="8"/>
  <c r="S3" i="12"/>
  <c r="X4" i="12" s="1"/>
  <c r="I3" i="8"/>
  <c r="J3" i="8" s="1"/>
  <c r="M4" i="8" s="1"/>
  <c r="P3" i="8"/>
  <c r="U3" i="10" l="1"/>
  <c r="I3" i="6"/>
  <c r="J3" i="6" s="1"/>
  <c r="M4" i="6" s="1"/>
  <c r="U3" i="9"/>
  <c r="S3" i="10"/>
  <c r="X4" i="10" s="1"/>
  <c r="U3" i="1"/>
  <c r="I3" i="11"/>
  <c r="J3" i="11" s="1"/>
  <c r="M4" i="11" s="1"/>
  <c r="V3" i="8"/>
  <c r="Q4" i="8" s="1"/>
  <c r="U4" i="8" s="1"/>
  <c r="V3" i="1"/>
  <c r="Q4" i="1" s="1"/>
  <c r="U4" i="1" s="1"/>
  <c r="P3" i="12"/>
  <c r="P3" i="6"/>
  <c r="L4" i="6" s="1"/>
  <c r="J3" i="10"/>
  <c r="M4" i="10" s="1"/>
  <c r="V3" i="6"/>
  <c r="Q4" i="6" s="1"/>
  <c r="U4" i="6" s="1"/>
  <c r="N3" i="10"/>
  <c r="R4" i="10" s="1"/>
  <c r="N3" i="1"/>
  <c r="R4" i="1" s="1"/>
  <c r="I3" i="1"/>
  <c r="V3" i="11"/>
  <c r="Q4" i="11" s="1"/>
  <c r="P3" i="7"/>
  <c r="P3" i="11"/>
  <c r="R4" i="9"/>
  <c r="I3" i="9"/>
  <c r="J3" i="9" s="1"/>
  <c r="V3" i="7"/>
  <c r="Q4" i="7" s="1"/>
  <c r="K3" i="7"/>
  <c r="I4" i="7" s="1"/>
  <c r="V3" i="12"/>
  <c r="Q4" i="12" s="1"/>
  <c r="L4" i="8"/>
  <c r="K3" i="8"/>
  <c r="I4" i="8" s="1"/>
  <c r="V3" i="9" l="1"/>
  <c r="Q4" i="9" s="1"/>
  <c r="V3" i="10"/>
  <c r="Q4" i="10" s="1"/>
  <c r="Z3" i="8"/>
  <c r="Y4" i="8" s="1"/>
  <c r="W5" i="8" s="1"/>
  <c r="S4" i="8"/>
  <c r="X5" i="8" s="1"/>
  <c r="K3" i="6"/>
  <c r="I4" i="6" s="1"/>
  <c r="J4" i="6" s="1"/>
  <c r="M5" i="6" s="1"/>
  <c r="L4" i="12"/>
  <c r="N4" i="12" s="1"/>
  <c r="R5" i="12" s="1"/>
  <c r="Z3" i="12"/>
  <c r="Y4" i="12" s="1"/>
  <c r="W5" i="12" s="1"/>
  <c r="J3" i="12"/>
  <c r="M4" i="12" s="1"/>
  <c r="S4" i="1"/>
  <c r="P3" i="10"/>
  <c r="L4" i="10" s="1"/>
  <c r="N4" i="10" s="1"/>
  <c r="R5" i="10" s="1"/>
  <c r="P3" i="1"/>
  <c r="Z3" i="1" s="1"/>
  <c r="Y4" i="1" s="1"/>
  <c r="W5" i="1" s="1"/>
  <c r="S4" i="6"/>
  <c r="N4" i="6"/>
  <c r="R5" i="6" s="1"/>
  <c r="Z3" i="6"/>
  <c r="Y4" i="6" s="1"/>
  <c r="W5" i="6" s="1"/>
  <c r="K3" i="11"/>
  <c r="I4" i="11" s="1"/>
  <c r="J4" i="11" s="1"/>
  <c r="M5" i="11" s="1"/>
  <c r="K3" i="10"/>
  <c r="I4" i="10" s="1"/>
  <c r="J4" i="10" s="1"/>
  <c r="M5" i="10" s="1"/>
  <c r="U4" i="7"/>
  <c r="S4" i="7"/>
  <c r="X5" i="7" s="1"/>
  <c r="U4" i="9"/>
  <c r="S4" i="9"/>
  <c r="X5" i="9" s="1"/>
  <c r="L4" i="7"/>
  <c r="Z3" i="7"/>
  <c r="Y4" i="7" s="1"/>
  <c r="W5" i="7" s="1"/>
  <c r="J4" i="7"/>
  <c r="M5" i="7" s="1"/>
  <c r="L4" i="11"/>
  <c r="Z3" i="11"/>
  <c r="Y4" i="11" s="1"/>
  <c r="W5" i="11" s="1"/>
  <c r="M4" i="9"/>
  <c r="J3" i="1"/>
  <c r="M4" i="1" s="1"/>
  <c r="S4" i="11"/>
  <c r="X5" i="11" s="1"/>
  <c r="U4" i="11"/>
  <c r="U4" i="12"/>
  <c r="S4" i="12"/>
  <c r="X5" i="12" s="1"/>
  <c r="J4" i="8"/>
  <c r="M5" i="8" s="1"/>
  <c r="N4" i="8"/>
  <c r="R5" i="8" s="1"/>
  <c r="V4" i="8" l="1"/>
  <c r="Q5" i="8" s="1"/>
  <c r="S5" i="8" s="1"/>
  <c r="X6" i="8" s="1"/>
  <c r="Y5" i="12"/>
  <c r="V4" i="6"/>
  <c r="Q5" i="6" s="1"/>
  <c r="S5" i="6" s="1"/>
  <c r="X6" i="6" s="1"/>
  <c r="X5" i="6"/>
  <c r="V4" i="1"/>
  <c r="Q5" i="1" s="1"/>
  <c r="S5" i="1" s="1"/>
  <c r="X6" i="1" s="1"/>
  <c r="X5" i="1"/>
  <c r="P4" i="10"/>
  <c r="L5" i="10" s="1"/>
  <c r="K4" i="6"/>
  <c r="P4" i="12"/>
  <c r="L5" i="12" s="1"/>
  <c r="O5" i="12" s="1"/>
  <c r="K3" i="12"/>
  <c r="I4" i="12" s="1"/>
  <c r="Z3" i="10"/>
  <c r="Y4" i="10" s="1"/>
  <c r="W5" i="10" s="1"/>
  <c r="T5" i="1"/>
  <c r="L4" i="1"/>
  <c r="N4" i="1" s="1"/>
  <c r="R5" i="1" s="1"/>
  <c r="P4" i="6"/>
  <c r="L5" i="6" s="1"/>
  <c r="N5" i="6" s="1"/>
  <c r="R6" i="6" s="1"/>
  <c r="U5" i="1"/>
  <c r="V4" i="11"/>
  <c r="Q5" i="11" s="1"/>
  <c r="U5" i="11" s="1"/>
  <c r="U5" i="6"/>
  <c r="K4" i="10"/>
  <c r="V4" i="7"/>
  <c r="Q5" i="7" s="1"/>
  <c r="U5" i="7" s="1"/>
  <c r="V4" i="9"/>
  <c r="Q5" i="9" s="1"/>
  <c r="S5" i="9" s="1"/>
  <c r="X6" i="9" s="1"/>
  <c r="K4" i="7"/>
  <c r="N4" i="7"/>
  <c r="R5" i="7" s="1"/>
  <c r="Z3" i="9"/>
  <c r="Y4" i="9" s="1"/>
  <c r="W5" i="9" s="1"/>
  <c r="L4" i="9"/>
  <c r="N4" i="11"/>
  <c r="R5" i="11" s="1"/>
  <c r="K3" i="1"/>
  <c r="I4" i="1" s="1"/>
  <c r="K4" i="11"/>
  <c r="I5" i="11" s="1"/>
  <c r="S4" i="10"/>
  <c r="X5" i="10" s="1"/>
  <c r="U4" i="10"/>
  <c r="K3" i="9"/>
  <c r="I4" i="9" s="1"/>
  <c r="T5" i="8"/>
  <c r="V4" i="12"/>
  <c r="U5" i="8"/>
  <c r="P4" i="8"/>
  <c r="K4" i="8"/>
  <c r="I5" i="8" s="1"/>
  <c r="J4" i="12" l="1"/>
  <c r="M5" i="12" s="1"/>
  <c r="K4" i="12"/>
  <c r="I5" i="12" s="1"/>
  <c r="T5" i="6"/>
  <c r="I5" i="6"/>
  <c r="J5" i="6" s="1"/>
  <c r="M6" i="6" s="1"/>
  <c r="I5" i="7"/>
  <c r="J5" i="7" s="1"/>
  <c r="I5" i="10"/>
  <c r="J5" i="10" s="1"/>
  <c r="Z4" i="12"/>
  <c r="W6" i="12" s="1"/>
  <c r="N5" i="12"/>
  <c r="R6" i="12" s="1"/>
  <c r="O5" i="6"/>
  <c r="P4" i="1"/>
  <c r="L5" i="1" s="1"/>
  <c r="O5" i="1" s="1"/>
  <c r="P4" i="7"/>
  <c r="Z4" i="7" s="1"/>
  <c r="Y5" i="7" s="1"/>
  <c r="W6" i="7" s="1"/>
  <c r="P4" i="11"/>
  <c r="Z4" i="11" s="1"/>
  <c r="Y5" i="11" s="1"/>
  <c r="W6" i="11" s="1"/>
  <c r="V5" i="6"/>
  <c r="Q6" i="6" s="1"/>
  <c r="T6" i="6" s="1"/>
  <c r="U5" i="9"/>
  <c r="T5" i="7"/>
  <c r="T5" i="9"/>
  <c r="T5" i="11"/>
  <c r="S5" i="11"/>
  <c r="X6" i="11" s="1"/>
  <c r="V5" i="1"/>
  <c r="Q6" i="1" s="1"/>
  <c r="S5" i="7"/>
  <c r="X6" i="7" s="1"/>
  <c r="Z4" i="6"/>
  <c r="Y5" i="6" s="1"/>
  <c r="W6" i="6" s="1"/>
  <c r="V4" i="10"/>
  <c r="N4" i="9"/>
  <c r="R5" i="9" s="1"/>
  <c r="J5" i="11"/>
  <c r="M6" i="11" s="1"/>
  <c r="J4" i="1"/>
  <c r="M5" i="1" s="1"/>
  <c r="J4" i="9"/>
  <c r="M5" i="9" s="1"/>
  <c r="O5" i="10"/>
  <c r="N5" i="10"/>
  <c r="R6" i="10" s="1"/>
  <c r="Q5" i="12"/>
  <c r="T5" i="12" s="1"/>
  <c r="V5" i="8"/>
  <c r="Q6" i="8" s="1"/>
  <c r="J5" i="8"/>
  <c r="M6" i="8" s="1"/>
  <c r="L5" i="8"/>
  <c r="O5" i="8" s="1"/>
  <c r="Z4" i="8"/>
  <c r="Y5" i="8" s="1"/>
  <c r="W6" i="8" s="1"/>
  <c r="J5" i="12" l="1"/>
  <c r="M6" i="12" s="1"/>
  <c r="M6" i="10"/>
  <c r="K5" i="10"/>
  <c r="I6" i="10" s="1"/>
  <c r="M6" i="7"/>
  <c r="K5" i="7"/>
  <c r="I6" i="7" s="1"/>
  <c r="J6" i="7" s="1"/>
  <c r="M7" i="7" s="1"/>
  <c r="K5" i="6"/>
  <c r="I6" i="6" s="1"/>
  <c r="P5" i="6"/>
  <c r="L6" i="6" s="1"/>
  <c r="P5" i="12"/>
  <c r="L6" i="12" s="1"/>
  <c r="O6" i="12" s="1"/>
  <c r="Z4" i="1"/>
  <c r="Y5" i="1" s="1"/>
  <c r="W6" i="1" s="1"/>
  <c r="N5" i="1"/>
  <c r="R6" i="1" s="1"/>
  <c r="L5" i="7"/>
  <c r="N5" i="7" s="1"/>
  <c r="R6" i="7" s="1"/>
  <c r="V5" i="7"/>
  <c r="Q6" i="7" s="1"/>
  <c r="U6" i="7" s="1"/>
  <c r="K4" i="1"/>
  <c r="L5" i="11"/>
  <c r="N5" i="11" s="1"/>
  <c r="R6" i="11" s="1"/>
  <c r="K5" i="11"/>
  <c r="I6" i="11" s="1"/>
  <c r="J6" i="11" s="1"/>
  <c r="M7" i="11" s="1"/>
  <c r="V5" i="11"/>
  <c r="Q6" i="11" s="1"/>
  <c r="T6" i="11" s="1"/>
  <c r="S6" i="6"/>
  <c r="X7" i="6" s="1"/>
  <c r="U6" i="6"/>
  <c r="U6" i="1"/>
  <c r="S6" i="1"/>
  <c r="X7" i="1" s="1"/>
  <c r="T6" i="1"/>
  <c r="K4" i="9"/>
  <c r="P5" i="10"/>
  <c r="L6" i="10" s="1"/>
  <c r="V5" i="9"/>
  <c r="Q6" i="9" s="1"/>
  <c r="Q5" i="10"/>
  <c r="Z4" i="10"/>
  <c r="Y5" i="10" s="1"/>
  <c r="W6" i="10" s="1"/>
  <c r="P4" i="9"/>
  <c r="J6" i="10"/>
  <c r="M7" i="10" s="1"/>
  <c r="U5" i="12"/>
  <c r="S5" i="12"/>
  <c r="X6" i="12" s="1"/>
  <c r="S6" i="8"/>
  <c r="X7" i="8" s="1"/>
  <c r="T6" i="8"/>
  <c r="U6" i="8"/>
  <c r="K5" i="8"/>
  <c r="I6" i="8" s="1"/>
  <c r="J6" i="8" s="1"/>
  <c r="M7" i="8" s="1"/>
  <c r="N5" i="8"/>
  <c r="R6" i="8" s="1"/>
  <c r="K5" i="12" l="1"/>
  <c r="I6" i="12" s="1"/>
  <c r="J6" i="12" s="1"/>
  <c r="M7" i="12" s="1"/>
  <c r="K6" i="7"/>
  <c r="I7" i="7" s="1"/>
  <c r="J7" i="7" s="1"/>
  <c r="M8" i="7" s="1"/>
  <c r="I5" i="1"/>
  <c r="J5" i="1" s="1"/>
  <c r="I5" i="9"/>
  <c r="J5" i="9" s="1"/>
  <c r="Z5" i="6"/>
  <c r="Y6" i="6" s="1"/>
  <c r="W7" i="6" s="1"/>
  <c r="N6" i="12"/>
  <c r="R7" i="12" s="1"/>
  <c r="O5" i="11"/>
  <c r="T6" i="7"/>
  <c r="S6" i="7"/>
  <c r="X7" i="7" s="1"/>
  <c r="P5" i="1"/>
  <c r="Z5" i="1" s="1"/>
  <c r="Y6" i="1" s="1"/>
  <c r="W7" i="1" s="1"/>
  <c r="U6" i="11"/>
  <c r="O5" i="7"/>
  <c r="S6" i="11"/>
  <c r="X7" i="11" s="1"/>
  <c r="V6" i="6"/>
  <c r="Q7" i="6" s="1"/>
  <c r="V6" i="1"/>
  <c r="Q7" i="1" s="1"/>
  <c r="U7" i="1" s="1"/>
  <c r="T5" i="10"/>
  <c r="U5" i="10"/>
  <c r="S5" i="10"/>
  <c r="X6" i="10" s="1"/>
  <c r="Z4" i="9"/>
  <c r="Y5" i="9" s="1"/>
  <c r="W6" i="9" s="1"/>
  <c r="L5" i="9"/>
  <c r="U6" i="9"/>
  <c r="T6" i="9"/>
  <c r="S6" i="9"/>
  <c r="X7" i="9" s="1"/>
  <c r="K6" i="11"/>
  <c r="I7" i="11" s="1"/>
  <c r="O6" i="6"/>
  <c r="N6" i="6"/>
  <c r="R7" i="6" s="1"/>
  <c r="K6" i="10"/>
  <c r="I7" i="10" s="1"/>
  <c r="N6" i="10"/>
  <c r="R7" i="10" s="1"/>
  <c r="O6" i="10"/>
  <c r="V5" i="12"/>
  <c r="Q6" i="12" s="1"/>
  <c r="T6" i="12" s="1"/>
  <c r="V6" i="8"/>
  <c r="Q7" i="8" s="1"/>
  <c r="T7" i="8" s="1"/>
  <c r="K6" i="8"/>
  <c r="I7" i="8" s="1"/>
  <c r="P5" i="8"/>
  <c r="M6" i="1" l="1"/>
  <c r="K5" i="1"/>
  <c r="I6" i="1" s="1"/>
  <c r="J6" i="1" s="1"/>
  <c r="M7" i="1" s="1"/>
  <c r="K5" i="9"/>
  <c r="I6" i="9" s="1"/>
  <c r="J6" i="9" s="1"/>
  <c r="M7" i="9" s="1"/>
  <c r="M6" i="9"/>
  <c r="P5" i="11"/>
  <c r="L6" i="11" s="1"/>
  <c r="N6" i="11" s="1"/>
  <c r="R7" i="11" s="1"/>
  <c r="P6" i="12"/>
  <c r="L7" i="12" s="1"/>
  <c r="O7" i="12" s="1"/>
  <c r="P5" i="7"/>
  <c r="Z5" i="7" s="1"/>
  <c r="Y6" i="7" s="1"/>
  <c r="W7" i="7" s="1"/>
  <c r="V6" i="7"/>
  <c r="Q7" i="7" s="1"/>
  <c r="T7" i="7" s="1"/>
  <c r="L6" i="1"/>
  <c r="V6" i="11"/>
  <c r="Q7" i="11" s="1"/>
  <c r="T7" i="11" s="1"/>
  <c r="S7" i="1"/>
  <c r="X8" i="1" s="1"/>
  <c r="T7" i="1"/>
  <c r="U7" i="6"/>
  <c r="S7" i="6"/>
  <c r="X8" i="6" s="1"/>
  <c r="T7" i="6"/>
  <c r="K7" i="7"/>
  <c r="I8" i="7" s="1"/>
  <c r="J8" i="7" s="1"/>
  <c r="M9" i="7" s="1"/>
  <c r="V5" i="10"/>
  <c r="Q6" i="10" s="1"/>
  <c r="N5" i="9"/>
  <c r="R6" i="9" s="1"/>
  <c r="O5" i="9"/>
  <c r="J7" i="11"/>
  <c r="M8" i="11" s="1"/>
  <c r="P6" i="6"/>
  <c r="P6" i="10"/>
  <c r="J7" i="10"/>
  <c r="M8" i="10" s="1"/>
  <c r="U6" i="12"/>
  <c r="Z5" i="12"/>
  <c r="Y6" i="12" s="1"/>
  <c r="W7" i="12" s="1"/>
  <c r="S6" i="12"/>
  <c r="X7" i="12" s="1"/>
  <c r="K6" i="12"/>
  <c r="I7" i="12" s="1"/>
  <c r="J7" i="12" s="1"/>
  <c r="M8" i="12" s="1"/>
  <c r="L6" i="8"/>
  <c r="O6" i="8" s="1"/>
  <c r="Z5" i="8"/>
  <c r="Y6" i="8" s="1"/>
  <c r="W7" i="8" s="1"/>
  <c r="J7" i="8"/>
  <c r="M8" i="8" s="1"/>
  <c r="U7" i="8"/>
  <c r="S7" i="8"/>
  <c r="X8" i="8" s="1"/>
  <c r="K6" i="1" l="1"/>
  <c r="I7" i="1" s="1"/>
  <c r="J7" i="1" s="1"/>
  <c r="M8" i="1" s="1"/>
  <c r="Z5" i="11"/>
  <c r="Y6" i="11" s="1"/>
  <c r="W7" i="11" s="1"/>
  <c r="O6" i="11"/>
  <c r="N7" i="12"/>
  <c r="R8" i="12" s="1"/>
  <c r="L6" i="7"/>
  <c r="O6" i="7" s="1"/>
  <c r="U7" i="7"/>
  <c r="S7" i="7"/>
  <c r="X8" i="7" s="1"/>
  <c r="N6" i="1"/>
  <c r="O6" i="1"/>
  <c r="S7" i="11"/>
  <c r="X8" i="11" s="1"/>
  <c r="U7" i="11"/>
  <c r="V7" i="6"/>
  <c r="Q8" i="6" s="1"/>
  <c r="S8" i="6" s="1"/>
  <c r="X9" i="6" s="1"/>
  <c r="P5" i="9"/>
  <c r="L6" i="9" s="1"/>
  <c r="K6" i="9"/>
  <c r="I7" i="9" s="1"/>
  <c r="J7" i="9" s="1"/>
  <c r="M8" i="9" s="1"/>
  <c r="K7" i="11"/>
  <c r="I8" i="11" s="1"/>
  <c r="J8" i="11" s="1"/>
  <c r="M9" i="11" s="1"/>
  <c r="Z5" i="10"/>
  <c r="Y6" i="10" s="1"/>
  <c r="W7" i="10" s="1"/>
  <c r="K8" i="7"/>
  <c r="I9" i="7" s="1"/>
  <c r="J9" i="7" s="1"/>
  <c r="M10" i="7" s="1"/>
  <c r="V6" i="9"/>
  <c r="Q7" i="9" s="1"/>
  <c r="U6" i="10"/>
  <c r="T6" i="10"/>
  <c r="S6" i="10"/>
  <c r="X7" i="10" s="1"/>
  <c r="Z6" i="6"/>
  <c r="Y7" i="6" s="1"/>
  <c r="W8" i="6" s="1"/>
  <c r="L7" i="6"/>
  <c r="K7" i="10"/>
  <c r="I8" i="10" s="1"/>
  <c r="L7" i="10"/>
  <c r="V6" i="12"/>
  <c r="Q7" i="12" s="1"/>
  <c r="T7" i="12" s="1"/>
  <c r="K7" i="12"/>
  <c r="I8" i="12" s="1"/>
  <c r="K7" i="8"/>
  <c r="I8" i="8" s="1"/>
  <c r="N6" i="8"/>
  <c r="R7" i="8" s="1"/>
  <c r="K7" i="1" l="1"/>
  <c r="I8" i="1" s="1"/>
  <c r="J8" i="1" s="1"/>
  <c r="M9" i="1" s="1"/>
  <c r="V7" i="11"/>
  <c r="Q8" i="11" s="1"/>
  <c r="T8" i="11" s="1"/>
  <c r="P6" i="11"/>
  <c r="L7" i="11" s="1"/>
  <c r="O7" i="11" s="1"/>
  <c r="P7" i="12"/>
  <c r="L8" i="12" s="1"/>
  <c r="O8" i="12" s="1"/>
  <c r="U8" i="6"/>
  <c r="T8" i="6"/>
  <c r="N6" i="7"/>
  <c r="R7" i="7" s="1"/>
  <c r="Z5" i="9"/>
  <c r="Y6" i="9" s="1"/>
  <c r="W7" i="9" s="1"/>
  <c r="R7" i="1"/>
  <c r="P6" i="1"/>
  <c r="J8" i="12"/>
  <c r="K8" i="11"/>
  <c r="I9" i="11" s="1"/>
  <c r="J9" i="11" s="1"/>
  <c r="M10" i="11" s="1"/>
  <c r="V6" i="10"/>
  <c r="Q7" i="10" s="1"/>
  <c r="S7" i="10" s="1"/>
  <c r="X8" i="10" s="1"/>
  <c r="K7" i="9"/>
  <c r="I8" i="9" s="1"/>
  <c r="J8" i="9" s="1"/>
  <c r="M9" i="9" s="1"/>
  <c r="K8" i="1"/>
  <c r="I9" i="1" s="1"/>
  <c r="J9" i="1" s="1"/>
  <c r="M10" i="1" s="1"/>
  <c r="S7" i="9"/>
  <c r="X8" i="9" s="1"/>
  <c r="T7" i="9"/>
  <c r="U7" i="9"/>
  <c r="O6" i="9"/>
  <c r="N6" i="9"/>
  <c r="R7" i="9" s="1"/>
  <c r="K9" i="7"/>
  <c r="I10" i="7" s="1"/>
  <c r="K10" i="7" s="1"/>
  <c r="I11" i="7" s="1"/>
  <c r="K11" i="7" s="1"/>
  <c r="I12" i="7" s="1"/>
  <c r="K12" i="7" s="1"/>
  <c r="I13" i="7" s="1"/>
  <c r="K13" i="7" s="1"/>
  <c r="I14" i="7" s="1"/>
  <c r="K14" i="7" s="1"/>
  <c r="I15" i="7" s="1"/>
  <c r="K15" i="7" s="1"/>
  <c r="I16" i="7" s="1"/>
  <c r="K16" i="7" s="1"/>
  <c r="I17" i="7" s="1"/>
  <c r="K17" i="7" s="1"/>
  <c r="I18" i="7" s="1"/>
  <c r="K18" i="7" s="1"/>
  <c r="I19" i="7" s="1"/>
  <c r="K19" i="7" s="1"/>
  <c r="I20" i="7" s="1"/>
  <c r="K20" i="7" s="1"/>
  <c r="I21" i="7" s="1"/>
  <c r="K21" i="7" s="1"/>
  <c r="I22" i="7" s="1"/>
  <c r="K22" i="7" s="1"/>
  <c r="I23" i="7" s="1"/>
  <c r="K23" i="7" s="1"/>
  <c r="I24" i="7" s="1"/>
  <c r="Z6" i="12"/>
  <c r="Y7" i="12" s="1"/>
  <c r="W8" i="12" s="1"/>
  <c r="U7" i="12"/>
  <c r="O7" i="6"/>
  <c r="N7" i="6"/>
  <c r="R8" i="6" s="1"/>
  <c r="O7" i="10"/>
  <c r="N7" i="10"/>
  <c r="R8" i="10" s="1"/>
  <c r="J8" i="10"/>
  <c r="M9" i="10" s="1"/>
  <c r="S7" i="12"/>
  <c r="X8" i="12" s="1"/>
  <c r="J8" i="8"/>
  <c r="M9" i="8" s="1"/>
  <c r="P6" i="8"/>
  <c r="V7" i="8"/>
  <c r="Q8" i="8" s="1"/>
  <c r="T8" i="8" s="1"/>
  <c r="K24" i="7" l="1"/>
  <c r="U8" i="11"/>
  <c r="S8" i="11"/>
  <c r="X9" i="11" s="1"/>
  <c r="N7" i="11"/>
  <c r="R8" i="11" s="1"/>
  <c r="Z6" i="11"/>
  <c r="Y7" i="11" s="1"/>
  <c r="W8" i="11" s="1"/>
  <c r="N8" i="12"/>
  <c r="R9" i="12" s="1"/>
  <c r="V7" i="7"/>
  <c r="Q8" i="7" s="1"/>
  <c r="T8" i="7" s="1"/>
  <c r="P6" i="7"/>
  <c r="Z6" i="7" s="1"/>
  <c r="Y7" i="7" s="1"/>
  <c r="W8" i="7" s="1"/>
  <c r="K9" i="11"/>
  <c r="I10" i="11" s="1"/>
  <c r="K10" i="11" s="1"/>
  <c r="I11" i="11" s="1"/>
  <c r="K11" i="11" s="1"/>
  <c r="I12" i="11" s="1"/>
  <c r="K12" i="11" s="1"/>
  <c r="I13" i="11" s="1"/>
  <c r="K13" i="11" s="1"/>
  <c r="I14" i="11" s="1"/>
  <c r="K14" i="11" s="1"/>
  <c r="I15" i="11" s="1"/>
  <c r="K15" i="11" s="1"/>
  <c r="I16" i="11" s="1"/>
  <c r="K16" i="11" s="1"/>
  <c r="I17" i="11" s="1"/>
  <c r="K17" i="11" s="1"/>
  <c r="I18" i="11" s="1"/>
  <c r="K18" i="11" s="1"/>
  <c r="I19" i="11" s="1"/>
  <c r="K19" i="11" s="1"/>
  <c r="I20" i="11" s="1"/>
  <c r="K20" i="11" s="1"/>
  <c r="I21" i="11" s="1"/>
  <c r="K21" i="11" s="1"/>
  <c r="I22" i="11" s="1"/>
  <c r="K22" i="11" s="1"/>
  <c r="I23" i="11" s="1"/>
  <c r="K23" i="11" s="1"/>
  <c r="I24" i="11" s="1"/>
  <c r="Z6" i="1"/>
  <c r="Y7" i="1" s="1"/>
  <c r="W8" i="1" s="1"/>
  <c r="L7" i="1"/>
  <c r="V7" i="1"/>
  <c r="Q8" i="1" s="1"/>
  <c r="M9" i="12"/>
  <c r="K8" i="12"/>
  <c r="I9" i="12" s="1"/>
  <c r="Z6" i="10"/>
  <c r="Y7" i="10" s="1"/>
  <c r="W8" i="10" s="1"/>
  <c r="U7" i="10"/>
  <c r="T7" i="10"/>
  <c r="K8" i="9"/>
  <c r="I9" i="9" s="1"/>
  <c r="P6" i="9"/>
  <c r="L7" i="9" s="1"/>
  <c r="V7" i="12"/>
  <c r="Z7" i="12" s="1"/>
  <c r="Y8" i="12" s="1"/>
  <c r="W9" i="12" s="1"/>
  <c r="K8" i="10"/>
  <c r="I9" i="10" s="1"/>
  <c r="V7" i="9"/>
  <c r="Q8" i="9" s="1"/>
  <c r="V8" i="6"/>
  <c r="Q9" i="6" s="1"/>
  <c r="K9" i="1"/>
  <c r="I10" i="1" s="1"/>
  <c r="K10" i="1" s="1"/>
  <c r="I11" i="1" s="1"/>
  <c r="K11" i="1" s="1"/>
  <c r="I12" i="1" s="1"/>
  <c r="K12" i="1" s="1"/>
  <c r="I13" i="1" s="1"/>
  <c r="K13" i="1" s="1"/>
  <c r="I14" i="1" s="1"/>
  <c r="K14" i="1" s="1"/>
  <c r="I15" i="1" s="1"/>
  <c r="K15" i="1" s="1"/>
  <c r="I16" i="1" s="1"/>
  <c r="K16" i="1" s="1"/>
  <c r="I17" i="1" s="1"/>
  <c r="K17" i="1" s="1"/>
  <c r="I18" i="1" s="1"/>
  <c r="K18" i="1" s="1"/>
  <c r="I19" i="1" s="1"/>
  <c r="K19" i="1" s="1"/>
  <c r="I20" i="1" s="1"/>
  <c r="K20" i="1" s="1"/>
  <c r="I21" i="1" s="1"/>
  <c r="K21" i="1" s="1"/>
  <c r="I22" i="1" s="1"/>
  <c r="K22" i="1" s="1"/>
  <c r="I23" i="1" s="1"/>
  <c r="K23" i="1" s="1"/>
  <c r="I24" i="1" s="1"/>
  <c r="P7" i="10"/>
  <c r="K8" i="8"/>
  <c r="I9" i="8" s="1"/>
  <c r="J9" i="8" s="1"/>
  <c r="M10" i="8" s="1"/>
  <c r="U8" i="8"/>
  <c r="S8" i="8"/>
  <c r="X9" i="8" s="1"/>
  <c r="L7" i="8"/>
  <c r="O7" i="8" s="1"/>
  <c r="Z6" i="8"/>
  <c r="Y7" i="8" s="1"/>
  <c r="W8" i="8" s="1"/>
  <c r="K24" i="1" l="1"/>
  <c r="K24" i="11"/>
  <c r="V8" i="11"/>
  <c r="Q9" i="11" s="1"/>
  <c r="S9" i="11" s="1"/>
  <c r="X10" i="11" s="1"/>
  <c r="P8" i="12"/>
  <c r="L9" i="12" s="1"/>
  <c r="N9" i="12" s="1"/>
  <c r="R10" i="12" s="1"/>
  <c r="P7" i="11"/>
  <c r="Z7" i="11" s="1"/>
  <c r="Y8" i="11" s="1"/>
  <c r="W9" i="11" s="1"/>
  <c r="S8" i="7"/>
  <c r="X9" i="7" s="1"/>
  <c r="U8" i="7"/>
  <c r="L7" i="7"/>
  <c r="O7" i="7" s="1"/>
  <c r="Z6" i="9"/>
  <c r="Y7" i="9" s="1"/>
  <c r="W8" i="9" s="1"/>
  <c r="O7" i="1"/>
  <c r="N7" i="1"/>
  <c r="U8" i="1"/>
  <c r="T8" i="1"/>
  <c r="S8" i="1"/>
  <c r="X9" i="1" s="1"/>
  <c r="J9" i="12"/>
  <c r="M10" i="12" s="1"/>
  <c r="Q8" i="12"/>
  <c r="T8" i="12" s="1"/>
  <c r="V7" i="10"/>
  <c r="Q8" i="10" s="1"/>
  <c r="T8" i="10" s="1"/>
  <c r="J9" i="9"/>
  <c r="M10" i="9" s="1"/>
  <c r="U8" i="9"/>
  <c r="S8" i="9"/>
  <c r="X9" i="9" s="1"/>
  <c r="T8" i="9"/>
  <c r="J9" i="10"/>
  <c r="M10" i="10" s="1"/>
  <c r="O7" i="9"/>
  <c r="N7" i="9"/>
  <c r="R8" i="9" s="1"/>
  <c r="U9" i="6"/>
  <c r="S9" i="6"/>
  <c r="X10" i="6" s="1"/>
  <c r="L8" i="10"/>
  <c r="N7" i="8"/>
  <c r="R8" i="8" s="1"/>
  <c r="K9" i="8"/>
  <c r="I10" i="8" s="1"/>
  <c r="K10" i="8" s="1"/>
  <c r="I11" i="8" s="1"/>
  <c r="K11" i="8" s="1"/>
  <c r="I12" i="8" s="1"/>
  <c r="K12" i="8" s="1"/>
  <c r="I13" i="8" s="1"/>
  <c r="K13" i="8" s="1"/>
  <c r="I14" i="8" s="1"/>
  <c r="K14" i="8" s="1"/>
  <c r="I15" i="8" s="1"/>
  <c r="K15" i="8" s="1"/>
  <c r="I16" i="8" s="1"/>
  <c r="K16" i="8" s="1"/>
  <c r="I17" i="8" s="1"/>
  <c r="K17" i="8" s="1"/>
  <c r="I18" i="8" s="1"/>
  <c r="K18" i="8" s="1"/>
  <c r="I19" i="8" s="1"/>
  <c r="K19" i="8" s="1"/>
  <c r="I20" i="8" s="1"/>
  <c r="K20" i="8" s="1"/>
  <c r="I21" i="8" s="1"/>
  <c r="K21" i="8" s="1"/>
  <c r="I22" i="8" s="1"/>
  <c r="K22" i="8" s="1"/>
  <c r="I23" i="8" s="1"/>
  <c r="K23" i="8" s="1"/>
  <c r="I24" i="8" s="1"/>
  <c r="K24" i="8" l="1"/>
  <c r="U9" i="11"/>
  <c r="P9" i="12"/>
  <c r="L10" i="12" s="1"/>
  <c r="O10" i="12" s="1"/>
  <c r="L8" i="11"/>
  <c r="O8" i="11" s="1"/>
  <c r="N7" i="7"/>
  <c r="R8" i="7" s="1"/>
  <c r="V8" i="7" s="1"/>
  <c r="Q9" i="7" s="1"/>
  <c r="S8" i="12"/>
  <c r="X9" i="12" s="1"/>
  <c r="U8" i="12"/>
  <c r="Z7" i="10"/>
  <c r="Y8" i="10" s="1"/>
  <c r="W9" i="10" s="1"/>
  <c r="S8" i="10"/>
  <c r="X9" i="10" s="1"/>
  <c r="R8" i="1"/>
  <c r="P7" i="1"/>
  <c r="U8" i="10"/>
  <c r="K9" i="12"/>
  <c r="I10" i="12" s="1"/>
  <c r="K10" i="12" s="1"/>
  <c r="I11" i="12" s="1"/>
  <c r="K11" i="12" s="1"/>
  <c r="I12" i="12" s="1"/>
  <c r="K12" i="12" s="1"/>
  <c r="I13" i="12" s="1"/>
  <c r="K13" i="12" s="1"/>
  <c r="I14" i="12" s="1"/>
  <c r="K14" i="12" s="1"/>
  <c r="I15" i="12" s="1"/>
  <c r="K15" i="12" s="1"/>
  <c r="I16" i="12" s="1"/>
  <c r="K16" i="12" s="1"/>
  <c r="I17" i="12" s="1"/>
  <c r="K17" i="12" s="1"/>
  <c r="I18" i="12" s="1"/>
  <c r="K18" i="12" s="1"/>
  <c r="V8" i="9"/>
  <c r="Q9" i="9" s="1"/>
  <c r="U9" i="9" s="1"/>
  <c r="K9" i="10"/>
  <c r="I10" i="10" s="1"/>
  <c r="K10" i="10" s="1"/>
  <c r="I11" i="10" s="1"/>
  <c r="K11" i="10" s="1"/>
  <c r="I12" i="10" s="1"/>
  <c r="K12" i="10" s="1"/>
  <c r="I13" i="10" s="1"/>
  <c r="K13" i="10" s="1"/>
  <c r="I14" i="10" s="1"/>
  <c r="K14" i="10" s="1"/>
  <c r="I15" i="10" s="1"/>
  <c r="K15" i="10" s="1"/>
  <c r="I16" i="10" s="1"/>
  <c r="K16" i="10" s="1"/>
  <c r="I17" i="10" s="1"/>
  <c r="K17" i="10" s="1"/>
  <c r="I18" i="10" s="1"/>
  <c r="K18" i="10" s="1"/>
  <c r="I19" i="10" s="1"/>
  <c r="K19" i="10" s="1"/>
  <c r="I20" i="10" s="1"/>
  <c r="K20" i="10" s="1"/>
  <c r="I21" i="10" s="1"/>
  <c r="K21" i="10" s="1"/>
  <c r="I22" i="10" s="1"/>
  <c r="K22" i="10" s="1"/>
  <c r="I23" i="10" s="1"/>
  <c r="K23" i="10" s="1"/>
  <c r="K9" i="9"/>
  <c r="I10" i="9" s="1"/>
  <c r="K10" i="9" s="1"/>
  <c r="I11" i="9" s="1"/>
  <c r="K11" i="9" s="1"/>
  <c r="I12" i="9" s="1"/>
  <c r="K12" i="9" s="1"/>
  <c r="I13" i="9" s="1"/>
  <c r="K13" i="9" s="1"/>
  <c r="I14" i="9" s="1"/>
  <c r="K14" i="9" s="1"/>
  <c r="I15" i="9" s="1"/>
  <c r="K15" i="9" s="1"/>
  <c r="I16" i="9" s="1"/>
  <c r="K16" i="9" s="1"/>
  <c r="I17" i="9" s="1"/>
  <c r="K17" i="9" s="1"/>
  <c r="I18" i="9" s="1"/>
  <c r="K18" i="9" s="1"/>
  <c r="I19" i="9" s="1"/>
  <c r="K19" i="9" s="1"/>
  <c r="I20" i="9" s="1"/>
  <c r="K20" i="9" s="1"/>
  <c r="I21" i="9" s="1"/>
  <c r="K21" i="9" s="1"/>
  <c r="I22" i="9" s="1"/>
  <c r="K22" i="9" s="1"/>
  <c r="I23" i="9" s="1"/>
  <c r="K23" i="9" s="1"/>
  <c r="I24" i="9" s="1"/>
  <c r="P7" i="9"/>
  <c r="Z7" i="9" s="1"/>
  <c r="Y8" i="9" s="1"/>
  <c r="W9" i="9" s="1"/>
  <c r="O8" i="10"/>
  <c r="N8" i="10"/>
  <c r="R9" i="10" s="1"/>
  <c r="V8" i="8"/>
  <c r="Q9" i="8" s="1"/>
  <c r="P7" i="8"/>
  <c r="I24" i="10" l="1"/>
  <c r="K24" i="10" s="1"/>
  <c r="K24" i="9"/>
  <c r="N10" i="12"/>
  <c r="R11" i="12" s="1"/>
  <c r="N8" i="11"/>
  <c r="R9" i="11" s="1"/>
  <c r="V9" i="11" s="1"/>
  <c r="Q10" i="11" s="1"/>
  <c r="T10" i="11" s="1"/>
  <c r="V8" i="12"/>
  <c r="Q9" i="12" s="1"/>
  <c r="S9" i="12" s="1"/>
  <c r="X10" i="12" s="1"/>
  <c r="P7" i="7"/>
  <c r="Z7" i="7" s="1"/>
  <c r="Y8" i="7" s="1"/>
  <c r="W9" i="7" s="1"/>
  <c r="V8" i="10"/>
  <c r="Q9" i="10" s="1"/>
  <c r="S9" i="10" s="1"/>
  <c r="X10" i="10" s="1"/>
  <c r="L8" i="1"/>
  <c r="Z7" i="1"/>
  <c r="Y8" i="1" s="1"/>
  <c r="W9" i="1" s="1"/>
  <c r="V8" i="1"/>
  <c r="Q9" i="1" s="1"/>
  <c r="L8" i="9"/>
  <c r="S9" i="9"/>
  <c r="X10" i="9" s="1"/>
  <c r="U9" i="7"/>
  <c r="S9" i="7"/>
  <c r="X10" i="7" s="1"/>
  <c r="P8" i="10"/>
  <c r="Z7" i="8"/>
  <c r="Y8" i="8" s="1"/>
  <c r="W9" i="8" s="1"/>
  <c r="L8" i="8"/>
  <c r="O8" i="8" s="1"/>
  <c r="S9" i="8"/>
  <c r="X10" i="8" s="1"/>
  <c r="U9" i="8"/>
  <c r="I19" i="12"/>
  <c r="K19" i="12" s="1"/>
  <c r="L8" i="7" l="1"/>
  <c r="O8" i="7" s="1"/>
  <c r="P10" i="12"/>
  <c r="L11" i="12" s="1"/>
  <c r="O11" i="12" s="1"/>
  <c r="P8" i="11"/>
  <c r="Z8" i="11" s="1"/>
  <c r="Y9" i="11" s="1"/>
  <c r="W10" i="11" s="1"/>
  <c r="Z8" i="12"/>
  <c r="Y9" i="12" s="1"/>
  <c r="W10" i="12" s="1"/>
  <c r="U9" i="12"/>
  <c r="U9" i="10"/>
  <c r="V9" i="10" s="1"/>
  <c r="Q10" i="10" s="1"/>
  <c r="T10" i="10" s="1"/>
  <c r="S9" i="1"/>
  <c r="X10" i="1" s="1"/>
  <c r="U9" i="1"/>
  <c r="O8" i="1"/>
  <c r="N8" i="1"/>
  <c r="R9" i="1" s="1"/>
  <c r="N8" i="9"/>
  <c r="R9" i="9" s="1"/>
  <c r="O8" i="9"/>
  <c r="U10" i="11"/>
  <c r="S10" i="11"/>
  <c r="X11" i="11" s="1"/>
  <c r="L9" i="10"/>
  <c r="Z8" i="10"/>
  <c r="Y9" i="10" s="1"/>
  <c r="W10" i="10" s="1"/>
  <c r="N8" i="8"/>
  <c r="R9" i="8" s="1"/>
  <c r="I20" i="12"/>
  <c r="K20" i="12" s="1"/>
  <c r="N8" i="7" l="1"/>
  <c r="R9" i="7" s="1"/>
  <c r="V9" i="7" s="1"/>
  <c r="Q10" i="7" s="1"/>
  <c r="T10" i="7" s="1"/>
  <c r="V9" i="12"/>
  <c r="Q10" i="12" s="1"/>
  <c r="T10" i="12" s="1"/>
  <c r="L9" i="11"/>
  <c r="N11" i="12"/>
  <c r="R12" i="12" s="1"/>
  <c r="S10" i="10"/>
  <c r="X11" i="10" s="1"/>
  <c r="U10" i="10"/>
  <c r="P8" i="1"/>
  <c r="V9" i="1"/>
  <c r="Q10" i="1" s="1"/>
  <c r="V9" i="9"/>
  <c r="Q10" i="9" s="1"/>
  <c r="T10" i="9" s="1"/>
  <c r="P8" i="9"/>
  <c r="L9" i="9" s="1"/>
  <c r="N9" i="9" s="1"/>
  <c r="R10" i="9" s="1"/>
  <c r="N9" i="11"/>
  <c r="R10" i="11" s="1"/>
  <c r="N9" i="10"/>
  <c r="R10" i="10" s="1"/>
  <c r="V9" i="8"/>
  <c r="Q10" i="8" s="1"/>
  <c r="T10" i="8" s="1"/>
  <c r="P8" i="8"/>
  <c r="I21" i="12"/>
  <c r="K21" i="12" s="1"/>
  <c r="P11" i="12" l="1"/>
  <c r="L12" i="12" s="1"/>
  <c r="O12" i="12" s="1"/>
  <c r="P8" i="7"/>
  <c r="L9" i="7" s="1"/>
  <c r="N9" i="7" s="1"/>
  <c r="R10" i="7" s="1"/>
  <c r="Z9" i="12"/>
  <c r="Y10" i="12" s="1"/>
  <c r="W11" i="12" s="1"/>
  <c r="U10" i="12"/>
  <c r="S10" i="12"/>
  <c r="N12" i="12"/>
  <c r="R13" i="12" s="1"/>
  <c r="Z8" i="7"/>
  <c r="Y9" i="7" s="1"/>
  <c r="W10" i="7" s="1"/>
  <c r="T10" i="1"/>
  <c r="S10" i="1"/>
  <c r="X11" i="1" s="1"/>
  <c r="U10" i="1"/>
  <c r="L9" i="1"/>
  <c r="Z8" i="1"/>
  <c r="Y9" i="1" s="1"/>
  <c r="W10" i="1" s="1"/>
  <c r="S10" i="9"/>
  <c r="X11" i="9" s="1"/>
  <c r="U10" i="9"/>
  <c r="Z8" i="9"/>
  <c r="Y9" i="9" s="1"/>
  <c r="W10" i="9" s="1"/>
  <c r="P9" i="9"/>
  <c r="S10" i="7"/>
  <c r="X11" i="7" s="1"/>
  <c r="U10" i="7"/>
  <c r="P9" i="11"/>
  <c r="L10" i="11" s="1"/>
  <c r="O10" i="11" s="1"/>
  <c r="V10" i="11"/>
  <c r="Q11" i="11" s="1"/>
  <c r="V10" i="10"/>
  <c r="Q11" i="10" s="1"/>
  <c r="P9" i="10"/>
  <c r="Z8" i="8"/>
  <c r="Y9" i="8" s="1"/>
  <c r="W10" i="8" s="1"/>
  <c r="L9" i="8"/>
  <c r="S10" i="8"/>
  <c r="X11" i="8" s="1"/>
  <c r="U10" i="8"/>
  <c r="I22" i="12"/>
  <c r="K22" i="12" s="1"/>
  <c r="X11" i="12" l="1"/>
  <c r="V10" i="12"/>
  <c r="P12" i="12"/>
  <c r="L13" i="12" s="1"/>
  <c r="O13" i="12" s="1"/>
  <c r="N9" i="5"/>
  <c r="N8" i="5"/>
  <c r="V10" i="9"/>
  <c r="Q11" i="9" s="1"/>
  <c r="T11" i="9" s="1"/>
  <c r="N9" i="1"/>
  <c r="R10" i="1" s="1"/>
  <c r="L10" i="9"/>
  <c r="O10" i="9" s="1"/>
  <c r="Z9" i="9"/>
  <c r="Y10" i="9" s="1"/>
  <c r="W11" i="9" s="1"/>
  <c r="P9" i="7"/>
  <c r="L10" i="7" s="1"/>
  <c r="O10" i="7" s="1"/>
  <c r="V10" i="7"/>
  <c r="Q11" i="7" s="1"/>
  <c r="Z9" i="11"/>
  <c r="Y10" i="11" s="1"/>
  <c r="W11" i="11" s="1"/>
  <c r="S11" i="11"/>
  <c r="X12" i="11" s="1"/>
  <c r="U11" i="11"/>
  <c r="T11" i="11"/>
  <c r="N10" i="11"/>
  <c r="R11" i="11" s="1"/>
  <c r="L10" i="10"/>
  <c r="O10" i="10" s="1"/>
  <c r="Z9" i="10"/>
  <c r="Y10" i="10" s="1"/>
  <c r="W11" i="10" s="1"/>
  <c r="U11" i="10"/>
  <c r="S11" i="10"/>
  <c r="X12" i="10" s="1"/>
  <c r="T11" i="10"/>
  <c r="N9" i="8"/>
  <c r="R10" i="8" s="1"/>
  <c r="I23" i="12"/>
  <c r="K23" i="12" s="1"/>
  <c r="I24" i="12" s="1"/>
  <c r="Z10" i="12" l="1"/>
  <c r="N6" i="5" s="1"/>
  <c r="Q11" i="12"/>
  <c r="T11" i="12" s="1"/>
  <c r="N7" i="5"/>
  <c r="N10" i="5"/>
  <c r="Y11" i="12"/>
  <c r="W12" i="12" s="1"/>
  <c r="N12" i="5"/>
  <c r="N13" i="12"/>
  <c r="R14" i="12" s="1"/>
  <c r="S11" i="9"/>
  <c r="X12" i="9" s="1"/>
  <c r="U11" i="9"/>
  <c r="P9" i="1"/>
  <c r="L10" i="1" s="1"/>
  <c r="V10" i="1"/>
  <c r="Q11" i="1" s="1"/>
  <c r="N10" i="9"/>
  <c r="R11" i="9" s="1"/>
  <c r="Z9" i="7"/>
  <c r="Y10" i="7" s="1"/>
  <c r="W11" i="7" s="1"/>
  <c r="U11" i="7"/>
  <c r="T11" i="7"/>
  <c r="S11" i="7"/>
  <c r="X12" i="7" s="1"/>
  <c r="N10" i="7"/>
  <c r="R11" i="7" s="1"/>
  <c r="V11" i="11"/>
  <c r="Q12" i="11" s="1"/>
  <c r="P10" i="11"/>
  <c r="N10" i="10"/>
  <c r="R11" i="10" s="1"/>
  <c r="P9" i="8"/>
  <c r="Z9" i="8" s="1"/>
  <c r="Y10" i="8" s="1"/>
  <c r="W11" i="8" s="1"/>
  <c r="V10" i="8"/>
  <c r="Q11" i="8" s="1"/>
  <c r="T11" i="8" s="1"/>
  <c r="K24" i="12"/>
  <c r="U11" i="12" l="1"/>
  <c r="S11" i="12"/>
  <c r="X12" i="12" s="1"/>
  <c r="P13" i="12"/>
  <c r="L14" i="12" s="1"/>
  <c r="O14" i="12" s="1"/>
  <c r="Z9" i="1"/>
  <c r="Y10" i="1" s="1"/>
  <c r="W11" i="1" s="1"/>
  <c r="S11" i="1"/>
  <c r="X12" i="1" s="1"/>
  <c r="T11" i="1"/>
  <c r="U11" i="1"/>
  <c r="O10" i="1"/>
  <c r="N10" i="1"/>
  <c r="R11" i="1" s="1"/>
  <c r="V11" i="9"/>
  <c r="Q12" i="9" s="1"/>
  <c r="P10" i="9"/>
  <c r="Z10" i="9" s="1"/>
  <c r="P10" i="7"/>
  <c r="Z10" i="7" s="1"/>
  <c r="V11" i="7"/>
  <c r="Q12" i="7" s="1"/>
  <c r="Z10" i="11"/>
  <c r="L11" i="11"/>
  <c r="S12" i="11"/>
  <c r="X13" i="11" s="1"/>
  <c r="U12" i="11"/>
  <c r="T12" i="11"/>
  <c r="V11" i="10"/>
  <c r="Q12" i="10" s="1"/>
  <c r="P10" i="10"/>
  <c r="L10" i="8"/>
  <c r="O10" i="8" s="1"/>
  <c r="U11" i="8"/>
  <c r="S11" i="8"/>
  <c r="X12" i="8" s="1"/>
  <c r="V11" i="12" l="1"/>
  <c r="Q12" i="12" s="1"/>
  <c r="T12" i="12" s="1"/>
  <c r="N14" i="12"/>
  <c r="R15" i="12" s="1"/>
  <c r="W9" i="5"/>
  <c r="W10" i="5"/>
  <c r="O9" i="5"/>
  <c r="O10" i="5"/>
  <c r="Q9" i="5"/>
  <c r="Q10" i="5"/>
  <c r="W7" i="5"/>
  <c r="W8" i="5"/>
  <c r="Q7" i="5"/>
  <c r="Q8" i="5"/>
  <c r="O7" i="5"/>
  <c r="O8" i="5"/>
  <c r="N13" i="5"/>
  <c r="W12" i="5"/>
  <c r="W6" i="5"/>
  <c r="O12" i="5"/>
  <c r="O6" i="5"/>
  <c r="Q12" i="5"/>
  <c r="Q6" i="5"/>
  <c r="P10" i="1"/>
  <c r="V11" i="1"/>
  <c r="Q12" i="1" s="1"/>
  <c r="L11" i="9"/>
  <c r="O11" i="9" s="1"/>
  <c r="N10" i="8"/>
  <c r="R11" i="8" s="1"/>
  <c r="U12" i="9"/>
  <c r="T12" i="9"/>
  <c r="S12" i="9"/>
  <c r="X13" i="9" s="1"/>
  <c r="Y11" i="9"/>
  <c r="W12" i="9" s="1"/>
  <c r="L11" i="7"/>
  <c r="O11" i="7" s="1"/>
  <c r="T12" i="7"/>
  <c r="U12" i="7"/>
  <c r="S12" i="7"/>
  <c r="X13" i="7" s="1"/>
  <c r="Y11" i="7"/>
  <c r="W12" i="7" s="1"/>
  <c r="Y11" i="11"/>
  <c r="W12" i="11" s="1"/>
  <c r="O11" i="11"/>
  <c r="N11" i="11"/>
  <c r="R12" i="11" s="1"/>
  <c r="Z10" i="10"/>
  <c r="L11" i="10"/>
  <c r="U12" i="10"/>
  <c r="S12" i="10"/>
  <c r="X13" i="10" s="1"/>
  <c r="T12" i="10"/>
  <c r="U12" i="12" l="1"/>
  <c r="S12" i="12"/>
  <c r="X13" i="12" s="1"/>
  <c r="Z11" i="12"/>
  <c r="Y12" i="12" s="1"/>
  <c r="W13" i="12" s="1"/>
  <c r="P14" i="12"/>
  <c r="L15" i="12" s="1"/>
  <c r="O15" i="12" s="1"/>
  <c r="V9" i="5"/>
  <c r="V10" i="5"/>
  <c r="P9" i="5"/>
  <c r="P10" i="5"/>
  <c r="V8" i="5"/>
  <c r="P7" i="5"/>
  <c r="P8" i="5"/>
  <c r="P12" i="5"/>
  <c r="P6" i="5"/>
  <c r="N11" i="9"/>
  <c r="R12" i="9" s="1"/>
  <c r="S12" i="1"/>
  <c r="X13" i="1" s="1"/>
  <c r="T12" i="1"/>
  <c r="U12" i="1"/>
  <c r="Z10" i="1"/>
  <c r="L11" i="1"/>
  <c r="V11" i="8"/>
  <c r="Q12" i="8" s="1"/>
  <c r="T12" i="8" s="1"/>
  <c r="P10" i="8"/>
  <c r="Z10" i="8" s="1"/>
  <c r="N11" i="7"/>
  <c r="R12" i="7" s="1"/>
  <c r="Y11" i="10"/>
  <c r="W12" i="10" s="1"/>
  <c r="V12" i="11"/>
  <c r="Q13" i="11" s="1"/>
  <c r="P11" i="11"/>
  <c r="O11" i="10"/>
  <c r="N11" i="10"/>
  <c r="R12" i="10" s="1"/>
  <c r="V12" i="12" l="1"/>
  <c r="N15" i="12"/>
  <c r="R16" i="12" s="1"/>
  <c r="T9" i="5"/>
  <c r="T10" i="5"/>
  <c r="U9" i="5"/>
  <c r="U10" i="5"/>
  <c r="T7" i="5"/>
  <c r="T8" i="5"/>
  <c r="U7" i="5"/>
  <c r="U8" i="5"/>
  <c r="P11" i="9"/>
  <c r="L12" i="9" s="1"/>
  <c r="N12" i="9" s="1"/>
  <c r="U12" i="5"/>
  <c r="U6" i="5"/>
  <c r="T12" i="5"/>
  <c r="T6" i="5"/>
  <c r="V12" i="9"/>
  <c r="Q13" i="9" s="1"/>
  <c r="T13" i="9" s="1"/>
  <c r="L11" i="8"/>
  <c r="O11" i="8" s="1"/>
  <c r="S12" i="8"/>
  <c r="X13" i="8" s="1"/>
  <c r="U12" i="8"/>
  <c r="O11" i="1"/>
  <c r="N11" i="1"/>
  <c r="R12" i="1" s="1"/>
  <c r="Y11" i="1"/>
  <c r="W12" i="1" s="1"/>
  <c r="V12" i="7"/>
  <c r="Q13" i="7" s="1"/>
  <c r="U13" i="7" s="1"/>
  <c r="P11" i="7"/>
  <c r="Z11" i="7" s="1"/>
  <c r="P11" i="10"/>
  <c r="S13" i="11"/>
  <c r="X14" i="11" s="1"/>
  <c r="U13" i="11"/>
  <c r="T13" i="11"/>
  <c r="Z11" i="11"/>
  <c r="Q13" i="5" s="1"/>
  <c r="L12" i="11"/>
  <c r="V12" i="10"/>
  <c r="Q13" i="10" s="1"/>
  <c r="Y11" i="8"/>
  <c r="W12" i="8" s="1"/>
  <c r="Q13" i="12" l="1"/>
  <c r="Z12" i="12"/>
  <c r="Y13" i="12" s="1"/>
  <c r="W14" i="12" s="1"/>
  <c r="P15" i="12"/>
  <c r="L16" i="12" s="1"/>
  <c r="O16" i="12" s="1"/>
  <c r="Y12" i="7"/>
  <c r="W13" i="7" s="1"/>
  <c r="W13" i="5"/>
  <c r="Z11" i="9"/>
  <c r="O12" i="9"/>
  <c r="P12" i="9" s="1"/>
  <c r="U13" i="9"/>
  <c r="S13" i="9"/>
  <c r="X14" i="9" s="1"/>
  <c r="N11" i="8"/>
  <c r="R12" i="8" s="1"/>
  <c r="P11" i="1"/>
  <c r="Z11" i="1" s="1"/>
  <c r="V12" i="1"/>
  <c r="Q13" i="1" s="1"/>
  <c r="L12" i="7"/>
  <c r="O12" i="7" s="1"/>
  <c r="T13" i="7"/>
  <c r="S13" i="7"/>
  <c r="X14" i="7" s="1"/>
  <c r="R13" i="9"/>
  <c r="Y12" i="11"/>
  <c r="W13" i="11" s="1"/>
  <c r="O12" i="11"/>
  <c r="N12" i="11"/>
  <c r="R13" i="11" s="1"/>
  <c r="Z11" i="10"/>
  <c r="P13" i="5" s="1"/>
  <c r="L12" i="10"/>
  <c r="S13" i="10"/>
  <c r="X14" i="10" s="1"/>
  <c r="U13" i="10"/>
  <c r="T13" i="10"/>
  <c r="N16" i="12" l="1"/>
  <c r="R17" i="12" s="1"/>
  <c r="T13" i="12"/>
  <c r="U13" i="12"/>
  <c r="S13" i="12"/>
  <c r="X14" i="12" s="1"/>
  <c r="Y12" i="1"/>
  <c r="W13" i="1" s="1"/>
  <c r="U13" i="5"/>
  <c r="Y12" i="9"/>
  <c r="W13" i="9" s="1"/>
  <c r="O13" i="5"/>
  <c r="V12" i="8"/>
  <c r="Q13" i="8" s="1"/>
  <c r="T13" i="8" s="1"/>
  <c r="P11" i="8"/>
  <c r="L12" i="8" s="1"/>
  <c r="O12" i="8" s="1"/>
  <c r="L12" i="1"/>
  <c r="N12" i="1" s="1"/>
  <c r="T13" i="1"/>
  <c r="S13" i="1"/>
  <c r="X14" i="1" s="1"/>
  <c r="U13" i="1"/>
  <c r="N12" i="7"/>
  <c r="R13" i="7" s="1"/>
  <c r="Z12" i="9"/>
  <c r="L13" i="9"/>
  <c r="V13" i="9"/>
  <c r="Q14" i="9" s="1"/>
  <c r="Y12" i="10"/>
  <c r="W13" i="10" s="1"/>
  <c r="V13" i="11"/>
  <c r="Q14" i="11" s="1"/>
  <c r="P12" i="11"/>
  <c r="O12" i="10"/>
  <c r="N12" i="10"/>
  <c r="R13" i="10" s="1"/>
  <c r="P16" i="12" l="1"/>
  <c r="L17" i="12" s="1"/>
  <c r="O17" i="12" s="1"/>
  <c r="V13" i="12"/>
  <c r="Q14" i="12" s="1"/>
  <c r="Z11" i="8"/>
  <c r="S13" i="8"/>
  <c r="X14" i="8" s="1"/>
  <c r="U13" i="8"/>
  <c r="P12" i="7"/>
  <c r="L13" i="7" s="1"/>
  <c r="O13" i="7" s="1"/>
  <c r="V13" i="7"/>
  <c r="Q14" i="7" s="1"/>
  <c r="T14" i="7" s="1"/>
  <c r="O12" i="1"/>
  <c r="R13" i="1"/>
  <c r="U14" i="9"/>
  <c r="S14" i="9"/>
  <c r="X15" i="9" s="1"/>
  <c r="T14" i="9"/>
  <c r="N13" i="9"/>
  <c r="R14" i="9" s="1"/>
  <c r="O13" i="9"/>
  <c r="Y13" i="9"/>
  <c r="W14" i="9" s="1"/>
  <c r="Z12" i="11"/>
  <c r="L13" i="11"/>
  <c r="U14" i="11"/>
  <c r="T14" i="11"/>
  <c r="S14" i="11"/>
  <c r="X15" i="11" s="1"/>
  <c r="V13" i="10"/>
  <c r="Q14" i="10" s="1"/>
  <c r="P12" i="10"/>
  <c r="N12" i="8"/>
  <c r="R13" i="8" s="1"/>
  <c r="N17" i="12" l="1"/>
  <c r="R18" i="12" s="1"/>
  <c r="Z13" i="12"/>
  <c r="Y14" i="12" s="1"/>
  <c r="W15" i="12" s="1"/>
  <c r="N15" i="5"/>
  <c r="T14" i="12"/>
  <c r="S14" i="12"/>
  <c r="X15" i="12" s="1"/>
  <c r="U14" i="12"/>
  <c r="Y12" i="8"/>
  <c r="W13" i="8" s="1"/>
  <c r="T13" i="5"/>
  <c r="N13" i="7"/>
  <c r="R14" i="7" s="1"/>
  <c r="Z12" i="7"/>
  <c r="Y13" i="7" s="1"/>
  <c r="W14" i="7" s="1"/>
  <c r="S14" i="7"/>
  <c r="X15" i="7" s="1"/>
  <c r="U14" i="7"/>
  <c r="P13" i="9"/>
  <c r="Z13" i="9" s="1"/>
  <c r="O15" i="5" s="1"/>
  <c r="P12" i="1"/>
  <c r="Z12" i="1" s="1"/>
  <c r="Y13" i="1" s="1"/>
  <c r="W14" i="1" s="1"/>
  <c r="V13" i="1"/>
  <c r="Q14" i="1" s="1"/>
  <c r="V14" i="9"/>
  <c r="Q15" i="9" s="1"/>
  <c r="Y13" i="11"/>
  <c r="W14" i="11" s="1"/>
  <c r="O13" i="11"/>
  <c r="N13" i="11"/>
  <c r="R14" i="11" s="1"/>
  <c r="S14" i="10"/>
  <c r="X15" i="10" s="1"/>
  <c r="U14" i="10"/>
  <c r="T14" i="10"/>
  <c r="Z12" i="10"/>
  <c r="L13" i="10"/>
  <c r="V13" i="8"/>
  <c r="Q14" i="8" s="1"/>
  <c r="T14" i="8" s="1"/>
  <c r="P12" i="8"/>
  <c r="P17" i="12" l="1"/>
  <c r="L18" i="12" s="1"/>
  <c r="O18" i="12" s="1"/>
  <c r="V14" i="12"/>
  <c r="Z14" i="12" s="1"/>
  <c r="Y15" i="12" s="1"/>
  <c r="W16" i="12" s="1"/>
  <c r="P13" i="7"/>
  <c r="Z13" i="7" s="1"/>
  <c r="W15" i="5" s="1"/>
  <c r="L14" i="9"/>
  <c r="N14" i="9" s="1"/>
  <c r="L13" i="1"/>
  <c r="N13" i="1" s="1"/>
  <c r="R14" i="1" s="1"/>
  <c r="V14" i="7"/>
  <c r="Q15" i="7" s="1"/>
  <c r="S15" i="7" s="1"/>
  <c r="X16" i="7" s="1"/>
  <c r="T14" i="1"/>
  <c r="S14" i="1"/>
  <c r="X15" i="1" s="1"/>
  <c r="U14" i="1"/>
  <c r="S15" i="9"/>
  <c r="X16" i="9" s="1"/>
  <c r="U15" i="9"/>
  <c r="T15" i="9"/>
  <c r="Y14" i="9"/>
  <c r="W15" i="9" s="1"/>
  <c r="Y13" i="10"/>
  <c r="W14" i="10" s="1"/>
  <c r="V14" i="11"/>
  <c r="Q15" i="11" s="1"/>
  <c r="P13" i="11"/>
  <c r="O13" i="10"/>
  <c r="N13" i="10"/>
  <c r="R14" i="10" s="1"/>
  <c r="L13" i="8"/>
  <c r="O13" i="8" s="1"/>
  <c r="Z12" i="8"/>
  <c r="U14" i="8"/>
  <c r="S14" i="8"/>
  <c r="X15" i="8" s="1"/>
  <c r="N18" i="12" l="1"/>
  <c r="R19" i="12" s="1"/>
  <c r="Q15" i="12"/>
  <c r="T15" i="12" s="1"/>
  <c r="Y14" i="7"/>
  <c r="W15" i="7" s="1"/>
  <c r="L14" i="7"/>
  <c r="N14" i="7" s="1"/>
  <c r="R15" i="7" s="1"/>
  <c r="T15" i="7"/>
  <c r="O14" i="9"/>
  <c r="O13" i="1"/>
  <c r="U15" i="7"/>
  <c r="V14" i="1"/>
  <c r="Q15" i="1" s="1"/>
  <c r="O14" i="7"/>
  <c r="R15" i="9"/>
  <c r="Y13" i="8"/>
  <c r="W14" i="8" s="1"/>
  <c r="Z13" i="11"/>
  <c r="Q15" i="5" s="1"/>
  <c r="L14" i="11"/>
  <c r="S15" i="11"/>
  <c r="X16" i="11" s="1"/>
  <c r="U15" i="11"/>
  <c r="T15" i="11"/>
  <c r="V14" i="10"/>
  <c r="Q15" i="10" s="1"/>
  <c r="P13" i="10"/>
  <c r="P18" i="12"/>
  <c r="L19" i="12" s="1"/>
  <c r="O19" i="12" s="1"/>
  <c r="N13" i="8"/>
  <c r="R14" i="8" s="1"/>
  <c r="S15" i="12" l="1"/>
  <c r="X16" i="12" s="1"/>
  <c r="U15" i="12"/>
  <c r="V15" i="7"/>
  <c r="Q16" i="7" s="1"/>
  <c r="T16" i="7" s="1"/>
  <c r="P14" i="9"/>
  <c r="L15" i="9" s="1"/>
  <c r="P13" i="1"/>
  <c r="Z13" i="1" s="1"/>
  <c r="P14" i="7"/>
  <c r="Z14" i="7" s="1"/>
  <c r="U15" i="1"/>
  <c r="T15" i="1"/>
  <c r="S15" i="1"/>
  <c r="X16" i="1" s="1"/>
  <c r="V15" i="9"/>
  <c r="Q16" i="9" s="1"/>
  <c r="Y14" i="11"/>
  <c r="W15" i="11" s="1"/>
  <c r="O14" i="11"/>
  <c r="N14" i="11"/>
  <c r="R15" i="11" s="1"/>
  <c r="U15" i="10"/>
  <c r="T15" i="10"/>
  <c r="S15" i="10"/>
  <c r="X16" i="10" s="1"/>
  <c r="Z13" i="10"/>
  <c r="P15" i="5" s="1"/>
  <c r="L14" i="10"/>
  <c r="N19" i="12"/>
  <c r="R20" i="12" s="1"/>
  <c r="V14" i="8"/>
  <c r="Q15" i="8" s="1"/>
  <c r="T15" i="8" s="1"/>
  <c r="P13" i="8"/>
  <c r="V15" i="12" l="1"/>
  <c r="Z15" i="12" s="1"/>
  <c r="N17" i="5"/>
  <c r="Y16" i="12"/>
  <c r="W17" i="12" s="1"/>
  <c r="Z14" i="9"/>
  <c r="Y15" i="9" s="1"/>
  <c r="W16" i="9" s="1"/>
  <c r="S16" i="7"/>
  <c r="X17" i="7" s="1"/>
  <c r="Y14" i="1"/>
  <c r="W15" i="1" s="1"/>
  <c r="U15" i="5"/>
  <c r="L15" i="7"/>
  <c r="N15" i="7" s="1"/>
  <c r="R16" i="7" s="1"/>
  <c r="U16" i="7"/>
  <c r="L14" i="1"/>
  <c r="O14" i="1" s="1"/>
  <c r="T16" i="9"/>
  <c r="U16" i="9"/>
  <c r="S16" i="9"/>
  <c r="X17" i="9" s="1"/>
  <c r="O15" i="9"/>
  <c r="N15" i="9"/>
  <c r="Y15" i="7"/>
  <c r="W16" i="7" s="1"/>
  <c r="Y14" i="10"/>
  <c r="W15" i="10" s="1"/>
  <c r="V15" i="11"/>
  <c r="Q16" i="11" s="1"/>
  <c r="P14" i="11"/>
  <c r="O14" i="10"/>
  <c r="N14" i="10"/>
  <c r="R15" i="10" s="1"/>
  <c r="P19" i="12"/>
  <c r="L20" i="12" s="1"/>
  <c r="O20" i="12" s="1"/>
  <c r="Z13" i="8"/>
  <c r="T15" i="5" s="1"/>
  <c r="L14" i="8"/>
  <c r="O14" i="8" s="1"/>
  <c r="U15" i="8"/>
  <c r="S15" i="8"/>
  <c r="X16" i="8" s="1"/>
  <c r="Q16" i="12" l="1"/>
  <c r="T16" i="12" s="1"/>
  <c r="O15" i="7"/>
  <c r="N14" i="1"/>
  <c r="R15" i="1" s="1"/>
  <c r="R16" i="9"/>
  <c r="P15" i="9"/>
  <c r="V16" i="7"/>
  <c r="Q17" i="7" s="1"/>
  <c r="Y14" i="8"/>
  <c r="W15" i="8" s="1"/>
  <c r="Z14" i="11"/>
  <c r="L15" i="11"/>
  <c r="U16" i="11"/>
  <c r="T16" i="11"/>
  <c r="S16" i="11"/>
  <c r="X17" i="11" s="1"/>
  <c r="V15" i="10"/>
  <c r="Q16" i="10" s="1"/>
  <c r="P14" i="10"/>
  <c r="N20" i="12"/>
  <c r="R21" i="12" s="1"/>
  <c r="N14" i="8"/>
  <c r="R15" i="8" s="1"/>
  <c r="S16" i="12" l="1"/>
  <c r="X17" i="12" s="1"/>
  <c r="U16" i="12"/>
  <c r="N18" i="5"/>
  <c r="P15" i="7"/>
  <c r="L16" i="7" s="1"/>
  <c r="N16" i="7" s="1"/>
  <c r="P14" i="1"/>
  <c r="Z14" i="1" s="1"/>
  <c r="Y15" i="1" s="1"/>
  <c r="W16" i="1" s="1"/>
  <c r="V15" i="1"/>
  <c r="Q16" i="1" s="1"/>
  <c r="T16" i="1" s="1"/>
  <c r="Z15" i="9"/>
  <c r="O17" i="5" s="1"/>
  <c r="L16" i="9"/>
  <c r="V16" i="9"/>
  <c r="Q17" i="9" s="1"/>
  <c r="Y15" i="11"/>
  <c r="W16" i="11" s="1"/>
  <c r="S17" i="7"/>
  <c r="X18" i="7" s="1"/>
  <c r="U17" i="7"/>
  <c r="T17" i="7"/>
  <c r="O15" i="11"/>
  <c r="N15" i="11"/>
  <c r="R16" i="11" s="1"/>
  <c r="U16" i="10"/>
  <c r="T16" i="10"/>
  <c r="S16" i="10"/>
  <c r="X17" i="10" s="1"/>
  <c r="Z14" i="10"/>
  <c r="L15" i="10"/>
  <c r="P20" i="12"/>
  <c r="L21" i="12" s="1"/>
  <c r="O21" i="12" s="1"/>
  <c r="V15" i="8"/>
  <c r="Q16" i="8" s="1"/>
  <c r="T16" i="8" s="1"/>
  <c r="P14" i="8"/>
  <c r="V16" i="12" l="1"/>
  <c r="Z16" i="12" s="1"/>
  <c r="Y17" i="12" s="1"/>
  <c r="W18" i="12" s="1"/>
  <c r="O16" i="7"/>
  <c r="Z15" i="7"/>
  <c r="W17" i="5" s="1"/>
  <c r="L15" i="1"/>
  <c r="N15" i="1" s="1"/>
  <c r="S16" i="1"/>
  <c r="X17" i="1" s="1"/>
  <c r="U16" i="1"/>
  <c r="Y16" i="9"/>
  <c r="W17" i="9" s="1"/>
  <c r="S17" i="9"/>
  <c r="X18" i="9" s="1"/>
  <c r="U17" i="9"/>
  <c r="T17" i="9"/>
  <c r="O16" i="9"/>
  <c r="N16" i="9"/>
  <c r="Y15" i="10"/>
  <c r="W16" i="10" s="1"/>
  <c r="R17" i="7"/>
  <c r="V16" i="11"/>
  <c r="Q17" i="11" s="1"/>
  <c r="P15" i="11"/>
  <c r="O15" i="10"/>
  <c r="N15" i="10"/>
  <c r="R16" i="10" s="1"/>
  <c r="N21" i="12"/>
  <c r="R22" i="12" s="1"/>
  <c r="Z14" i="8"/>
  <c r="L15" i="8"/>
  <c r="O15" i="8" s="1"/>
  <c r="U16" i="8"/>
  <c r="S16" i="8"/>
  <c r="X17" i="8" s="1"/>
  <c r="Q17" i="12" l="1"/>
  <c r="S17" i="12" s="1"/>
  <c r="T17" i="12"/>
  <c r="U17" i="12"/>
  <c r="N19" i="5"/>
  <c r="P16" i="7"/>
  <c r="Z16" i="7" s="1"/>
  <c r="Y16" i="7"/>
  <c r="W17" i="7" s="1"/>
  <c r="O15" i="1"/>
  <c r="R16" i="1"/>
  <c r="R17" i="9"/>
  <c r="P16" i="9"/>
  <c r="Y15" i="8"/>
  <c r="W16" i="8" s="1"/>
  <c r="V17" i="7"/>
  <c r="Q18" i="7" s="1"/>
  <c r="Z15" i="11"/>
  <c r="Q17" i="5" s="1"/>
  <c r="L16" i="11"/>
  <c r="U17" i="11"/>
  <c r="T17" i="11"/>
  <c r="S17" i="11"/>
  <c r="X18" i="11" s="1"/>
  <c r="V16" i="10"/>
  <c r="Q17" i="10" s="1"/>
  <c r="P15" i="10"/>
  <c r="P21" i="12"/>
  <c r="L22" i="12" s="1"/>
  <c r="O22" i="12" s="1"/>
  <c r="N15" i="8"/>
  <c r="R16" i="8" s="1"/>
  <c r="X18" i="12" l="1"/>
  <c r="Y18" i="12" s="1"/>
  <c r="V17" i="12"/>
  <c r="L17" i="7"/>
  <c r="N17" i="7" s="1"/>
  <c r="P15" i="1"/>
  <c r="Z15" i="1" s="1"/>
  <c r="U17" i="5" s="1"/>
  <c r="V16" i="1"/>
  <c r="Q17" i="1" s="1"/>
  <c r="Z16" i="9"/>
  <c r="L17" i="9"/>
  <c r="V17" i="9"/>
  <c r="Q18" i="9" s="1"/>
  <c r="Y17" i="7"/>
  <c r="W18" i="7" s="1"/>
  <c r="T18" i="7"/>
  <c r="U18" i="7"/>
  <c r="S18" i="7"/>
  <c r="X19" i="7" s="1"/>
  <c r="O17" i="7"/>
  <c r="Y16" i="11"/>
  <c r="W17" i="11" s="1"/>
  <c r="O16" i="11"/>
  <c r="N16" i="11"/>
  <c r="R17" i="11" s="1"/>
  <c r="Z15" i="10"/>
  <c r="P17" i="5" s="1"/>
  <c r="L16" i="10"/>
  <c r="U17" i="10"/>
  <c r="T17" i="10"/>
  <c r="S17" i="10"/>
  <c r="X18" i="10" s="1"/>
  <c r="N22" i="12"/>
  <c r="R23" i="12" s="1"/>
  <c r="P15" i="8"/>
  <c r="Z15" i="8" s="1"/>
  <c r="T17" i="5" s="1"/>
  <c r="V16" i="8"/>
  <c r="Q17" i="8" s="1"/>
  <c r="T17" i="8" s="1"/>
  <c r="Q18" i="12" l="1"/>
  <c r="Z17" i="12"/>
  <c r="W19" i="12" s="1"/>
  <c r="Y17" i="9"/>
  <c r="W18" i="9" s="1"/>
  <c r="O18" i="5"/>
  <c r="L16" i="1"/>
  <c r="N16" i="1" s="1"/>
  <c r="R17" i="1" s="1"/>
  <c r="Y16" i="1"/>
  <c r="W17" i="1" s="1"/>
  <c r="U17" i="1"/>
  <c r="S17" i="1"/>
  <c r="X18" i="1" s="1"/>
  <c r="T17" i="1"/>
  <c r="U18" i="9"/>
  <c r="S18" i="9"/>
  <c r="X19" i="9" s="1"/>
  <c r="T18" i="9"/>
  <c r="O17" i="9"/>
  <c r="N17" i="9"/>
  <c r="R18" i="7"/>
  <c r="P17" i="7"/>
  <c r="Y16" i="8"/>
  <c r="W17" i="8" s="1"/>
  <c r="Y16" i="10"/>
  <c r="W17" i="10" s="1"/>
  <c r="V17" i="11"/>
  <c r="Q18" i="11" s="1"/>
  <c r="P16" i="11"/>
  <c r="N16" i="10"/>
  <c r="R17" i="10" s="1"/>
  <c r="O16" i="10"/>
  <c r="P22" i="12"/>
  <c r="L23" i="12" s="1"/>
  <c r="O23" i="12" s="1"/>
  <c r="L16" i="8"/>
  <c r="O16" i="8" s="1"/>
  <c r="S17" i="8"/>
  <c r="X18" i="8" s="1"/>
  <c r="U17" i="8"/>
  <c r="T18" i="12" l="1"/>
  <c r="U18" i="12"/>
  <c r="S18" i="12"/>
  <c r="X19" i="12" s="1"/>
  <c r="O16" i="1"/>
  <c r="V17" i="1"/>
  <c r="Q18" i="1" s="1"/>
  <c r="R18" i="9"/>
  <c r="P17" i="9"/>
  <c r="L18" i="7"/>
  <c r="Z17" i="7"/>
  <c r="W19" i="5" s="1"/>
  <c r="V18" i="7"/>
  <c r="Q19" i="7" s="1"/>
  <c r="S18" i="11"/>
  <c r="X19" i="11" s="1"/>
  <c r="U18" i="11"/>
  <c r="T18" i="11"/>
  <c r="Z16" i="11"/>
  <c r="Q18" i="5" s="1"/>
  <c r="L17" i="11"/>
  <c r="P16" i="10"/>
  <c r="V17" i="10"/>
  <c r="Q18" i="10" s="1"/>
  <c r="N16" i="8"/>
  <c r="R17" i="8" s="1"/>
  <c r="N23" i="12"/>
  <c r="R24" i="12" s="1"/>
  <c r="V18" i="12" l="1"/>
  <c r="P16" i="1"/>
  <c r="Z16" i="1" s="1"/>
  <c r="Y17" i="1" s="1"/>
  <c r="W18" i="1" s="1"/>
  <c r="S18" i="1"/>
  <c r="X19" i="1" s="1"/>
  <c r="U18" i="1"/>
  <c r="T18" i="1"/>
  <c r="Z17" i="9"/>
  <c r="O19" i="5" s="1"/>
  <c r="L18" i="9"/>
  <c r="V18" i="9"/>
  <c r="Q19" i="9" s="1"/>
  <c r="Y18" i="7"/>
  <c r="W19" i="7" s="1"/>
  <c r="Y17" i="11"/>
  <c r="W18" i="11" s="1"/>
  <c r="S19" i="7"/>
  <c r="X20" i="7" s="1"/>
  <c r="T19" i="7"/>
  <c r="U19" i="7"/>
  <c r="N18" i="7"/>
  <c r="O18" i="7"/>
  <c r="O17" i="11"/>
  <c r="N17" i="11"/>
  <c r="R18" i="11" s="1"/>
  <c r="U18" i="10"/>
  <c r="T18" i="10"/>
  <c r="S18" i="10"/>
  <c r="X19" i="10" s="1"/>
  <c r="Z16" i="10"/>
  <c r="P18" i="5" s="1"/>
  <c r="L17" i="10"/>
  <c r="P23" i="12"/>
  <c r="L24" i="12" s="1"/>
  <c r="O24" i="12" s="1"/>
  <c r="P16" i="8"/>
  <c r="Z16" i="8" s="1"/>
  <c r="V17" i="8"/>
  <c r="Q18" i="8" s="1"/>
  <c r="T18" i="8" s="1"/>
  <c r="Q19" i="12" l="1"/>
  <c r="Z18" i="12"/>
  <c r="Y19" i="12" s="1"/>
  <c r="W20" i="12" s="1"/>
  <c r="L17" i="1"/>
  <c r="N17" i="1" s="1"/>
  <c r="Y18" i="9"/>
  <c r="W19" i="9" s="1"/>
  <c r="T19" i="9"/>
  <c r="U19" i="9"/>
  <c r="S19" i="9"/>
  <c r="X20" i="9" s="1"/>
  <c r="N18" i="9"/>
  <c r="O18" i="9"/>
  <c r="Y17" i="8"/>
  <c r="W18" i="8" s="1"/>
  <c r="Y17" i="10"/>
  <c r="W18" i="10" s="1"/>
  <c r="R19" i="7"/>
  <c r="P18" i="7"/>
  <c r="V18" i="11"/>
  <c r="Q19" i="11" s="1"/>
  <c r="P17" i="11"/>
  <c r="O17" i="10"/>
  <c r="N17" i="10"/>
  <c r="R18" i="10" s="1"/>
  <c r="S18" i="8"/>
  <c r="X19" i="8" s="1"/>
  <c r="U18" i="8"/>
  <c r="L17" i="8"/>
  <c r="O17" i="8" s="1"/>
  <c r="N24" i="12"/>
  <c r="P24" i="12" s="1"/>
  <c r="U19" i="12" l="1"/>
  <c r="S19" i="12"/>
  <c r="X20" i="12" s="1"/>
  <c r="T19" i="12"/>
  <c r="O17" i="1"/>
  <c r="R18" i="1"/>
  <c r="R19" i="9"/>
  <c r="P18" i="9"/>
  <c r="L19" i="7"/>
  <c r="Z18" i="7"/>
  <c r="V19" i="7"/>
  <c r="Q20" i="7" s="1"/>
  <c r="S19" i="11"/>
  <c r="X20" i="11" s="1"/>
  <c r="U19" i="11"/>
  <c r="T19" i="11"/>
  <c r="Z17" i="11"/>
  <c r="Q19" i="5" s="1"/>
  <c r="L18" i="11"/>
  <c r="V18" i="10"/>
  <c r="Q19" i="10" s="1"/>
  <c r="P17" i="10"/>
  <c r="N17" i="8"/>
  <c r="R18" i="8" s="1"/>
  <c r="V19" i="12" l="1"/>
  <c r="Q20" i="12" s="1"/>
  <c r="N22" i="5"/>
  <c r="P17" i="1"/>
  <c r="Z17" i="1" s="1"/>
  <c r="V18" i="1"/>
  <c r="Q19" i="1" s="1"/>
  <c r="Z18" i="9"/>
  <c r="L19" i="9"/>
  <c r="V19" i="9"/>
  <c r="Q20" i="9" s="1"/>
  <c r="Y19" i="7"/>
  <c r="W20" i="7" s="1"/>
  <c r="S20" i="7"/>
  <c r="X21" i="7" s="1"/>
  <c r="T20" i="7"/>
  <c r="U20" i="7"/>
  <c r="N19" i="7"/>
  <c r="O19" i="7"/>
  <c r="Y18" i="11"/>
  <c r="W19" i="11" s="1"/>
  <c r="O18" i="11"/>
  <c r="N18" i="11"/>
  <c r="R19" i="11" s="1"/>
  <c r="Z17" i="10"/>
  <c r="P19" i="5" s="1"/>
  <c r="L18" i="10"/>
  <c r="U19" i="10"/>
  <c r="T19" i="10"/>
  <c r="S19" i="10"/>
  <c r="X20" i="10" s="1"/>
  <c r="V18" i="8"/>
  <c r="Q19" i="8" s="1"/>
  <c r="T19" i="8" s="1"/>
  <c r="P17" i="8"/>
  <c r="L18" i="8" s="1"/>
  <c r="O18" i="8" s="1"/>
  <c r="Z19" i="12" l="1"/>
  <c r="Y20" i="12" s="1"/>
  <c r="W21" i="12" s="1"/>
  <c r="S20" i="12"/>
  <c r="X21" i="12" s="1"/>
  <c r="T20" i="12"/>
  <c r="U20" i="12"/>
  <c r="L18" i="1"/>
  <c r="N18" i="1" s="1"/>
  <c r="R19" i="1" s="1"/>
  <c r="Y18" i="1"/>
  <c r="W19" i="1" s="1"/>
  <c r="U19" i="5"/>
  <c r="U19" i="1"/>
  <c r="S19" i="1"/>
  <c r="X20" i="1" s="1"/>
  <c r="T19" i="1"/>
  <c r="U20" i="9"/>
  <c r="S20" i="9"/>
  <c r="X21" i="9" s="1"/>
  <c r="T20" i="9"/>
  <c r="O19" i="9"/>
  <c r="N19" i="9"/>
  <c r="Y19" i="9"/>
  <c r="W20" i="9" s="1"/>
  <c r="R20" i="7"/>
  <c r="P19" i="7"/>
  <c r="Y18" i="10"/>
  <c r="W19" i="10" s="1"/>
  <c r="V19" i="11"/>
  <c r="Q20" i="11" s="1"/>
  <c r="P18" i="11"/>
  <c r="O18" i="10"/>
  <c r="N18" i="10"/>
  <c r="R19" i="10" s="1"/>
  <c r="Z17" i="8"/>
  <c r="T19" i="5" s="1"/>
  <c r="S19" i="8"/>
  <c r="X20" i="8" s="1"/>
  <c r="U19" i="8"/>
  <c r="N18" i="8"/>
  <c r="R19" i="8" s="1"/>
  <c r="V20" i="12" l="1"/>
  <c r="Q21" i="12" s="1"/>
  <c r="O18" i="1"/>
  <c r="V19" i="1"/>
  <c r="Q20" i="1" s="1"/>
  <c r="T20" i="1" s="1"/>
  <c r="R20" i="9"/>
  <c r="P19" i="9"/>
  <c r="Z19" i="7"/>
  <c r="L20" i="7"/>
  <c r="V20" i="7"/>
  <c r="Q21" i="7" s="1"/>
  <c r="Y18" i="8"/>
  <c r="W19" i="8" s="1"/>
  <c r="U20" i="11"/>
  <c r="T20" i="11"/>
  <c r="S20" i="11"/>
  <c r="X21" i="11" s="1"/>
  <c r="Z18" i="11"/>
  <c r="L19" i="11"/>
  <c r="V19" i="10"/>
  <c r="Q20" i="10" s="1"/>
  <c r="P18" i="10"/>
  <c r="P18" i="8"/>
  <c r="L19" i="8" s="1"/>
  <c r="O19" i="8" s="1"/>
  <c r="V19" i="8"/>
  <c r="Q20" i="8" s="1"/>
  <c r="T20" i="8" s="1"/>
  <c r="Z20" i="12" l="1"/>
  <c r="Y21" i="12" s="1"/>
  <c r="W22" i="12" s="1"/>
  <c r="U21" i="12"/>
  <c r="S21" i="12"/>
  <c r="X22" i="12" s="1"/>
  <c r="T21" i="12"/>
  <c r="P18" i="1"/>
  <c r="Z18" i="1" s="1"/>
  <c r="Y19" i="1" s="1"/>
  <c r="W20" i="1" s="1"/>
  <c r="S20" i="1"/>
  <c r="X21" i="1" s="1"/>
  <c r="U20" i="1"/>
  <c r="L20" i="9"/>
  <c r="Z19" i="9"/>
  <c r="Y20" i="9" s="1"/>
  <c r="W21" i="9" s="1"/>
  <c r="V20" i="9"/>
  <c r="Q21" i="9" s="1"/>
  <c r="Y20" i="7"/>
  <c r="W21" i="7" s="1"/>
  <c r="T21" i="7"/>
  <c r="U21" i="7"/>
  <c r="S21" i="7"/>
  <c r="X22" i="7" s="1"/>
  <c r="N20" i="7"/>
  <c r="R21" i="7" s="1"/>
  <c r="O20" i="7"/>
  <c r="Y19" i="11"/>
  <c r="W20" i="11" s="1"/>
  <c r="O19" i="11"/>
  <c r="N19" i="11"/>
  <c r="R20" i="11" s="1"/>
  <c r="Z18" i="10"/>
  <c r="L19" i="10"/>
  <c r="U20" i="10"/>
  <c r="T20" i="10"/>
  <c r="S20" i="10"/>
  <c r="X21" i="10" s="1"/>
  <c r="Z18" i="8"/>
  <c r="U20" i="8"/>
  <c r="S20" i="8"/>
  <c r="X21" i="8" s="1"/>
  <c r="N19" i="8"/>
  <c r="R20" i="8" s="1"/>
  <c r="V21" i="12" l="1"/>
  <c r="L19" i="1"/>
  <c r="N19" i="1" s="1"/>
  <c r="R20" i="1" s="1"/>
  <c r="V20" i="1" s="1"/>
  <c r="Q21" i="1" s="1"/>
  <c r="P20" i="7"/>
  <c r="L21" i="7" s="1"/>
  <c r="T21" i="9"/>
  <c r="U21" i="9"/>
  <c r="S21" i="9"/>
  <c r="X22" i="9" s="1"/>
  <c r="O20" i="9"/>
  <c r="N20" i="9"/>
  <c r="V21" i="7"/>
  <c r="Q22" i="7" s="1"/>
  <c r="Y19" i="8"/>
  <c r="W20" i="8" s="1"/>
  <c r="Y19" i="10"/>
  <c r="W20" i="10" s="1"/>
  <c r="V20" i="11"/>
  <c r="Q21" i="11" s="1"/>
  <c r="P19" i="11"/>
  <c r="O19" i="10"/>
  <c r="N19" i="10"/>
  <c r="R20" i="10" s="1"/>
  <c r="P19" i="8"/>
  <c r="V20" i="8"/>
  <c r="Q21" i="8" s="1"/>
  <c r="T21" i="8" s="1"/>
  <c r="Z21" i="12" l="1"/>
  <c r="Y22" i="12" s="1"/>
  <c r="W23" i="12" s="1"/>
  <c r="Q22" i="12"/>
  <c r="O19" i="1"/>
  <c r="P19" i="1" s="1"/>
  <c r="L20" i="1" s="1"/>
  <c r="N20" i="1" s="1"/>
  <c r="R21" i="1" s="1"/>
  <c r="U21" i="1"/>
  <c r="S21" i="1"/>
  <c r="X22" i="1" s="1"/>
  <c r="T21" i="1"/>
  <c r="Z20" i="7"/>
  <c r="R21" i="9"/>
  <c r="P20" i="9"/>
  <c r="S22" i="7"/>
  <c r="X23" i="7" s="1"/>
  <c r="T22" i="7"/>
  <c r="U22" i="7"/>
  <c r="O21" i="7"/>
  <c r="N21" i="7"/>
  <c r="Z19" i="11"/>
  <c r="L20" i="11"/>
  <c r="U21" i="11"/>
  <c r="T21" i="11"/>
  <c r="S21" i="11"/>
  <c r="X22" i="11" s="1"/>
  <c r="V20" i="10"/>
  <c r="Q21" i="10" s="1"/>
  <c r="P19" i="10"/>
  <c r="Z19" i="10" s="1"/>
  <c r="U21" i="8"/>
  <c r="S21" i="8"/>
  <c r="X22" i="8" s="1"/>
  <c r="L20" i="8"/>
  <c r="O20" i="8" s="1"/>
  <c r="Z19" i="8"/>
  <c r="T22" i="12" l="1"/>
  <c r="U22" i="12"/>
  <c r="S22" i="12"/>
  <c r="X23" i="12" s="1"/>
  <c r="Y21" i="7"/>
  <c r="W22" i="7" s="1"/>
  <c r="W22" i="5"/>
  <c r="O20" i="1"/>
  <c r="Z19" i="1"/>
  <c r="Y20" i="1" s="1"/>
  <c r="W21" i="1" s="1"/>
  <c r="V21" i="1"/>
  <c r="Q22" i="1" s="1"/>
  <c r="Z20" i="9"/>
  <c r="O22" i="5" s="1"/>
  <c r="L21" i="9"/>
  <c r="V21" i="9"/>
  <c r="Q22" i="9" s="1"/>
  <c r="Y20" i="8"/>
  <c r="W21" i="8" s="1"/>
  <c r="Y20" i="11"/>
  <c r="W21" i="11" s="1"/>
  <c r="R22" i="7"/>
  <c r="P21" i="7"/>
  <c r="O20" i="11"/>
  <c r="N20" i="11"/>
  <c r="R21" i="11" s="1"/>
  <c r="L20" i="10"/>
  <c r="S21" i="10"/>
  <c r="X22" i="10" s="1"/>
  <c r="U21" i="10"/>
  <c r="T21" i="10"/>
  <c r="N20" i="8"/>
  <c r="R21" i="8" s="1"/>
  <c r="V22" i="12" l="1"/>
  <c r="Q23" i="12" s="1"/>
  <c r="P20" i="1"/>
  <c r="Z20" i="1" s="1"/>
  <c r="S22" i="1"/>
  <c r="X23" i="1" s="1"/>
  <c r="T22" i="1"/>
  <c r="U22" i="1"/>
  <c r="Y21" i="9"/>
  <c r="W22" i="9" s="1"/>
  <c r="U22" i="9"/>
  <c r="S22" i="9"/>
  <c r="X23" i="9" s="1"/>
  <c r="T22" i="9"/>
  <c r="O21" i="9"/>
  <c r="N21" i="9"/>
  <c r="Y20" i="10"/>
  <c r="W21" i="10" s="1"/>
  <c r="V22" i="7"/>
  <c r="Q23" i="7" s="1"/>
  <c r="L22" i="7"/>
  <c r="Z21" i="7"/>
  <c r="V21" i="11"/>
  <c r="Q22" i="11" s="1"/>
  <c r="P20" i="11"/>
  <c r="O20" i="10"/>
  <c r="N20" i="10"/>
  <c r="R21" i="10" s="1"/>
  <c r="V21" i="8"/>
  <c r="Q22" i="8" s="1"/>
  <c r="T22" i="8" s="1"/>
  <c r="P20" i="8"/>
  <c r="Z22" i="12" l="1"/>
  <c r="Y23" i="12" s="1"/>
  <c r="W24" i="12" s="1"/>
  <c r="T23" i="12"/>
  <c r="U23" i="12"/>
  <c r="S23" i="12"/>
  <c r="X24" i="12" s="1"/>
  <c r="L21" i="1"/>
  <c r="O21" i="1" s="1"/>
  <c r="Y21" i="1"/>
  <c r="W22" i="1" s="1"/>
  <c r="U22" i="5"/>
  <c r="R22" i="9"/>
  <c r="P21" i="9"/>
  <c r="Z21" i="9" s="1"/>
  <c r="Y22" i="7"/>
  <c r="W23" i="7" s="1"/>
  <c r="O22" i="7"/>
  <c r="N22" i="7"/>
  <c r="T23" i="7"/>
  <c r="U23" i="7"/>
  <c r="S23" i="7"/>
  <c r="X24" i="7" s="1"/>
  <c r="Z20" i="11"/>
  <c r="Q22" i="5" s="1"/>
  <c r="L21" i="11"/>
  <c r="U22" i="11"/>
  <c r="T22" i="11"/>
  <c r="S22" i="11"/>
  <c r="X23" i="11" s="1"/>
  <c r="V21" i="10"/>
  <c r="Q22" i="10" s="1"/>
  <c r="P20" i="10"/>
  <c r="Z20" i="8"/>
  <c r="T22" i="5" s="1"/>
  <c r="L21" i="8"/>
  <c r="O21" i="8" s="1"/>
  <c r="U22" i="8"/>
  <c r="S22" i="8"/>
  <c r="X23" i="8" s="1"/>
  <c r="V23" i="12" l="1"/>
  <c r="N21" i="1"/>
  <c r="R22" i="1" s="1"/>
  <c r="V22" i="1" s="1"/>
  <c r="Q23" i="1" s="1"/>
  <c r="S23" i="1" s="1"/>
  <c r="X24" i="1" s="1"/>
  <c r="Y22" i="9"/>
  <c r="W23" i="9" s="1"/>
  <c r="Y23" i="9" s="1"/>
  <c r="L22" i="9"/>
  <c r="V22" i="9"/>
  <c r="Q23" i="9" s="1"/>
  <c r="R23" i="7"/>
  <c r="P22" i="7"/>
  <c r="Y21" i="8"/>
  <c r="W22" i="8" s="1"/>
  <c r="Y21" i="11"/>
  <c r="W22" i="11" s="1"/>
  <c r="O21" i="11"/>
  <c r="N21" i="11"/>
  <c r="R22" i="11" s="1"/>
  <c r="Z20" i="10"/>
  <c r="P22" i="5" s="1"/>
  <c r="L21" i="10"/>
  <c r="U22" i="10"/>
  <c r="T22" i="10"/>
  <c r="S22" i="10"/>
  <c r="X23" i="10" s="1"/>
  <c r="N21" i="8"/>
  <c r="R22" i="8" s="1"/>
  <c r="Q24" i="12" l="1"/>
  <c r="Z23" i="12"/>
  <c r="P21" i="1"/>
  <c r="L22" i="1" s="1"/>
  <c r="O22" i="1" s="1"/>
  <c r="T23" i="1"/>
  <c r="U23" i="1"/>
  <c r="S23" i="9"/>
  <c r="X24" i="9" s="1"/>
  <c r="T23" i="9"/>
  <c r="U23" i="9"/>
  <c r="N22" i="9"/>
  <c r="O22" i="9"/>
  <c r="L23" i="7"/>
  <c r="Z22" i="7"/>
  <c r="V23" i="7"/>
  <c r="Q24" i="7" s="1"/>
  <c r="Y21" i="10"/>
  <c r="W22" i="10" s="1"/>
  <c r="V22" i="11"/>
  <c r="Q23" i="11" s="1"/>
  <c r="P21" i="11"/>
  <c r="O21" i="10"/>
  <c r="N21" i="10"/>
  <c r="R22" i="10" s="1"/>
  <c r="P21" i="8"/>
  <c r="Z21" i="8" s="1"/>
  <c r="V22" i="8"/>
  <c r="Q23" i="8" s="1"/>
  <c r="T23" i="8" s="1"/>
  <c r="Y24" i="12" l="1"/>
  <c r="T24" i="12"/>
  <c r="S24" i="12"/>
  <c r="U24" i="12"/>
  <c r="Z21" i="1"/>
  <c r="Y22" i="1" s="1"/>
  <c r="W23" i="1" s="1"/>
  <c r="N22" i="1"/>
  <c r="R23" i="1" s="1"/>
  <c r="V23" i="1" s="1"/>
  <c r="Q24" i="1" s="1"/>
  <c r="T24" i="1" s="1"/>
  <c r="R23" i="9"/>
  <c r="P22" i="9"/>
  <c r="Y22" i="8"/>
  <c r="W23" i="8" s="1"/>
  <c r="Y23" i="7"/>
  <c r="W24" i="7" s="1"/>
  <c r="T24" i="7"/>
  <c r="S24" i="7"/>
  <c r="U24" i="7"/>
  <c r="O23" i="7"/>
  <c r="N23" i="7"/>
  <c r="Z21" i="11"/>
  <c r="L22" i="11"/>
  <c r="U23" i="11"/>
  <c r="T23" i="11"/>
  <c r="S23" i="11"/>
  <c r="X24" i="11" s="1"/>
  <c r="V22" i="10"/>
  <c r="Q23" i="10" s="1"/>
  <c r="P21" i="10"/>
  <c r="L22" i="8"/>
  <c r="O22" i="8" s="1"/>
  <c r="S23" i="8"/>
  <c r="X24" i="8" s="1"/>
  <c r="U23" i="8"/>
  <c r="V24" i="12" l="1"/>
  <c r="P22" i="1"/>
  <c r="Z22" i="1" s="1"/>
  <c r="Y23" i="1" s="1"/>
  <c r="W24" i="1" s="1"/>
  <c r="S24" i="1"/>
  <c r="U24" i="1"/>
  <c r="L23" i="9"/>
  <c r="Z22" i="9"/>
  <c r="V23" i="9"/>
  <c r="Q24" i="9" s="1"/>
  <c r="Y22" i="11"/>
  <c r="W23" i="11" s="1"/>
  <c r="R24" i="7"/>
  <c r="V24" i="7" s="1"/>
  <c r="P23" i="7"/>
  <c r="O22" i="11"/>
  <c r="N22" i="11"/>
  <c r="R23" i="11" s="1"/>
  <c r="S23" i="10"/>
  <c r="X24" i="10" s="1"/>
  <c r="U23" i="10"/>
  <c r="T23" i="10"/>
  <c r="Z21" i="10"/>
  <c r="L22" i="10"/>
  <c r="N22" i="8"/>
  <c r="R23" i="8" s="1"/>
  <c r="Z24" i="12" l="1"/>
  <c r="N26" i="5" s="1"/>
  <c r="L23" i="1"/>
  <c r="O23" i="1" s="1"/>
  <c r="U24" i="9"/>
  <c r="S24" i="9"/>
  <c r="T24" i="9"/>
  <c r="W24" i="9"/>
  <c r="O23" i="9"/>
  <c r="N23" i="9"/>
  <c r="Y22" i="10"/>
  <c r="W23" i="10" s="1"/>
  <c r="L24" i="7"/>
  <c r="Z23" i="7"/>
  <c r="Y24" i="7" s="1"/>
  <c r="V23" i="11"/>
  <c r="Q24" i="11" s="1"/>
  <c r="P22" i="11"/>
  <c r="O22" i="10"/>
  <c r="N22" i="10"/>
  <c r="R23" i="10" s="1"/>
  <c r="P22" i="8"/>
  <c r="L23" i="8" s="1"/>
  <c r="O23" i="8" s="1"/>
  <c r="V23" i="8"/>
  <c r="Q24" i="8" s="1"/>
  <c r="T24" i="8" s="1"/>
  <c r="N23" i="1" l="1"/>
  <c r="R24" i="1" s="1"/>
  <c r="V24" i="1" s="1"/>
  <c r="R24" i="9"/>
  <c r="V24" i="9" s="1"/>
  <c r="P23" i="9"/>
  <c r="N24" i="7"/>
  <c r="O24" i="7"/>
  <c r="Z22" i="11"/>
  <c r="L23" i="11"/>
  <c r="U24" i="11"/>
  <c r="T24" i="11"/>
  <c r="S24" i="11"/>
  <c r="V23" i="10"/>
  <c r="Q24" i="10" s="1"/>
  <c r="P22" i="10"/>
  <c r="Z22" i="10" s="1"/>
  <c r="Z22" i="8"/>
  <c r="S24" i="8"/>
  <c r="U24" i="8"/>
  <c r="N23" i="8"/>
  <c r="R24" i="8" s="1"/>
  <c r="P23" i="1" l="1"/>
  <c r="Z23" i="1" s="1"/>
  <c r="Y24" i="1" s="1"/>
  <c r="Z23" i="9"/>
  <c r="Y24" i="9" s="1"/>
  <c r="L24" i="9"/>
  <c r="Y23" i="8"/>
  <c r="W24" i="8" s="1"/>
  <c r="P24" i="7"/>
  <c r="Z24" i="7" s="1"/>
  <c r="W26" i="5" s="1"/>
  <c r="Y23" i="11"/>
  <c r="W24" i="11" s="1"/>
  <c r="O23" i="11"/>
  <c r="N23" i="11"/>
  <c r="R24" i="11" s="1"/>
  <c r="V24" i="11" s="1"/>
  <c r="L23" i="10"/>
  <c r="U24" i="10"/>
  <c r="T24" i="10"/>
  <c r="S24" i="10"/>
  <c r="V24" i="8"/>
  <c r="P23" i="8"/>
  <c r="L24" i="1" l="1"/>
  <c r="O24" i="1" s="1"/>
  <c r="O24" i="9"/>
  <c r="N24" i="9"/>
  <c r="Y23" i="10"/>
  <c r="W24" i="10" s="1"/>
  <c r="P23" i="11"/>
  <c r="O23" i="10"/>
  <c r="N23" i="10"/>
  <c r="R24" i="10" s="1"/>
  <c r="V24" i="10" s="1"/>
  <c r="L24" i="8"/>
  <c r="O24" i="8" s="1"/>
  <c r="Z23" i="8"/>
  <c r="Y24" i="8" s="1"/>
  <c r="N24" i="1" l="1"/>
  <c r="P24" i="1" s="1"/>
  <c r="Z24" i="1" s="1"/>
  <c r="U26" i="5" s="1"/>
  <c r="P24" i="9"/>
  <c r="Z24" i="9" s="1"/>
  <c r="O26" i="5" s="1"/>
  <c r="Z23" i="11"/>
  <c r="Y24" i="11" s="1"/>
  <c r="L24" i="11"/>
  <c r="P23" i="10"/>
  <c r="N24" i="8"/>
  <c r="P24" i="8" s="1"/>
  <c r="Z24" i="8" s="1"/>
  <c r="T26" i="5" s="1"/>
  <c r="O24" i="11" l="1"/>
  <c r="N24" i="11"/>
  <c r="Z23" i="10"/>
  <c r="Y24" i="10" s="1"/>
  <c r="L24" i="10"/>
  <c r="P24" i="11" l="1"/>
  <c r="Z24" i="11" s="1"/>
  <c r="Q26" i="5" s="1"/>
  <c r="O24" i="10"/>
  <c r="N24" i="10"/>
  <c r="P24" i="10" l="1"/>
  <c r="Z24" i="10" s="1"/>
  <c r="P26" i="5" s="1"/>
  <c r="V22" i="5"/>
  <c r="V19" i="5"/>
  <c r="V17" i="5"/>
  <c r="V15" i="5"/>
  <c r="V13" i="5"/>
  <c r="J6" i="6"/>
  <c r="K6" i="6" s="1"/>
  <c r="I7" i="6" s="1"/>
  <c r="M7" i="6" l="1"/>
  <c r="P7" i="6" s="1"/>
  <c r="Z7" i="6" s="1"/>
  <c r="Y8" i="6" s="1"/>
  <c r="W9" i="6" s="1"/>
  <c r="J7" i="6"/>
  <c r="M8" i="6" s="1"/>
  <c r="L8" i="6" l="1"/>
  <c r="N8" i="6" s="1"/>
  <c r="R9" i="6" s="1"/>
  <c r="V9" i="6" s="1"/>
  <c r="Q10" i="6" s="1"/>
  <c r="T10" i="6" s="1"/>
  <c r="K7" i="6"/>
  <c r="I8" i="6" s="1"/>
  <c r="O8" i="6" l="1"/>
  <c r="P8" i="6" s="1"/>
  <c r="Z8" i="6" s="1"/>
  <c r="Y9" i="6" s="1"/>
  <c r="W10" i="6" s="1"/>
  <c r="U10" i="6"/>
  <c r="S10" i="6"/>
  <c r="X11" i="6" s="1"/>
  <c r="J8" i="6"/>
  <c r="M9" i="6" s="1"/>
  <c r="L9" i="6" l="1"/>
  <c r="N9" i="6" s="1"/>
  <c r="R10" i="6" s="1"/>
  <c r="V10" i="6" s="1"/>
  <c r="Q11" i="6" s="1"/>
  <c r="S11" i="6" s="1"/>
  <c r="X12" i="6" s="1"/>
  <c r="K8" i="6"/>
  <c r="I9" i="6" s="1"/>
  <c r="P9" i="6" l="1"/>
  <c r="Z9" i="6" s="1"/>
  <c r="Y10" i="6" s="1"/>
  <c r="W11" i="6" s="1"/>
  <c r="U11" i="6"/>
  <c r="T11" i="6"/>
  <c r="J9" i="6"/>
  <c r="M10" i="6" s="1"/>
  <c r="K9" i="6"/>
  <c r="I10" i="6" s="1"/>
  <c r="K10" i="6" s="1"/>
  <c r="I11" i="6" s="1"/>
  <c r="K11" i="6" s="1"/>
  <c r="I12" i="6" s="1"/>
  <c r="K12" i="6" s="1"/>
  <c r="I13" i="6" s="1"/>
  <c r="K13" i="6" s="1"/>
  <c r="I14" i="6" s="1"/>
  <c r="K14" i="6" s="1"/>
  <c r="I15" i="6" s="1"/>
  <c r="K15" i="6" s="1"/>
  <c r="I16" i="6" s="1"/>
  <c r="K16" i="6" s="1"/>
  <c r="I17" i="6" s="1"/>
  <c r="K17" i="6" s="1"/>
  <c r="I18" i="6" s="1"/>
  <c r="K18" i="6" s="1"/>
  <c r="I19" i="6" s="1"/>
  <c r="K19" i="6" s="1"/>
  <c r="I20" i="6" s="1"/>
  <c r="K20" i="6" s="1"/>
  <c r="I21" i="6" s="1"/>
  <c r="K21" i="6" s="1"/>
  <c r="I22" i="6" s="1"/>
  <c r="K22" i="6" s="1"/>
  <c r="I23" i="6" s="1"/>
  <c r="K23" i="6" s="1"/>
  <c r="I24" i="6" s="1"/>
  <c r="L10" i="6" l="1"/>
  <c r="K24" i="6"/>
  <c r="O10" i="6" l="1"/>
  <c r="N10" i="6"/>
  <c r="R11" i="6" s="1"/>
  <c r="V11" i="6" s="1"/>
  <c r="Q12" i="6" s="1"/>
  <c r="P10" i="6" l="1"/>
  <c r="T12" i="6"/>
  <c r="S12" i="6"/>
  <c r="X13" i="6" s="1"/>
  <c r="U12" i="6"/>
  <c r="Y11" i="6"/>
  <c r="W12" i="6" s="1"/>
  <c r="V7" i="5"/>
  <c r="Z10" i="6" l="1"/>
  <c r="L11" i="6"/>
  <c r="N11" i="6" l="1"/>
  <c r="R12" i="6" s="1"/>
  <c r="V12" i="6" s="1"/>
  <c r="Q13" i="6" s="1"/>
  <c r="O11" i="6"/>
  <c r="V6" i="5"/>
  <c r="V12" i="5"/>
  <c r="P11" i="6" l="1"/>
  <c r="S13" i="6"/>
  <c r="X14" i="6" s="1"/>
  <c r="T13" i="6"/>
  <c r="U13" i="6"/>
  <c r="L12" i="6" l="1"/>
  <c r="Z11" i="6"/>
  <c r="Y12" i="6" s="1"/>
  <c r="W13" i="6" s="1"/>
  <c r="N12" i="6" l="1"/>
  <c r="O12" i="6"/>
  <c r="R13" i="6" l="1"/>
  <c r="V13" i="6" s="1"/>
  <c r="Q14" i="6" s="1"/>
  <c r="P12" i="6"/>
  <c r="Z12" i="6" l="1"/>
  <c r="Y13" i="6" s="1"/>
  <c r="W14" i="6" s="1"/>
  <c r="L13" i="6"/>
  <c r="T14" i="6"/>
  <c r="S14" i="6"/>
  <c r="X15" i="6" s="1"/>
  <c r="U14" i="6"/>
  <c r="O13" i="6" l="1"/>
  <c r="N13" i="6"/>
  <c r="R14" i="6" s="1"/>
  <c r="V14" i="6" s="1"/>
  <c r="Q15" i="6" s="1"/>
  <c r="P13" i="6" l="1"/>
  <c r="Z13" i="6" s="1"/>
  <c r="Y14" i="6" s="1"/>
  <c r="W15" i="6" s="1"/>
  <c r="L14" i="6"/>
  <c r="S15" i="6"/>
  <c r="X16" i="6" s="1"/>
  <c r="T15" i="6"/>
  <c r="U15" i="6"/>
  <c r="O14" i="6" l="1"/>
  <c r="N14" i="6"/>
  <c r="R15" i="6" l="1"/>
  <c r="V15" i="6" s="1"/>
  <c r="Q16" i="6" s="1"/>
  <c r="P14" i="6"/>
  <c r="Z14" i="6" l="1"/>
  <c r="Y15" i="6" s="1"/>
  <c r="W16" i="6" s="1"/>
  <c r="L15" i="6"/>
  <c r="T16" i="6"/>
  <c r="S16" i="6"/>
  <c r="X17" i="6" s="1"/>
  <c r="U16" i="6"/>
  <c r="O15" i="6" l="1"/>
  <c r="N15" i="6"/>
  <c r="R16" i="6" l="1"/>
  <c r="V16" i="6" s="1"/>
  <c r="Q17" i="6" s="1"/>
  <c r="P15" i="6"/>
  <c r="Z15" i="6" l="1"/>
  <c r="Y16" i="6" s="1"/>
  <c r="W17" i="6" s="1"/>
  <c r="L16" i="6"/>
  <c r="S17" i="6"/>
  <c r="X18" i="6" s="1"/>
  <c r="T17" i="6"/>
  <c r="U17" i="6"/>
  <c r="N16" i="6" l="1"/>
  <c r="R17" i="6" s="1"/>
  <c r="V17" i="6" s="1"/>
  <c r="Q18" i="6" s="1"/>
  <c r="O16" i="6"/>
  <c r="P16" i="6" l="1"/>
  <c r="Z16" i="6" s="1"/>
  <c r="Y17" i="6" s="1"/>
  <c r="W18" i="6" s="1"/>
  <c r="L17" i="6"/>
  <c r="T18" i="6"/>
  <c r="S18" i="6"/>
  <c r="X19" i="6" s="1"/>
  <c r="U18" i="6"/>
  <c r="N17" i="6" l="1"/>
  <c r="O17" i="6"/>
  <c r="R18" i="6" l="1"/>
  <c r="V18" i="6" s="1"/>
  <c r="Q19" i="6" s="1"/>
  <c r="P17" i="6"/>
  <c r="Z17" i="6" l="1"/>
  <c r="Y18" i="6" s="1"/>
  <c r="W19" i="6" s="1"/>
  <c r="L18" i="6"/>
  <c r="T19" i="6"/>
  <c r="S19" i="6"/>
  <c r="X20" i="6" s="1"/>
  <c r="U19" i="6"/>
  <c r="O18" i="6" l="1"/>
  <c r="N18" i="6"/>
  <c r="R19" i="6" s="1"/>
  <c r="V19" i="6" s="1"/>
  <c r="Q20" i="6" s="1"/>
  <c r="P18" i="6"/>
  <c r="Z18" i="6" l="1"/>
  <c r="Y19" i="6" s="1"/>
  <c r="W20" i="6" s="1"/>
  <c r="L19" i="6"/>
  <c r="S20" i="6"/>
  <c r="X21" i="6" s="1"/>
  <c r="U20" i="6"/>
  <c r="T20" i="6"/>
  <c r="O19" i="6" l="1"/>
  <c r="N19" i="6"/>
  <c r="R20" i="6" l="1"/>
  <c r="V20" i="6" s="1"/>
  <c r="Q21" i="6" s="1"/>
  <c r="P19" i="6"/>
  <c r="Z19" i="6" l="1"/>
  <c r="Y20" i="6" s="1"/>
  <c r="W21" i="6" s="1"/>
  <c r="L20" i="6"/>
  <c r="S21" i="6"/>
  <c r="X22" i="6" s="1"/>
  <c r="T21" i="6"/>
  <c r="U21" i="6"/>
  <c r="O20" i="6" l="1"/>
  <c r="N20" i="6"/>
  <c r="R21" i="6" s="1"/>
  <c r="V21" i="6" s="1"/>
  <c r="Q22" i="6" s="1"/>
  <c r="S22" i="6" l="1"/>
  <c r="X23" i="6" s="1"/>
  <c r="U22" i="6"/>
  <c r="T22" i="6"/>
  <c r="P20" i="6"/>
  <c r="L21" i="6" l="1"/>
  <c r="Z20" i="6"/>
  <c r="Y21" i="6" s="1"/>
  <c r="W22" i="6" s="1"/>
  <c r="O21" i="6" l="1"/>
  <c r="N21" i="6"/>
  <c r="R22" i="6" s="1"/>
  <c r="V22" i="6" s="1"/>
  <c r="Q23" i="6" s="1"/>
  <c r="P21" i="6"/>
  <c r="L22" i="6" l="1"/>
  <c r="Z21" i="6"/>
  <c r="Y22" i="6" s="1"/>
  <c r="W23" i="6" s="1"/>
  <c r="T23" i="6"/>
  <c r="S23" i="6"/>
  <c r="X24" i="6" s="1"/>
  <c r="U23" i="6"/>
  <c r="O22" i="6" l="1"/>
  <c r="N22" i="6"/>
  <c r="R23" i="6" l="1"/>
  <c r="V23" i="6" s="1"/>
  <c r="Q24" i="6" s="1"/>
  <c r="P22" i="6"/>
  <c r="Z22" i="6" l="1"/>
  <c r="Y23" i="6" s="1"/>
  <c r="W24" i="6" s="1"/>
  <c r="L23" i="6"/>
  <c r="T24" i="6"/>
  <c r="S24" i="6"/>
  <c r="U24" i="6"/>
  <c r="N23" i="6" l="1"/>
  <c r="R24" i="6" s="1"/>
  <c r="V24" i="6" s="1"/>
  <c r="O23" i="6"/>
  <c r="P23" i="6"/>
  <c r="L24" i="6" l="1"/>
  <c r="Z23" i="6"/>
  <c r="Y24" i="6" s="1"/>
  <c r="O24" i="6" l="1"/>
  <c r="N24" i="6"/>
  <c r="P24" i="6" s="1"/>
  <c r="Z24" i="6" s="1"/>
  <c r="V26" i="5" s="1"/>
</calcChain>
</file>

<file path=xl/sharedStrings.xml><?xml version="1.0" encoding="utf-8"?>
<sst xmlns="http://schemas.openxmlformats.org/spreadsheetml/2006/main" count="1338" uniqueCount="600">
  <si>
    <t>Value</t>
  </si>
  <si>
    <t>p1</t>
  </si>
  <si>
    <t>no</t>
  </si>
  <si>
    <t>p2</t>
  </si>
  <si>
    <t>testing 72 h</t>
  </si>
  <si>
    <t>p2/p3</t>
  </si>
  <si>
    <t>testing  48 h</t>
  </si>
  <si>
    <t>testing 24 h</t>
  </si>
  <si>
    <t>testing 0 h</t>
  </si>
  <si>
    <t>p4</t>
  </si>
  <si>
    <t>travel</t>
  </si>
  <si>
    <t>qrtn 1 day</t>
  </si>
  <si>
    <t>qrtn 2 day</t>
  </si>
  <si>
    <t>qrtn 3 day</t>
  </si>
  <si>
    <t>qrtn 4 day</t>
  </si>
  <si>
    <t>qrtn 5 day</t>
  </si>
  <si>
    <t>qrtn 6 day</t>
  </si>
  <si>
    <t>qrtn 7 day</t>
  </si>
  <si>
    <t>qrtn 8 day</t>
  </si>
  <si>
    <t>qrtn 9 day</t>
  </si>
  <si>
    <t>qrtn 10 day</t>
  </si>
  <si>
    <t>qrtn 11 day</t>
  </si>
  <si>
    <t>qrtn 12 day</t>
  </si>
  <si>
    <t>qrtn 14 day</t>
  </si>
  <si>
    <t>N</t>
  </si>
  <si>
    <t>∂</t>
  </si>
  <si>
    <t>β</t>
  </si>
  <si>
    <t>γ</t>
  </si>
  <si>
    <t>LP</t>
  </si>
  <si>
    <t>IP</t>
  </si>
  <si>
    <t>π</t>
  </si>
  <si>
    <t>μ</t>
  </si>
  <si>
    <t>τ</t>
  </si>
  <si>
    <t>α</t>
  </si>
  <si>
    <t>ω</t>
  </si>
  <si>
    <t>ϑ</t>
  </si>
  <si>
    <t>σ</t>
  </si>
  <si>
    <t>δ</t>
  </si>
  <si>
    <t>ρ</t>
  </si>
  <si>
    <t>Par.</t>
  </si>
  <si>
    <t>CC</t>
  </si>
  <si>
    <t>VE</t>
  </si>
  <si>
    <t>I3</t>
  </si>
  <si>
    <t>I4</t>
  </si>
  <si>
    <t>I5</t>
  </si>
  <si>
    <t>I6</t>
  </si>
  <si>
    <t>I7</t>
  </si>
  <si>
    <t>I8</t>
  </si>
  <si>
    <t>I9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</si>
  <si>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</si>
  <si>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</si>
  <si>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</si>
  <si>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</si>
  <si>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</si>
  <si>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</si>
  <si>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</si>
  <si>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</si>
  <si>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</si>
  <si>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</si>
  <si>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</si>
  <si>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</si>
  <si>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</si>
  <si>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</si>
  <si>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</si>
  <si>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</si>
  <si>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</si>
  <si>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</si>
  <si>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</si>
  <si>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</si>
  <si>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</si>
  <si>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</si>
  <si>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K3</t>
  </si>
  <si>
    <t>L3</t>
  </si>
  <si>
    <t>M3</t>
  </si>
  <si>
    <t>K4</t>
  </si>
  <si>
    <t>L4</t>
  </si>
  <si>
    <t>M4</t>
  </si>
  <si>
    <t>K5</t>
  </si>
  <si>
    <t>L5</t>
  </si>
  <si>
    <t>M5</t>
  </si>
  <si>
    <t>K6</t>
  </si>
  <si>
    <t>L6</t>
  </si>
  <si>
    <t>M6</t>
  </si>
  <si>
    <t>K7</t>
  </si>
  <si>
    <t>L7</t>
  </si>
  <si>
    <t>M7</t>
  </si>
  <si>
    <t>K8</t>
  </si>
  <si>
    <t>L8</t>
  </si>
  <si>
    <t>M8</t>
  </si>
  <si>
    <t>K9</t>
  </si>
  <si>
    <t>L9</t>
  </si>
  <si>
    <t>M9</t>
  </si>
  <si>
    <t>K10</t>
  </si>
  <si>
    <t>L10</t>
  </si>
  <si>
    <t>M10</t>
  </si>
  <si>
    <t>P3</t>
  </si>
  <si>
    <t>Q3</t>
  </si>
  <si>
    <t>R3</t>
  </si>
  <si>
    <t>P4</t>
  </si>
  <si>
    <t>Q4</t>
  </si>
  <si>
    <t>R4</t>
  </si>
  <si>
    <t>P5</t>
  </si>
  <si>
    <t>R5</t>
  </si>
  <si>
    <t>P6</t>
  </si>
  <si>
    <t>R6</t>
  </si>
  <si>
    <t>P7</t>
  </si>
  <si>
    <t>R7</t>
  </si>
  <si>
    <t>P8</t>
  </si>
  <si>
    <t>R8</t>
  </si>
  <si>
    <t>P9</t>
  </si>
  <si>
    <t>R9</t>
  </si>
  <si>
    <t>P10</t>
  </si>
  <si>
    <t>R10</t>
  </si>
  <si>
    <t>P11</t>
  </si>
  <si>
    <t>R11</t>
  </si>
  <si>
    <t>P12</t>
  </si>
  <si>
    <t>R12</t>
  </si>
  <si>
    <t>P13</t>
  </si>
  <si>
    <t>R13</t>
  </si>
  <si>
    <t>P14</t>
  </si>
  <si>
    <t>R14</t>
  </si>
  <si>
    <t>P15</t>
  </si>
  <si>
    <t>R15</t>
  </si>
  <si>
    <t>P16</t>
  </si>
  <si>
    <t>R16</t>
  </si>
  <si>
    <t>P17</t>
  </si>
  <si>
    <t>R17</t>
  </si>
  <si>
    <t>P18</t>
  </si>
  <si>
    <t>R18</t>
  </si>
  <si>
    <t>P19</t>
  </si>
  <si>
    <t>R19</t>
  </si>
  <si>
    <t>P20</t>
  </si>
  <si>
    <t>R20</t>
  </si>
  <si>
    <t>P21</t>
  </si>
  <si>
    <t>R21</t>
  </si>
  <si>
    <t>P22</t>
  </si>
  <si>
    <t>R22</t>
  </si>
  <si>
    <t>P23</t>
  </si>
  <si>
    <t>R23</t>
  </si>
  <si>
    <t>P24</t>
  </si>
  <si>
    <t>R24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</si>
  <si>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</si>
  <si>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</si>
  <si>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</si>
  <si>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</si>
  <si>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</si>
  <si>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</si>
  <si>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</si>
  <si>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</si>
  <si>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</si>
  <si>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</si>
  <si>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</si>
  <si>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</si>
  <si>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</si>
  <si>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</si>
  <si>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</si>
  <si>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</si>
  <si>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</si>
  <si>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</si>
  <si>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</si>
  <si>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</si>
  <si>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</si>
  <si>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</si>
  <si>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</si>
  <si>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</si>
  <si>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</si>
  <si>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</si>
  <si>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</si>
  <si>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</si>
  <si>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N5</t>
  </si>
  <si>
    <t>N6</t>
  </si>
  <si>
    <t>N7</t>
  </si>
  <si>
    <t>N8</t>
  </si>
  <si>
    <t>N3</t>
  </si>
  <si>
    <t>O3</t>
  </si>
  <si>
    <t>S3</t>
  </si>
  <si>
    <t>T3</t>
  </si>
  <si>
    <t>U3</t>
  </si>
  <si>
    <t>V3</t>
  </si>
  <si>
    <t>W3</t>
  </si>
  <si>
    <t>X3</t>
  </si>
  <si>
    <t>Y3</t>
  </si>
  <si>
    <t>N4</t>
  </si>
  <si>
    <t>O4</t>
  </si>
  <si>
    <t>S4</t>
  </si>
  <si>
    <t>T4</t>
  </si>
  <si>
    <t>U4</t>
  </si>
  <si>
    <t>V4</t>
  </si>
  <si>
    <t>W4</t>
  </si>
  <si>
    <t>X4</t>
  </si>
  <si>
    <t>Y4</t>
  </si>
  <si>
    <t>O5</t>
  </si>
  <si>
    <t>S5</t>
  </si>
  <si>
    <t>T5</t>
  </si>
  <si>
    <t>U5</t>
  </si>
  <si>
    <t>V5</t>
  </si>
  <si>
    <t>W5</t>
  </si>
  <si>
    <t>X5</t>
  </si>
  <si>
    <t>Y5</t>
  </si>
  <si>
    <t>O6</t>
  </si>
  <si>
    <t>S6</t>
  </si>
  <si>
    <t>T6</t>
  </si>
  <si>
    <t>U6</t>
  </si>
  <si>
    <t>V6</t>
  </si>
  <si>
    <t>W6</t>
  </si>
  <si>
    <t>X6</t>
  </si>
  <si>
    <t>Y6</t>
  </si>
  <si>
    <t>O7</t>
  </si>
  <si>
    <t>S7</t>
  </si>
  <si>
    <t>T7</t>
  </si>
  <si>
    <t>U7</t>
  </si>
  <si>
    <t>V7</t>
  </si>
  <si>
    <t>W7</t>
  </si>
  <si>
    <t>X7</t>
  </si>
  <si>
    <t>Y7</t>
  </si>
  <si>
    <t>O8</t>
  </si>
  <si>
    <t>S8</t>
  </si>
  <si>
    <t>T8</t>
  </si>
  <si>
    <t>U8</t>
  </si>
  <si>
    <t>V8</t>
  </si>
  <si>
    <t>W8</t>
  </si>
  <si>
    <t>X8</t>
  </si>
  <si>
    <t>Y8</t>
  </si>
  <si>
    <t>N9</t>
  </si>
  <si>
    <t>O9</t>
  </si>
  <si>
    <t>S9</t>
  </si>
  <si>
    <t>T9</t>
  </si>
  <si>
    <t>U9</t>
  </si>
  <si>
    <t>V9</t>
  </si>
  <si>
    <t>W9</t>
  </si>
  <si>
    <t>X9</t>
  </si>
  <si>
    <t>Y9</t>
  </si>
  <si>
    <t>N10</t>
  </si>
  <si>
    <t>O10</t>
  </si>
  <si>
    <t>S10</t>
  </si>
  <si>
    <t>T10</t>
  </si>
  <si>
    <t>U10</t>
  </si>
  <si>
    <t>V10</t>
  </si>
  <si>
    <t>W10</t>
  </si>
  <si>
    <t>X10</t>
  </si>
  <si>
    <t>Y10</t>
  </si>
  <si>
    <t>N11</t>
  </si>
  <si>
    <t>O11</t>
  </si>
  <si>
    <t>S11</t>
  </si>
  <si>
    <t>T11</t>
  </si>
  <si>
    <t>U11</t>
  </si>
  <si>
    <t>V11</t>
  </si>
  <si>
    <t>W11</t>
  </si>
  <si>
    <t>X11</t>
  </si>
  <si>
    <t>Y11</t>
  </si>
  <si>
    <t>N12</t>
  </si>
  <si>
    <t>O12</t>
  </si>
  <si>
    <t>S12</t>
  </si>
  <si>
    <t>T12</t>
  </si>
  <si>
    <t>U12</t>
  </si>
  <si>
    <t>V12</t>
  </si>
  <si>
    <t>W12</t>
  </si>
  <si>
    <t>X12</t>
  </si>
  <si>
    <t>Y12</t>
  </si>
  <si>
    <t>N13</t>
  </si>
  <si>
    <t>O13</t>
  </si>
  <si>
    <t>S13</t>
  </si>
  <si>
    <t>T13</t>
  </si>
  <si>
    <t>U13</t>
  </si>
  <si>
    <t>V13</t>
  </si>
  <si>
    <t>W13</t>
  </si>
  <si>
    <t>X13</t>
  </si>
  <si>
    <t>Y13</t>
  </si>
  <si>
    <t>N14</t>
  </si>
  <si>
    <t>O14</t>
  </si>
  <si>
    <t>S14</t>
  </si>
  <si>
    <t>T14</t>
  </si>
  <si>
    <t>U14</t>
  </si>
  <si>
    <t>V14</t>
  </si>
  <si>
    <t>W14</t>
  </si>
  <si>
    <t>X14</t>
  </si>
  <si>
    <t>Y14</t>
  </si>
  <si>
    <t>N15</t>
  </si>
  <si>
    <t>O15</t>
  </si>
  <si>
    <t>S15</t>
  </si>
  <si>
    <t>T15</t>
  </si>
  <si>
    <t>U15</t>
  </si>
  <si>
    <t>V15</t>
  </si>
  <si>
    <t>W15</t>
  </si>
  <si>
    <t>X15</t>
  </si>
  <si>
    <t>Y15</t>
  </si>
  <si>
    <t>N16</t>
  </si>
  <si>
    <t>O16</t>
  </si>
  <si>
    <t>S16</t>
  </si>
  <si>
    <t>T16</t>
  </si>
  <si>
    <t>U16</t>
  </si>
  <si>
    <t>V16</t>
  </si>
  <si>
    <t>W16</t>
  </si>
  <si>
    <t>X16</t>
  </si>
  <si>
    <t>Y16</t>
  </si>
  <si>
    <t>N17</t>
  </si>
  <si>
    <t>O17</t>
  </si>
  <si>
    <t>S17</t>
  </si>
  <si>
    <t>T17</t>
  </si>
  <si>
    <t>U17</t>
  </si>
  <si>
    <t>V17</t>
  </si>
  <si>
    <t>W17</t>
  </si>
  <si>
    <t>X17</t>
  </si>
  <si>
    <t>Y17</t>
  </si>
  <si>
    <t>N18</t>
  </si>
  <si>
    <t>O18</t>
  </si>
  <si>
    <t>S18</t>
  </si>
  <si>
    <t>T18</t>
  </si>
  <si>
    <t>U18</t>
  </si>
  <si>
    <t>V18</t>
  </si>
  <si>
    <t>W18</t>
  </si>
  <si>
    <t>X18</t>
  </si>
  <si>
    <t>Y18</t>
  </si>
  <si>
    <t>N19</t>
  </si>
  <si>
    <t>O19</t>
  </si>
  <si>
    <t>S19</t>
  </si>
  <si>
    <t>T19</t>
  </si>
  <si>
    <t>U19</t>
  </si>
  <si>
    <t>V19</t>
  </si>
  <si>
    <t>W19</t>
  </si>
  <si>
    <t>X19</t>
  </si>
  <si>
    <t>Y19</t>
  </si>
  <si>
    <t>N20</t>
  </si>
  <si>
    <t>O20</t>
  </si>
  <si>
    <t>S20</t>
  </si>
  <si>
    <t>T20</t>
  </si>
  <si>
    <t>U20</t>
  </si>
  <si>
    <t>V20</t>
  </si>
  <si>
    <t>W20</t>
  </si>
  <si>
    <t>X20</t>
  </si>
  <si>
    <t>Y20</t>
  </si>
  <si>
    <t>N21</t>
  </si>
  <si>
    <t>O21</t>
  </si>
  <si>
    <t>S21</t>
  </si>
  <si>
    <t>T21</t>
  </si>
  <si>
    <t>U21</t>
  </si>
  <si>
    <t>V21</t>
  </si>
  <si>
    <t>W21</t>
  </si>
  <si>
    <t>X21</t>
  </si>
  <si>
    <t>Y21</t>
  </si>
  <si>
    <t>N22</t>
  </si>
  <si>
    <t>O22</t>
  </si>
  <si>
    <t>S22</t>
  </si>
  <si>
    <t>T22</t>
  </si>
  <si>
    <t>U22</t>
  </si>
  <si>
    <t>V22</t>
  </si>
  <si>
    <t>W22</t>
  </si>
  <si>
    <t>X22</t>
  </si>
  <si>
    <t>Y22</t>
  </si>
  <si>
    <t>N23</t>
  </si>
  <si>
    <t>O23</t>
  </si>
  <si>
    <t>S23</t>
  </si>
  <si>
    <t>T23</t>
  </si>
  <si>
    <t>U23</t>
  </si>
  <si>
    <t>V23</t>
  </si>
  <si>
    <t>W23</t>
  </si>
  <si>
    <t>X23</t>
  </si>
  <si>
    <t>Y23</t>
  </si>
  <si>
    <t>N24</t>
  </si>
  <si>
    <t>O24</t>
  </si>
  <si>
    <t>S24</t>
  </si>
  <si>
    <t>T24</t>
  </si>
  <si>
    <t>U24</t>
  </si>
  <si>
    <t>V24</t>
  </si>
  <si>
    <t>W24</t>
  </si>
  <si>
    <t>X24</t>
  </si>
  <si>
    <t>Y24</t>
  </si>
  <si>
    <t>C3</t>
  </si>
  <si>
    <t>C4</t>
  </si>
  <si>
    <t>C5</t>
  </si>
  <si>
    <t>C6</t>
  </si>
  <si>
    <t>C7</t>
  </si>
  <si>
    <t>C8</t>
  </si>
  <si>
    <t>C9</t>
  </si>
  <si>
    <t>C10</t>
  </si>
  <si>
    <t>C14</t>
  </si>
  <si>
    <t>C11</t>
  </si>
  <si>
    <t>C15</t>
  </si>
  <si>
    <t>C18</t>
  </si>
  <si>
    <t>C19</t>
  </si>
  <si>
    <t>C20</t>
  </si>
  <si>
    <t>C21</t>
  </si>
  <si>
    <t>pA</t>
  </si>
  <si>
    <t>pQ1</t>
  </si>
  <si>
    <t>pQ2</t>
  </si>
  <si>
    <t>pQ3</t>
  </si>
  <si>
    <t>pQ4</t>
  </si>
  <si>
    <t>pQ5</t>
  </si>
  <si>
    <t>pQ6</t>
  </si>
  <si>
    <t>pQ7</t>
  </si>
  <si>
    <t>pQ8</t>
  </si>
  <si>
    <t>pQ9</t>
  </si>
  <si>
    <t>pQ10</t>
  </si>
  <si>
    <t>pQ11</t>
  </si>
  <si>
    <t>pQ12</t>
  </si>
  <si>
    <t>pQ13</t>
  </si>
  <si>
    <t>pQ14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</si>
  <si>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</si>
  <si>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</si>
  <si>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</si>
  <si>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</si>
  <si>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</si>
  <si>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</si>
  <si>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</si>
  <si>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</si>
  <si>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</si>
  <si>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</si>
  <si>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</si>
  <si>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</si>
  <si>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</si>
  <si>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</si>
  <si>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</si>
  <si>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</si>
  <si>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</si>
  <si>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</si>
  <si>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</si>
  <si>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</si>
  <si>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Z4</t>
  </si>
  <si>
    <t>Z5</t>
  </si>
  <si>
    <t>Z6</t>
  </si>
  <si>
    <t>Z7</t>
  </si>
  <si>
    <t>Z8</t>
  </si>
  <si>
    <t>Z9</t>
  </si>
  <si>
    <t>I10</t>
  </si>
  <si>
    <t>Z10</t>
  </si>
  <si>
    <t>I11</t>
  </si>
  <si>
    <t>L11</t>
  </si>
  <si>
    <t>Z11</t>
  </si>
  <si>
    <t>I12</t>
  </si>
  <si>
    <t>L12</t>
  </si>
  <si>
    <t>Z12</t>
  </si>
  <si>
    <t>I13</t>
  </si>
  <si>
    <t>L13</t>
  </si>
  <si>
    <t>Z13</t>
  </si>
  <si>
    <t>I14</t>
  </si>
  <si>
    <t>L14</t>
  </si>
  <si>
    <t>Z14</t>
  </si>
  <si>
    <t>I15</t>
  </si>
  <si>
    <t>L15</t>
  </si>
  <si>
    <t>Z15</t>
  </si>
  <si>
    <t>I16</t>
  </si>
  <si>
    <t>L16</t>
  </si>
  <si>
    <t>Z16</t>
  </si>
  <si>
    <t>I17</t>
  </si>
  <si>
    <t>L17</t>
  </si>
  <si>
    <t>Z17</t>
  </si>
  <si>
    <t>I18</t>
  </si>
  <si>
    <t>L18</t>
  </si>
  <si>
    <t>Z18</t>
  </si>
  <si>
    <t>I19</t>
  </si>
  <si>
    <t>L19</t>
  </si>
  <si>
    <t>Z19</t>
  </si>
  <si>
    <t>I20</t>
  </si>
  <si>
    <t>L20</t>
  </si>
  <si>
    <t>Z20</t>
  </si>
  <si>
    <t>I21</t>
  </si>
  <si>
    <t>L21</t>
  </si>
  <si>
    <t>Z21</t>
  </si>
  <si>
    <t>I22</t>
  </si>
  <si>
    <t>L22</t>
  </si>
  <si>
    <t>Z22</t>
  </si>
  <si>
    <t>I23</t>
  </si>
  <si>
    <t>L23</t>
  </si>
  <si>
    <t>Z23</t>
  </si>
  <si>
    <t>I24</t>
  </si>
  <si>
    <t>L24</t>
  </si>
  <si>
    <t>Z24</t>
  </si>
  <si>
    <t>p3</t>
  </si>
  <si>
    <t>t</t>
  </si>
  <si>
    <t>p</t>
  </si>
  <si>
    <t>intvn.</t>
  </si>
  <si>
    <r>
      <t>S</t>
    </r>
    <r>
      <rPr>
        <vertAlign val="subscript"/>
        <sz val="14"/>
        <color theme="1"/>
        <rFont val="Amasis MT Pro Light"/>
        <family val="1"/>
      </rPr>
      <t>(t-1,p-1)</t>
    </r>
  </si>
  <si>
    <r>
      <t>S</t>
    </r>
    <r>
      <rPr>
        <vertAlign val="subscript"/>
        <sz val="14"/>
        <color theme="1"/>
        <rFont val="Amasis MT Pro Light"/>
        <family val="1"/>
      </rPr>
      <t>(t,p)</t>
    </r>
  </si>
  <si>
    <r>
      <t>E</t>
    </r>
    <r>
      <rPr>
        <vertAlign val="subscript"/>
        <sz val="14"/>
        <color theme="1"/>
        <rFont val="Amasis MT Pro Light"/>
        <family val="1"/>
      </rPr>
      <t>(t-1,p-1)</t>
    </r>
  </si>
  <si>
    <r>
      <t>ασS</t>
    </r>
    <r>
      <rPr>
        <vertAlign val="subscript"/>
        <sz val="14"/>
        <color theme="1"/>
        <rFont val="Amasis MT Pro Light"/>
        <family val="1"/>
      </rPr>
      <t>(t-1,p-1)</t>
    </r>
  </si>
  <si>
    <r>
      <t>E</t>
    </r>
    <r>
      <rPr>
        <vertAlign val="subscript"/>
        <sz val="14"/>
        <color theme="1"/>
        <rFont val="Amasis MT Pro Light"/>
        <family val="1"/>
      </rPr>
      <t>(t,p)</t>
    </r>
  </si>
  <si>
    <r>
      <rPr>
        <sz val="14"/>
        <color theme="1"/>
        <rFont val="Amasis MT Pro Light"/>
        <family val="1"/>
      </rPr>
      <t>I</t>
    </r>
    <r>
      <rPr>
        <vertAlign val="subscript"/>
        <sz val="14"/>
        <color theme="1"/>
        <rFont val="Amasis MT Pro Light"/>
        <family val="1"/>
      </rPr>
      <t>(t-1,p-1)</t>
    </r>
  </si>
  <si>
    <r>
      <t>βE</t>
    </r>
    <r>
      <rPr>
        <vertAlign val="subscript"/>
        <sz val="14"/>
        <color theme="1"/>
        <rFont val="Amasis MT Pro Light"/>
        <family val="1"/>
      </rPr>
      <t>(t-1,p-1)</t>
    </r>
  </si>
  <si>
    <r>
      <t>I</t>
    </r>
    <r>
      <rPr>
        <vertAlign val="subscript"/>
        <sz val="14"/>
        <color theme="1"/>
        <rFont val="Amasis MT Pro Light"/>
        <family val="1"/>
      </rPr>
      <t>(t,p)</t>
    </r>
  </si>
  <si>
    <r>
      <t>R</t>
    </r>
    <r>
      <rPr>
        <vertAlign val="subscript"/>
        <sz val="14"/>
        <color theme="1"/>
        <rFont val="Amasis MT Pro Light"/>
        <family val="1"/>
      </rPr>
      <t>(t-1,p-1)</t>
    </r>
  </si>
  <si>
    <r>
      <t>γI</t>
    </r>
    <r>
      <rPr>
        <vertAlign val="subscript"/>
        <sz val="14"/>
        <color theme="1"/>
        <rFont val="Amasis MT Pro Light"/>
        <family val="1"/>
      </rPr>
      <t>(t-1,p-1)</t>
    </r>
  </si>
  <si>
    <r>
      <t>R</t>
    </r>
    <r>
      <rPr>
        <vertAlign val="subscript"/>
        <sz val="14"/>
        <color theme="1"/>
        <rFont val="Amasis MT Pro Light"/>
        <family val="1"/>
      </rPr>
      <t>(t,p)</t>
    </r>
  </si>
  <si>
    <r>
      <t>(1-μ)E</t>
    </r>
    <r>
      <rPr>
        <vertAlign val="subscript"/>
        <sz val="14"/>
        <color theme="1"/>
        <rFont val="Amasis MT Pro Light"/>
        <family val="1"/>
      </rPr>
      <t>(t-1,p-1)</t>
    </r>
  </si>
  <si>
    <r>
      <t>(1-τ)I</t>
    </r>
    <r>
      <rPr>
        <vertAlign val="subscript"/>
        <sz val="14"/>
        <color theme="1"/>
        <rFont val="Amasis MT Pro Light"/>
        <family val="1"/>
      </rPr>
      <t>(t-1,p-1)</t>
    </r>
  </si>
  <si>
    <r>
      <t>π(1-ρ)I</t>
    </r>
    <r>
      <rPr>
        <vertAlign val="subscript"/>
        <sz val="14"/>
        <color theme="1"/>
        <rFont val="Amasis MT Pro Light"/>
        <family val="1"/>
      </rPr>
      <t>(t-1,p-1)</t>
    </r>
  </si>
  <si>
    <t>Parameters</t>
  </si>
  <si>
    <t>Rate of being infectious(β)</t>
  </si>
  <si>
    <t>Infectious Period</t>
  </si>
  <si>
    <t>Rate of being recovered (γ)</t>
  </si>
  <si>
    <t xml:space="preserve">Testing Sensitivity </t>
  </si>
  <si>
    <t>Cluster Characters</t>
  </si>
  <si>
    <t>Cluster Infection Rate (α)</t>
  </si>
  <si>
    <t>Non-cluster</t>
  </si>
  <si>
    <t>Cluster 1</t>
  </si>
  <si>
    <t>Cluster 2</t>
  </si>
  <si>
    <t>Cluster 3</t>
  </si>
  <si>
    <t>Vaccine Efficacy</t>
  </si>
  <si>
    <t>C 1</t>
  </si>
  <si>
    <t>C 2</t>
  </si>
  <si>
    <t>Vaccination is NOT required</t>
  </si>
  <si>
    <t>Quarantine</t>
  </si>
  <si>
    <t>48 Hours</t>
  </si>
  <si>
    <t>Yes</t>
  </si>
  <si>
    <t>72 Hours</t>
  </si>
  <si>
    <t>24 Hours</t>
  </si>
  <si>
    <t>0 Hours</t>
  </si>
  <si>
    <t>Column1</t>
  </si>
  <si>
    <t>Column2</t>
  </si>
  <si>
    <t>1 day</t>
  </si>
  <si>
    <t>2 day</t>
  </si>
  <si>
    <t>3 day</t>
  </si>
  <si>
    <t>4 day</t>
  </si>
  <si>
    <t>5 day</t>
  </si>
  <si>
    <t>6 day</t>
  </si>
  <si>
    <t>7 day</t>
  </si>
  <si>
    <t>8 day</t>
  </si>
  <si>
    <t>9 day</t>
  </si>
  <si>
    <t>10 day</t>
  </si>
  <si>
    <t>11 day</t>
  </si>
  <si>
    <t>12 day</t>
  </si>
  <si>
    <t>13 day</t>
  </si>
  <si>
    <t>14 day</t>
  </si>
  <si>
    <t>Testing time</t>
  </si>
  <si>
    <t>Vaccination is  required</t>
  </si>
  <si>
    <t>No</t>
  </si>
  <si>
    <t>0 = Not implementing</t>
  </si>
  <si>
    <t>1 = Implementing</t>
  </si>
  <si>
    <t>No testing</t>
  </si>
  <si>
    <t>No quarantine</t>
  </si>
  <si>
    <t>Vaccination is NOT  required</t>
  </si>
  <si>
    <t>C 3</t>
  </si>
  <si>
    <t>2 days</t>
  </si>
  <si>
    <t>3 days</t>
  </si>
  <si>
    <t>4 days</t>
  </si>
  <si>
    <t>5 days</t>
  </si>
  <si>
    <t>6 days</t>
  </si>
  <si>
    <t>7 days</t>
  </si>
  <si>
    <t>8 days</t>
  </si>
  <si>
    <t>9 days</t>
  </si>
  <si>
    <t>10 days</t>
  </si>
  <si>
    <t>11 days</t>
  </si>
  <si>
    <t>12 days</t>
  </si>
  <si>
    <t>13 days</t>
  </si>
  <si>
    <t>14 days</t>
  </si>
  <si>
    <r>
      <t xml:space="preserve">Vaccine Coverage (ω) </t>
    </r>
    <r>
      <rPr>
        <sz val="11"/>
        <color rgb="FFFF0000"/>
        <rFont val="Amasis MT Pro"/>
        <family val="1"/>
      </rPr>
      <t>If req. vac.; value = 1</t>
    </r>
  </si>
  <si>
    <t>p1/p2</t>
  </si>
  <si>
    <t>p1/p2/p3</t>
  </si>
  <si>
    <t>Before entry</t>
  </si>
  <si>
    <t>After entry</t>
  </si>
  <si>
    <t>Initial Travelers (N)</t>
  </si>
  <si>
    <t>Incubation period</t>
  </si>
  <si>
    <t>Severe symptom prob. (π)</t>
  </si>
  <si>
    <t>False Neg. during incubation (μ)</t>
  </si>
  <si>
    <t>False Neg. during infectious (τ)</t>
  </si>
  <si>
    <t>Transmission Reduction  (ϑ)</t>
  </si>
  <si>
    <t>Severity Reduction  (δ)</t>
  </si>
  <si>
    <t>Vaccination is required</t>
  </si>
  <si>
    <t>Z3</t>
  </si>
  <si>
    <t>NVNC</t>
  </si>
  <si>
    <t>NVC1</t>
  </si>
  <si>
    <t>NVC2</t>
  </si>
  <si>
    <t>NVC3</t>
  </si>
  <si>
    <t>VNC</t>
  </si>
  <si>
    <t>VC1</t>
  </si>
  <si>
    <t>VC2</t>
  </si>
  <si>
    <t>VC3</t>
  </si>
  <si>
    <t>Not requiring vaccination certificate and no cluster of departure country (universal)</t>
  </si>
  <si>
    <t>Not requiring vaccination certificate with departure country cluster 1</t>
  </si>
  <si>
    <t>Not requiring vaccination certificate with departure country cluster 2</t>
  </si>
  <si>
    <t>Not requiring vaccination certificate with departure country cluster 3</t>
  </si>
  <si>
    <t>Requiring vaccination certificate and no cluster of departure country (universal)</t>
  </si>
  <si>
    <t>Requiring vaccination certificate with departure country cluster 1</t>
  </si>
  <si>
    <t>Requiring vaccination certificate with departure country cluster 2</t>
  </si>
  <si>
    <t>Requiring vaccination certificate with departure country cluster 3</t>
  </si>
  <si>
    <r>
      <t>MC</t>
    </r>
    <r>
      <rPr>
        <vertAlign val="subscript"/>
        <sz val="14"/>
        <rFont val="Amasis MT Pro Light"/>
        <family val="1"/>
      </rPr>
      <t>(t,p)</t>
    </r>
  </si>
  <si>
    <t>entry</t>
  </si>
  <si>
    <t>Entry testing</t>
  </si>
  <si>
    <r>
      <t>γI</t>
    </r>
    <r>
      <rPr>
        <vertAlign val="subscript"/>
        <sz val="14"/>
        <rFont val="Amasis MT Pro Light"/>
        <family val="1"/>
      </rPr>
      <t>(t-1,p-1)</t>
    </r>
  </si>
  <si>
    <t>MC</t>
  </si>
  <si>
    <t>Sheets/Terms</t>
  </si>
  <si>
    <t>Descriptions</t>
  </si>
  <si>
    <t>Universal</t>
  </si>
  <si>
    <t xml:space="preserve"> (1) PARAMETERS </t>
  </si>
  <si>
    <t>(2) PHPITs Options</t>
  </si>
  <si>
    <r>
      <rPr>
        <i/>
        <sz val="12"/>
        <color theme="1"/>
        <rFont val="Amasis MT Pro"/>
        <family val="1"/>
      </rPr>
      <t>Missed case</t>
    </r>
    <r>
      <rPr>
        <sz val="12"/>
        <color theme="1"/>
        <rFont val="Amasis MT Pro"/>
        <family val="1"/>
      </rPr>
      <t>; cases leaked from being detected by interventions and enter to communities</t>
    </r>
  </si>
  <si>
    <r>
      <t xml:space="preserve">The estimated number of infected individuals entering communities (missed case) was derived by simulating the combined impacts of before and after arrival to Thailand, including departure-country risk classification, vaccination certificate requirements, pre-departure testing, entry testing, and quarantine. Estimated numbers of missed case was calculated for both the </t>
    </r>
    <r>
      <rPr>
        <b/>
        <sz val="11"/>
        <color theme="1"/>
        <rFont val="Amasis MT Pro"/>
        <family val="1"/>
      </rPr>
      <t>“Before entry”</t>
    </r>
    <r>
      <rPr>
        <sz val="11"/>
        <color theme="1"/>
        <rFont val="Amasis MT Pro"/>
        <family val="1"/>
      </rPr>
      <t xml:space="preserve"> and </t>
    </r>
    <r>
      <rPr>
        <b/>
        <sz val="11"/>
        <color theme="1"/>
        <rFont val="Amasis MT Pro"/>
        <family val="1"/>
      </rPr>
      <t>“After entry”</t>
    </r>
    <r>
      <rPr>
        <sz val="11"/>
        <color theme="1"/>
        <rFont val="Amasis MT Pro"/>
        <family val="1"/>
      </rPr>
      <t xml:space="preserve">, with final community exposure estimates corresponding to the </t>
    </r>
    <r>
      <rPr>
        <b/>
        <sz val="11"/>
        <color theme="1"/>
        <rFont val="Amasis MT Pro"/>
        <family val="1"/>
      </rPr>
      <t xml:space="preserve">“After entry” </t>
    </r>
    <r>
      <rPr>
        <sz val="11"/>
        <color theme="1"/>
        <rFont val="Amasis MT Pro"/>
        <family val="1"/>
      </rPr>
      <t>period under selected quarantine options and cluster of departure country based on risk.</t>
    </r>
  </si>
  <si>
    <r>
      <t>S</t>
    </r>
    <r>
      <rPr>
        <vertAlign val="subscript"/>
        <sz val="14"/>
        <rFont val="Amasis MT Pro Light"/>
        <family val="1"/>
      </rPr>
      <t>(t-1,p-1)</t>
    </r>
  </si>
  <si>
    <r>
      <t>ασS</t>
    </r>
    <r>
      <rPr>
        <vertAlign val="subscript"/>
        <sz val="14"/>
        <rFont val="Amasis MT Pro Light"/>
        <family val="1"/>
      </rPr>
      <t>(t-1,p-1)</t>
    </r>
  </si>
  <si>
    <r>
      <t>S</t>
    </r>
    <r>
      <rPr>
        <vertAlign val="subscript"/>
        <sz val="14"/>
        <rFont val="Amasis MT Pro Light"/>
        <family val="1"/>
      </rPr>
      <t>(t,p)</t>
    </r>
  </si>
  <si>
    <r>
      <t>E</t>
    </r>
    <r>
      <rPr>
        <vertAlign val="subscript"/>
        <sz val="14"/>
        <rFont val="Amasis MT Pro Light"/>
        <family val="1"/>
      </rPr>
      <t>(t-1,p-1)</t>
    </r>
  </si>
  <si>
    <r>
      <t>βE</t>
    </r>
    <r>
      <rPr>
        <vertAlign val="subscript"/>
        <sz val="14"/>
        <rFont val="Amasis MT Pro Light"/>
        <family val="1"/>
      </rPr>
      <t>(t-1,p-1)</t>
    </r>
  </si>
  <si>
    <r>
      <t>(1-μ)E</t>
    </r>
    <r>
      <rPr>
        <vertAlign val="subscript"/>
        <sz val="14"/>
        <rFont val="Amasis MT Pro Light"/>
        <family val="1"/>
      </rPr>
      <t>(t-1,p-1)</t>
    </r>
  </si>
  <si>
    <r>
      <t>E</t>
    </r>
    <r>
      <rPr>
        <vertAlign val="subscript"/>
        <sz val="14"/>
        <rFont val="Amasis MT Pro Light"/>
        <family val="1"/>
      </rPr>
      <t>(t,p)</t>
    </r>
  </si>
  <si>
    <r>
      <rPr>
        <sz val="14"/>
        <rFont val="Amasis MT Pro Light"/>
        <family val="1"/>
      </rPr>
      <t>I</t>
    </r>
    <r>
      <rPr>
        <vertAlign val="subscript"/>
        <sz val="14"/>
        <rFont val="Amasis MT Pro Light"/>
        <family val="1"/>
      </rPr>
      <t>(t-1,p-1)</t>
    </r>
  </si>
  <si>
    <r>
      <t>(1-τ)I</t>
    </r>
    <r>
      <rPr>
        <vertAlign val="subscript"/>
        <sz val="14"/>
        <rFont val="Amasis MT Pro Light"/>
        <family val="1"/>
      </rPr>
      <t>(t-1,p-1)</t>
    </r>
  </si>
  <si>
    <r>
      <t>π(1-ρ)I</t>
    </r>
    <r>
      <rPr>
        <vertAlign val="subscript"/>
        <sz val="14"/>
        <rFont val="Amasis MT Pro Light"/>
        <family val="1"/>
      </rPr>
      <t>(t-1,p-1)</t>
    </r>
  </si>
  <si>
    <r>
      <t>I</t>
    </r>
    <r>
      <rPr>
        <vertAlign val="subscript"/>
        <sz val="14"/>
        <rFont val="Amasis MT Pro Light"/>
        <family val="1"/>
      </rPr>
      <t>(t,p)</t>
    </r>
  </si>
  <si>
    <r>
      <t>R</t>
    </r>
    <r>
      <rPr>
        <vertAlign val="subscript"/>
        <sz val="14"/>
        <rFont val="Amasis MT Pro Light"/>
        <family val="1"/>
      </rPr>
      <t>(t-1,p-1)</t>
    </r>
  </si>
  <si>
    <r>
      <t>R</t>
    </r>
    <r>
      <rPr>
        <vertAlign val="subscript"/>
        <sz val="14"/>
        <rFont val="Amasis MT Pro Light"/>
        <family val="1"/>
      </rPr>
      <t>(t,p)</t>
    </r>
  </si>
  <si>
    <t>(3) Numbers of missed cases (infected individuals leaked to communities) per 100,000 travelers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</si>
</sst>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0.0000"/>
    <numFmt numFmtId="166" formatCode="0.000000"/>
    <numFmt numFmtId="167" formatCode="#,##0.00000"/>
  </numFmts>
  <fonts count="3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Amasis MT Pro Light"/>
      <family val="1"/>
    </font>
    <font>
      <sz val="12"/>
      <color theme="1"/>
      <name val="Amasis MT Pro Light"/>
      <family val="1"/>
    </font>
    <font>
      <b/>
      <sz val="11"/>
      <color theme="1"/>
      <name val="Amasis MT Pro Light"/>
      <family val="1"/>
    </font>
    <font>
      <b/>
      <sz val="14"/>
      <color theme="1"/>
      <name val="Amasis MT Pro Light"/>
      <family val="1"/>
    </font>
    <font>
      <sz val="11"/>
      <color theme="1"/>
      <name val="Amasis MT Pro Light"/>
      <family val="1"/>
    </font>
    <font>
      <sz val="11"/>
      <name val="Amasis MT Pro Light"/>
      <family val="1"/>
    </font>
    <font>
      <i/>
      <sz val="11"/>
      <name val="Amasis MT Pro Light"/>
      <family val="1"/>
    </font>
    <font>
      <b/>
      <sz val="12"/>
      <color theme="1"/>
      <name val="Amasis MT Pro Light"/>
      <family val="1"/>
    </font>
    <font>
      <sz val="14"/>
      <color theme="1"/>
      <name val="Amasis MT Pro Light"/>
      <family val="1"/>
    </font>
    <font>
      <vertAlign val="subscript"/>
      <sz val="14"/>
      <color theme="1"/>
      <name val="Amasis MT Pro Light"/>
      <family val="1"/>
    </font>
    <font>
      <sz val="14"/>
      <name val="Amasis MT Pro Light"/>
      <family val="1"/>
    </font>
    <font>
      <vertAlign val="subscript"/>
      <sz val="14"/>
      <name val="Amasis MT Pro Light"/>
      <family val="1"/>
    </font>
    <font>
      <b/>
      <sz val="11"/>
      <color theme="1"/>
      <name val="Amasis MT Pro"/>
      <family val="1"/>
    </font>
    <font>
      <sz val="11"/>
      <color theme="1"/>
      <name val="Amasis MT Pro"/>
      <family val="1"/>
    </font>
    <font>
      <i/>
      <sz val="11"/>
      <color theme="1"/>
      <name val="Amasis MT Pro"/>
      <family val="1"/>
    </font>
    <font>
      <sz val="10"/>
      <color theme="1"/>
      <name val="Amasis MT Pro"/>
      <family val="1"/>
    </font>
    <font>
      <sz val="11"/>
      <color rgb="FFFF0000"/>
      <name val="Amasis MT Pro"/>
      <family val="1"/>
    </font>
    <font>
      <b/>
      <sz val="10"/>
      <color theme="1"/>
      <name val="Amasis MT Pro"/>
      <family val="1"/>
    </font>
    <font>
      <b/>
      <sz val="9"/>
      <color theme="1"/>
      <name val="Amasis MT Pro"/>
      <family val="1"/>
    </font>
    <font>
      <sz val="9"/>
      <color theme="1"/>
      <name val="Amasis MT Pro"/>
      <family val="1"/>
    </font>
    <font>
      <sz val="9"/>
      <color theme="1"/>
      <name val="Calibri"/>
      <family val="2"/>
      <scheme val="minor"/>
    </font>
    <font>
      <b/>
      <sz val="11"/>
      <color theme="0"/>
      <name val="Amasis MT Pro Light"/>
      <family val="1"/>
    </font>
    <font>
      <b/>
      <sz val="11"/>
      <color theme="0"/>
      <name val="Calibri"/>
      <family val="2"/>
      <scheme val="minor"/>
    </font>
    <font>
      <sz val="12"/>
      <color theme="1"/>
      <name val="Amasis MT Pro"/>
      <family val="1"/>
    </font>
    <font>
      <i/>
      <sz val="12"/>
      <color theme="1"/>
      <name val="Amasis MT Pro"/>
      <family val="1"/>
    </font>
    <font>
      <b/>
      <sz val="12"/>
      <color theme="0"/>
      <name val="Calibri"/>
      <family val="2"/>
      <scheme val="minor"/>
    </font>
    <font>
      <b/>
      <sz val="11"/>
      <color theme="0"/>
      <name val="Amasis MT Pro"/>
      <family val="1"/>
    </font>
    <font>
      <b/>
      <sz val="11"/>
      <name val="Amasis MT Pro"/>
      <family val="1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FDD8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E5ECE"/>
        <bgColor indexed="64"/>
      </patternFill>
    </fill>
    <fill>
      <patternFill patternType="solid">
        <fgColor rgb="FFFFB13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3" borderId="0" xfId="0" applyFont="1" applyFill="1"/>
    <xf numFmtId="0" fontId="6" fillId="3" borderId="0" xfId="0" applyFont="1" applyFill="1" applyAlignment="1">
      <alignment horizontal="center"/>
    </xf>
    <xf numFmtId="0" fontId="4" fillId="0" borderId="5" xfId="0" applyFont="1" applyBorder="1" applyAlignment="1">
      <alignment horizontal="center"/>
    </xf>
    <xf numFmtId="0" fontId="7" fillId="3" borderId="0" xfId="0" applyFont="1" applyFill="1"/>
    <xf numFmtId="0" fontId="8" fillId="3" borderId="5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4" fontId="3" fillId="3" borderId="0" xfId="0" applyNumberFormat="1" applyFont="1" applyFill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4" fontId="7" fillId="3" borderId="5" xfId="0" applyNumberFormat="1" applyFont="1" applyFill="1" applyBorder="1" applyAlignment="1">
      <alignment horizontal="center"/>
    </xf>
    <xf numFmtId="4" fontId="7" fillId="3" borderId="4" xfId="0" applyNumberFormat="1" applyFont="1" applyFill="1" applyBorder="1" applyAlignment="1">
      <alignment horizontal="center"/>
    </xf>
    <xf numFmtId="4" fontId="7" fillId="2" borderId="6" xfId="0" applyNumberFormat="1" applyFont="1" applyFill="1" applyBorder="1" applyAlignment="1">
      <alignment horizontal="center"/>
    </xf>
    <xf numFmtId="4" fontId="7" fillId="4" borderId="4" xfId="0" applyNumberFormat="1" applyFont="1" applyFill="1" applyBorder="1" applyAlignment="1">
      <alignment horizontal="center"/>
    </xf>
    <xf numFmtId="4" fontId="7" fillId="3" borderId="7" xfId="0" applyNumberFormat="1" applyFont="1" applyFill="1" applyBorder="1" applyAlignment="1">
      <alignment horizontal="center"/>
    </xf>
    <xf numFmtId="4" fontId="7" fillId="4" borderId="7" xfId="0" applyNumberFormat="1" applyFont="1" applyFill="1" applyBorder="1" applyAlignment="1">
      <alignment horizontal="center"/>
    </xf>
    <xf numFmtId="4" fontId="7" fillId="3" borderId="11" xfId="0" applyNumberFormat="1" applyFont="1" applyFill="1" applyBorder="1" applyAlignment="1">
      <alignment horizontal="center"/>
    </xf>
    <xf numFmtId="4" fontId="7" fillId="4" borderId="12" xfId="0" applyNumberFormat="1" applyFont="1" applyFill="1" applyBorder="1" applyAlignment="1">
      <alignment horizontal="center"/>
    </xf>
    <xf numFmtId="4" fontId="7" fillId="2" borderId="13" xfId="0" applyNumberFormat="1" applyFont="1" applyFill="1" applyBorder="1" applyAlignment="1">
      <alignment horizontal="center"/>
    </xf>
    <xf numFmtId="4" fontId="7" fillId="3" borderId="12" xfId="0" applyNumberFormat="1" applyFont="1" applyFill="1" applyBorder="1" applyAlignment="1">
      <alignment horizontal="center"/>
    </xf>
    <xf numFmtId="3" fontId="7" fillId="0" borderId="6" xfId="0" applyNumberFormat="1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4" fontId="7" fillId="5" borderId="19" xfId="0" applyNumberFormat="1" applyFont="1" applyFill="1" applyBorder="1" applyAlignment="1">
      <alignment horizontal="center"/>
    </xf>
    <xf numFmtId="4" fontId="7" fillId="5" borderId="20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11" fillId="6" borderId="2" xfId="0" quotePrefix="1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4" fontId="7" fillId="5" borderId="6" xfId="0" applyNumberFormat="1" applyFont="1" applyFill="1" applyBorder="1" applyAlignment="1">
      <alignment horizontal="center"/>
    </xf>
    <xf numFmtId="4" fontId="7" fillId="7" borderId="6" xfId="0" applyNumberFormat="1" applyFont="1" applyFill="1" applyBorder="1" applyAlignment="1">
      <alignment horizontal="center"/>
    </xf>
    <xf numFmtId="4" fontId="7" fillId="6" borderId="5" xfId="0" applyNumberFormat="1" applyFont="1" applyFill="1" applyBorder="1" applyAlignment="1">
      <alignment horizontal="center" vertical="center"/>
    </xf>
    <xf numFmtId="4" fontId="7" fillId="6" borderId="4" xfId="0" applyNumberFormat="1" applyFont="1" applyFill="1" applyBorder="1" applyAlignment="1">
      <alignment horizontal="center" vertical="center"/>
    </xf>
    <xf numFmtId="4" fontId="7" fillId="6" borderId="6" xfId="0" applyNumberFormat="1" applyFont="1" applyFill="1" applyBorder="1" applyAlignment="1">
      <alignment horizontal="center" vertical="center"/>
    </xf>
    <xf numFmtId="4" fontId="7" fillId="3" borderId="5" xfId="0" applyNumberFormat="1" applyFont="1" applyFill="1" applyBorder="1" applyAlignment="1">
      <alignment horizontal="center" vertical="center"/>
    </xf>
    <xf numFmtId="4" fontId="7" fillId="3" borderId="4" xfId="0" applyNumberFormat="1" applyFont="1" applyFill="1" applyBorder="1" applyAlignment="1">
      <alignment horizontal="center" vertical="center"/>
    </xf>
    <xf numFmtId="4" fontId="7" fillId="0" borderId="4" xfId="0" applyNumberFormat="1" applyFont="1" applyBorder="1" applyAlignment="1">
      <alignment horizontal="center" vertical="center"/>
    </xf>
    <xf numFmtId="4" fontId="7" fillId="4" borderId="4" xfId="0" applyNumberFormat="1" applyFont="1" applyFill="1" applyBorder="1" applyAlignment="1">
      <alignment horizontal="center" vertical="center"/>
    </xf>
    <xf numFmtId="4" fontId="7" fillId="2" borderId="6" xfId="0" applyNumberFormat="1" applyFont="1" applyFill="1" applyBorder="1" applyAlignment="1">
      <alignment horizontal="center" vertical="center"/>
    </xf>
    <xf numFmtId="4" fontId="7" fillId="5" borderId="5" xfId="0" applyNumberFormat="1" applyFont="1" applyFill="1" applyBorder="1" applyAlignment="1">
      <alignment horizontal="center" vertical="center"/>
    </xf>
    <xf numFmtId="4" fontId="7" fillId="5" borderId="4" xfId="0" applyNumberFormat="1" applyFont="1" applyFill="1" applyBorder="1" applyAlignment="1">
      <alignment horizontal="center" vertical="center"/>
    </xf>
    <xf numFmtId="4" fontId="8" fillId="5" borderId="4" xfId="0" applyNumberFormat="1" applyFont="1" applyFill="1" applyBorder="1" applyAlignment="1">
      <alignment horizontal="center" vertical="center"/>
    </xf>
    <xf numFmtId="4" fontId="7" fillId="5" borderId="6" xfId="0" applyNumberFormat="1" applyFont="1" applyFill="1" applyBorder="1" applyAlignment="1">
      <alignment horizontal="center" vertical="center"/>
    </xf>
    <xf numFmtId="4" fontId="7" fillId="7" borderId="5" xfId="0" applyNumberFormat="1" applyFont="1" applyFill="1" applyBorder="1" applyAlignment="1">
      <alignment horizontal="center" vertical="center"/>
    </xf>
    <xf numFmtId="4" fontId="7" fillId="7" borderId="4" xfId="0" applyNumberFormat="1" applyFont="1" applyFill="1" applyBorder="1" applyAlignment="1">
      <alignment horizontal="center" vertical="center"/>
    </xf>
    <xf numFmtId="4" fontId="7" fillId="7" borderId="6" xfId="0" applyNumberFormat="1" applyFont="1" applyFill="1" applyBorder="1" applyAlignment="1">
      <alignment horizontal="center" vertical="center"/>
    </xf>
    <xf numFmtId="4" fontId="7" fillId="8" borderId="5" xfId="0" applyNumberFormat="1" applyFont="1" applyFill="1" applyBorder="1" applyAlignment="1">
      <alignment horizontal="center" vertical="center"/>
    </xf>
    <xf numFmtId="4" fontId="7" fillId="8" borderId="4" xfId="0" applyNumberFormat="1" applyFont="1" applyFill="1" applyBorder="1" applyAlignment="1">
      <alignment horizontal="center" vertical="center"/>
    </xf>
    <xf numFmtId="4" fontId="7" fillId="3" borderId="31" xfId="0" applyNumberFormat="1" applyFont="1" applyFill="1" applyBorder="1" applyAlignment="1">
      <alignment horizontal="center"/>
    </xf>
    <xf numFmtId="4" fontId="7" fillId="2" borderId="19" xfId="0" applyNumberFormat="1" applyFont="1" applyFill="1" applyBorder="1" applyAlignment="1">
      <alignment horizontal="center"/>
    </xf>
    <xf numFmtId="4" fontId="7" fillId="3" borderId="7" xfId="0" applyNumberFormat="1" applyFont="1" applyFill="1" applyBorder="1" applyAlignment="1">
      <alignment horizontal="center" vertical="center"/>
    </xf>
    <xf numFmtId="4" fontId="7" fillId="4" borderId="9" xfId="0" applyNumberFormat="1" applyFont="1" applyFill="1" applyBorder="1" applyAlignment="1">
      <alignment horizontal="center"/>
    </xf>
    <xf numFmtId="4" fontId="7" fillId="6" borderId="30" xfId="0" applyNumberFormat="1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4" fontId="7" fillId="2" borderId="33" xfId="0" applyNumberFormat="1" applyFont="1" applyFill="1" applyBorder="1" applyAlignment="1">
      <alignment horizontal="center"/>
    </xf>
    <xf numFmtId="4" fontId="7" fillId="2" borderId="33" xfId="0" applyNumberFormat="1" applyFont="1" applyFill="1" applyBorder="1" applyAlignment="1">
      <alignment horizontal="center" vertical="center"/>
    </xf>
    <xf numFmtId="4" fontId="7" fillId="8" borderId="33" xfId="0" applyNumberFormat="1" applyFont="1" applyFill="1" applyBorder="1" applyAlignment="1">
      <alignment horizontal="center" vertical="center"/>
    </xf>
    <xf numFmtId="4" fontId="7" fillId="2" borderId="34" xfId="0" applyNumberFormat="1" applyFont="1" applyFill="1" applyBorder="1" applyAlignment="1">
      <alignment horizontal="center"/>
    </xf>
    <xf numFmtId="4" fontId="7" fillId="0" borderId="36" xfId="0" applyNumberFormat="1" applyFont="1" applyBorder="1" applyAlignment="1">
      <alignment horizontal="center"/>
    </xf>
    <xf numFmtId="4" fontId="7" fillId="0" borderId="36" xfId="0" applyNumberFormat="1" applyFont="1" applyBorder="1" applyAlignment="1">
      <alignment horizontal="center" vertical="center"/>
    </xf>
    <xf numFmtId="4" fontId="7" fillId="0" borderId="37" xfId="0" applyNumberFormat="1" applyFont="1" applyBorder="1" applyAlignment="1">
      <alignment horizontal="center"/>
    </xf>
    <xf numFmtId="4" fontId="7" fillId="9" borderId="36" xfId="0" applyNumberFormat="1" applyFont="1" applyFill="1" applyBorder="1" applyAlignment="1">
      <alignment horizontal="center"/>
    </xf>
    <xf numFmtId="0" fontId="13" fillId="9" borderId="35" xfId="0" applyFont="1" applyFill="1" applyBorder="1" applyAlignment="1">
      <alignment horizontal="center"/>
    </xf>
    <xf numFmtId="0" fontId="15" fillId="2" borderId="21" xfId="0" applyFont="1" applyFill="1" applyBorder="1"/>
    <xf numFmtId="0" fontId="15" fillId="2" borderId="22" xfId="0" applyFont="1" applyFill="1" applyBorder="1"/>
    <xf numFmtId="0" fontId="15" fillId="2" borderId="23" xfId="0" applyFont="1" applyFill="1" applyBorder="1" applyAlignment="1">
      <alignment horizontal="center"/>
    </xf>
    <xf numFmtId="0" fontId="16" fillId="3" borderId="24" xfId="0" applyFont="1" applyFill="1" applyBorder="1"/>
    <xf numFmtId="0" fontId="16" fillId="3" borderId="0" xfId="0" applyFont="1" applyFill="1"/>
    <xf numFmtId="3" fontId="16" fillId="3" borderId="25" xfId="0" applyNumberFormat="1" applyFont="1" applyFill="1" applyBorder="1" applyAlignment="1">
      <alignment horizontal="center"/>
    </xf>
    <xf numFmtId="165" fontId="16" fillId="3" borderId="25" xfId="0" applyNumberFormat="1" applyFont="1" applyFill="1" applyBorder="1" applyAlignment="1">
      <alignment horizontal="center"/>
    </xf>
    <xf numFmtId="0" fontId="15" fillId="2" borderId="24" xfId="0" applyFont="1" applyFill="1" applyBorder="1"/>
    <xf numFmtId="0" fontId="16" fillId="2" borderId="0" xfId="0" applyFont="1" applyFill="1"/>
    <xf numFmtId="165" fontId="16" fillId="2" borderId="25" xfId="0" applyNumberFormat="1" applyFont="1" applyFill="1" applyBorder="1" applyAlignment="1">
      <alignment horizontal="center"/>
    </xf>
    <xf numFmtId="0" fontId="16" fillId="3" borderId="25" xfId="0" applyFont="1" applyFill="1" applyBorder="1" applyAlignment="1">
      <alignment horizontal="center"/>
    </xf>
    <xf numFmtId="0" fontId="15" fillId="2" borderId="0" xfId="0" applyFont="1" applyFill="1"/>
    <xf numFmtId="0" fontId="16" fillId="2" borderId="25" xfId="0" applyFont="1" applyFill="1" applyBorder="1" applyAlignment="1">
      <alignment horizontal="center"/>
    </xf>
    <xf numFmtId="0" fontId="17" fillId="3" borderId="0" xfId="0" applyFont="1" applyFill="1"/>
    <xf numFmtId="0" fontId="17" fillId="3" borderId="25" xfId="0" applyFont="1" applyFill="1" applyBorder="1" applyAlignment="1">
      <alignment horizontal="center"/>
    </xf>
    <xf numFmtId="0" fontId="18" fillId="3" borderId="25" xfId="0" applyFont="1" applyFill="1" applyBorder="1" applyAlignment="1">
      <alignment horizontal="center"/>
    </xf>
    <xf numFmtId="166" fontId="18" fillId="3" borderId="25" xfId="0" applyNumberFormat="1" applyFont="1" applyFill="1" applyBorder="1" applyAlignment="1">
      <alignment horizontal="center"/>
    </xf>
    <xf numFmtId="0" fontId="18" fillId="3" borderId="25" xfId="0" applyFont="1" applyFill="1" applyBorder="1" applyAlignment="1">
      <alignment horizontal="center" vertical="center"/>
    </xf>
    <xf numFmtId="165" fontId="18" fillId="3" borderId="25" xfId="0" applyNumberFormat="1" applyFont="1" applyFill="1" applyBorder="1" applyAlignment="1">
      <alignment horizontal="center" vertical="center"/>
    </xf>
    <xf numFmtId="0" fontId="16" fillId="3" borderId="26" xfId="0" applyFont="1" applyFill="1" applyBorder="1"/>
    <xf numFmtId="0" fontId="16" fillId="3" borderId="27" xfId="0" applyFont="1" applyFill="1" applyBorder="1"/>
    <xf numFmtId="0" fontId="16" fillId="3" borderId="28" xfId="0" applyFont="1" applyFill="1" applyBorder="1" applyAlignment="1">
      <alignment horizontal="center"/>
    </xf>
    <xf numFmtId="0" fontId="16" fillId="0" borderId="24" xfId="0" applyFont="1" applyBorder="1" applyAlignment="1">
      <alignment horizontal="right"/>
    </xf>
    <xf numFmtId="0" fontId="16" fillId="3" borderId="24" xfId="0" applyFont="1" applyFill="1" applyBorder="1" applyAlignment="1">
      <alignment horizontal="right"/>
    </xf>
    <xf numFmtId="0" fontId="16" fillId="3" borderId="26" xfId="0" applyFont="1" applyFill="1" applyBorder="1" applyAlignment="1">
      <alignment horizontal="right"/>
    </xf>
    <xf numFmtId="0" fontId="15" fillId="10" borderId="29" xfId="0" applyFont="1" applyFill="1" applyBorder="1" applyAlignment="1">
      <alignment horizontal="center"/>
    </xf>
    <xf numFmtId="0" fontId="15" fillId="3" borderId="29" xfId="0" applyFont="1" applyFill="1" applyBorder="1" applyAlignment="1">
      <alignment horizontal="center"/>
    </xf>
    <xf numFmtId="0" fontId="15" fillId="3" borderId="38" xfId="0" applyFont="1" applyFill="1" applyBorder="1" applyAlignment="1">
      <alignment horizontal="center"/>
    </xf>
    <xf numFmtId="0" fontId="20" fillId="10" borderId="29" xfId="0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/>
    </xf>
    <xf numFmtId="0" fontId="20" fillId="3" borderId="38" xfId="0" applyFont="1" applyFill="1" applyBorder="1" applyAlignment="1">
      <alignment horizontal="center"/>
    </xf>
    <xf numFmtId="3" fontId="16" fillId="10" borderId="39" xfId="0" applyNumberFormat="1" applyFont="1" applyFill="1" applyBorder="1" applyAlignment="1">
      <alignment horizontal="center"/>
    </xf>
    <xf numFmtId="3" fontId="16" fillId="0" borderId="39" xfId="0" applyNumberFormat="1" applyFont="1" applyBorder="1" applyAlignment="1">
      <alignment horizontal="center"/>
    </xf>
    <xf numFmtId="3" fontId="16" fillId="3" borderId="40" xfId="0" applyNumberFormat="1" applyFont="1" applyFill="1" applyBorder="1" applyAlignment="1">
      <alignment horizontal="center"/>
    </xf>
    <xf numFmtId="3" fontId="16" fillId="3" borderId="41" xfId="0" applyNumberFormat="1" applyFont="1" applyFill="1" applyBorder="1" applyAlignment="1">
      <alignment horizontal="center"/>
    </xf>
    <xf numFmtId="3" fontId="16" fillId="10" borderId="41" xfId="0" applyNumberFormat="1" applyFont="1" applyFill="1" applyBorder="1" applyAlignment="1">
      <alignment horizontal="center"/>
    </xf>
    <xf numFmtId="3" fontId="16" fillId="3" borderId="42" xfId="0" applyNumberFormat="1" applyFont="1" applyFill="1" applyBorder="1" applyAlignment="1">
      <alignment horizontal="center"/>
    </xf>
    <xf numFmtId="3" fontId="16" fillId="10" borderId="27" xfId="0" applyNumberFormat="1" applyFont="1" applyFill="1" applyBorder="1" applyAlignment="1">
      <alignment horizontal="center"/>
    </xf>
    <xf numFmtId="3" fontId="16" fillId="3" borderId="27" xfId="0" applyNumberFormat="1" applyFont="1" applyFill="1" applyBorder="1" applyAlignment="1">
      <alignment horizontal="center"/>
    </xf>
    <xf numFmtId="1" fontId="16" fillId="10" borderId="41" xfId="0" applyNumberFormat="1" applyFont="1" applyFill="1" applyBorder="1" applyAlignment="1">
      <alignment horizontal="center"/>
    </xf>
    <xf numFmtId="1" fontId="16" fillId="3" borderId="41" xfId="0" applyNumberFormat="1" applyFont="1" applyFill="1" applyBorder="1" applyAlignment="1">
      <alignment horizontal="center"/>
    </xf>
    <xf numFmtId="3" fontId="16" fillId="3" borderId="28" xfId="0" applyNumberFormat="1" applyFont="1" applyFill="1" applyBorder="1" applyAlignment="1">
      <alignment horizontal="center"/>
    </xf>
    <xf numFmtId="1" fontId="16" fillId="10" borderId="27" xfId="0" applyNumberFormat="1" applyFont="1" applyFill="1" applyBorder="1" applyAlignment="1">
      <alignment horizontal="center"/>
    </xf>
    <xf numFmtId="1" fontId="16" fillId="3" borderId="27" xfId="0" applyNumberFormat="1" applyFont="1" applyFill="1" applyBorder="1" applyAlignment="1">
      <alignment horizontal="center"/>
    </xf>
    <xf numFmtId="1" fontId="16" fillId="3" borderId="42" xfId="0" applyNumberFormat="1" applyFont="1" applyFill="1" applyBorder="1" applyAlignment="1">
      <alignment horizontal="center"/>
    </xf>
    <xf numFmtId="1" fontId="16" fillId="3" borderId="28" xfId="0" applyNumberFormat="1" applyFont="1" applyFill="1" applyBorder="1" applyAlignment="1">
      <alignment horizontal="center"/>
    </xf>
    <xf numFmtId="0" fontId="22" fillId="3" borderId="0" xfId="0" applyFont="1" applyFill="1"/>
    <xf numFmtId="0" fontId="22" fillId="3" borderId="24" xfId="0" applyFont="1" applyFill="1" applyBorder="1"/>
    <xf numFmtId="0" fontId="22" fillId="3" borderId="25" xfId="0" applyFont="1" applyFill="1" applyBorder="1" applyAlignment="1">
      <alignment horizontal="center"/>
    </xf>
    <xf numFmtId="0" fontId="21" fillId="10" borderId="24" xfId="0" applyFont="1" applyFill="1" applyBorder="1"/>
    <xf numFmtId="0" fontId="22" fillId="10" borderId="25" xfId="0" applyFont="1" applyFill="1" applyBorder="1"/>
    <xf numFmtId="0" fontId="22" fillId="10" borderId="25" xfId="0" applyFont="1" applyFill="1" applyBorder="1" applyAlignment="1">
      <alignment horizontal="center"/>
    </xf>
    <xf numFmtId="0" fontId="23" fillId="3" borderId="0" xfId="0" applyFont="1" applyFill="1"/>
    <xf numFmtId="0" fontId="22" fillId="3" borderId="26" xfId="0" applyFont="1" applyFill="1" applyBorder="1"/>
    <xf numFmtId="0" fontId="22" fillId="3" borderId="28" xfId="0" applyFont="1" applyFill="1" applyBorder="1" applyAlignment="1">
      <alignment horizontal="center"/>
    </xf>
    <xf numFmtId="0" fontId="22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 vertical="center"/>
    </xf>
    <xf numFmtId="0" fontId="16" fillId="0" borderId="0" xfId="0" applyFont="1" applyAlignment="1">
      <alignment horizontal="right"/>
    </xf>
    <xf numFmtId="0" fontId="16" fillId="3" borderId="0" xfId="0" applyFont="1" applyFill="1" applyAlignment="1">
      <alignment horizontal="right"/>
    </xf>
    <xf numFmtId="0" fontId="16" fillId="3" borderId="27" xfId="0" applyFont="1" applyFill="1" applyBorder="1" applyAlignment="1">
      <alignment horizontal="right"/>
    </xf>
    <xf numFmtId="3" fontId="16" fillId="3" borderId="39" xfId="0" applyNumberFormat="1" applyFont="1" applyFill="1" applyBorder="1" applyAlignment="1">
      <alignment horizontal="center"/>
    </xf>
    <xf numFmtId="0" fontId="16" fillId="3" borderId="29" xfId="0" applyFont="1" applyFill="1" applyBorder="1" applyAlignment="1">
      <alignment horizontal="right"/>
    </xf>
    <xf numFmtId="3" fontId="16" fillId="10" borderId="29" xfId="0" applyNumberFormat="1" applyFont="1" applyFill="1" applyBorder="1" applyAlignment="1">
      <alignment horizontal="center"/>
    </xf>
    <xf numFmtId="3" fontId="16" fillId="3" borderId="43" xfId="0" applyNumberFormat="1" applyFont="1" applyFill="1" applyBorder="1" applyAlignment="1">
      <alignment horizontal="center"/>
    </xf>
    <xf numFmtId="3" fontId="16" fillId="10" borderId="43" xfId="0" applyNumberFormat="1" applyFont="1" applyFill="1" applyBorder="1" applyAlignment="1">
      <alignment horizontal="center"/>
    </xf>
    <xf numFmtId="3" fontId="16" fillId="3" borderId="44" xfId="0" applyNumberFormat="1" applyFont="1" applyFill="1" applyBorder="1" applyAlignment="1">
      <alignment horizontal="center"/>
    </xf>
    <xf numFmtId="0" fontId="16" fillId="3" borderId="45" xfId="0" applyFont="1" applyFill="1" applyBorder="1" applyAlignment="1">
      <alignment horizontal="right"/>
    </xf>
    <xf numFmtId="0" fontId="0" fillId="2" borderId="21" xfId="0" applyFill="1" applyBorder="1" applyAlignment="1">
      <alignment textRotation="90"/>
    </xf>
    <xf numFmtId="3" fontId="16" fillId="10" borderId="0" xfId="0" applyNumberFormat="1" applyFont="1" applyFill="1" applyAlignment="1">
      <alignment horizontal="center"/>
    </xf>
    <xf numFmtId="3" fontId="16" fillId="3" borderId="0" xfId="0" applyNumberFormat="1" applyFont="1" applyFill="1" applyAlignment="1">
      <alignment horizontal="center"/>
    </xf>
    <xf numFmtId="0" fontId="29" fillId="13" borderId="46" xfId="0" applyFont="1" applyFill="1" applyBorder="1" applyAlignment="1">
      <alignment horizontal="center" vertical="center" textRotation="90"/>
    </xf>
    <xf numFmtId="0" fontId="11" fillId="3" borderId="5" xfId="0" applyFont="1" applyFill="1" applyBorder="1" applyAlignment="1">
      <alignment horizontal="center"/>
    </xf>
    <xf numFmtId="3" fontId="16" fillId="3" borderId="6" xfId="0" applyNumberFormat="1" applyFont="1" applyFill="1" applyBorder="1" applyAlignment="1">
      <alignment horizontal="center"/>
    </xf>
    <xf numFmtId="4" fontId="7" fillId="3" borderId="6" xfId="0" applyNumberFormat="1" applyFont="1" applyFill="1" applyBorder="1" applyAlignment="1">
      <alignment horizontal="center"/>
    </xf>
    <xf numFmtId="167" fontId="16" fillId="3" borderId="6" xfId="0" applyNumberFormat="1" applyFont="1" applyFill="1" applyBorder="1" applyAlignment="1">
      <alignment horizontal="center"/>
    </xf>
    <xf numFmtId="164" fontId="16" fillId="3" borderId="6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166" fontId="16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13" fillId="16" borderId="1" xfId="0" applyFont="1" applyFill="1" applyBorder="1" applyAlignment="1">
      <alignment horizontal="center"/>
    </xf>
    <xf numFmtId="0" fontId="13" fillId="16" borderId="2" xfId="0" quotePrefix="1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13" fillId="16" borderId="2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center"/>
    </xf>
    <xf numFmtId="0" fontId="13" fillId="5" borderId="18" xfId="0" applyFont="1" applyFill="1" applyBorder="1" applyAlignment="1">
      <alignment horizontal="center"/>
    </xf>
    <xf numFmtId="0" fontId="10" fillId="16" borderId="1" xfId="0" applyFont="1" applyFill="1" applyBorder="1" applyAlignment="1">
      <alignment horizontal="center"/>
    </xf>
    <xf numFmtId="0" fontId="5" fillId="16" borderId="3" xfId="0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11" fillId="16" borderId="2" xfId="0" applyFont="1" applyFill="1" applyBorder="1" applyAlignment="1">
      <alignment horizontal="center"/>
    </xf>
    <xf numFmtId="0" fontId="11" fillId="16" borderId="3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/>
    </xf>
    <xf numFmtId="0" fontId="15" fillId="16" borderId="6" xfId="0" applyFont="1" applyFill="1" applyBorder="1" applyAlignment="1">
      <alignment horizontal="center"/>
    </xf>
    <xf numFmtId="0" fontId="26" fillId="3" borderId="4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4" fontId="24" fillId="11" borderId="33" xfId="0" applyNumberFormat="1" applyFont="1" applyFill="1" applyBorder="1" applyAlignment="1">
      <alignment horizontal="center" vertical="center"/>
    </xf>
    <xf numFmtId="4" fontId="24" fillId="11" borderId="49" xfId="0" applyNumberFormat="1" applyFont="1" applyFill="1" applyBorder="1" applyAlignment="1">
      <alignment horizontal="center" vertical="center"/>
    </xf>
    <xf numFmtId="4" fontId="24" fillId="11" borderId="48" xfId="0" applyNumberFormat="1" applyFont="1" applyFill="1" applyBorder="1" applyAlignment="1">
      <alignment horizontal="center" vertical="center"/>
    </xf>
    <xf numFmtId="0" fontId="25" fillId="15" borderId="0" xfId="0" applyFont="1" applyFill="1" applyAlignment="1">
      <alignment horizontal="center" vertical="center"/>
    </xf>
    <xf numFmtId="0" fontId="25" fillId="12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/>
    </xf>
    <xf numFmtId="0" fontId="22" fillId="3" borderId="24" xfId="0" applyFont="1" applyFill="1" applyBorder="1" applyAlignment="1">
      <alignment horizontal="center" vertical="center"/>
    </xf>
    <xf numFmtId="0" fontId="22" fillId="3" borderId="25" xfId="0" applyFont="1" applyFill="1" applyBorder="1" applyAlignment="1">
      <alignment horizontal="center" vertical="center"/>
    </xf>
    <xf numFmtId="0" fontId="21" fillId="2" borderId="21" xfId="0" applyFont="1" applyFill="1" applyBorder="1" applyAlignment="1">
      <alignment horizontal="center" vertical="center"/>
    </xf>
    <xf numFmtId="0" fontId="21" fillId="2" borderId="23" xfId="0" applyFont="1" applyFill="1" applyBorder="1" applyAlignment="1">
      <alignment horizontal="center" vertical="center"/>
    </xf>
    <xf numFmtId="0" fontId="29" fillId="13" borderId="46" xfId="0" applyFont="1" applyFill="1" applyBorder="1" applyAlignment="1">
      <alignment horizontal="center" vertical="center" textRotation="90" wrapText="1"/>
    </xf>
    <xf numFmtId="0" fontId="29" fillId="13" borderId="47" xfId="0" applyFont="1" applyFill="1" applyBorder="1" applyAlignment="1">
      <alignment horizontal="center" vertical="center" textRotation="90" wrapText="1"/>
    </xf>
    <xf numFmtId="0" fontId="30" fillId="14" borderId="46" xfId="0" applyFont="1" applyFill="1" applyBorder="1" applyAlignment="1">
      <alignment horizontal="center" vertical="center" textRotation="90"/>
    </xf>
    <xf numFmtId="0" fontId="30" fillId="14" borderId="8" xfId="0" applyFont="1" applyFill="1" applyBorder="1" applyAlignment="1">
      <alignment horizontal="center" vertical="center" textRotation="90"/>
    </xf>
    <xf numFmtId="0" fontId="15" fillId="2" borderId="22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left" vertical="top" wrapText="1"/>
    </xf>
    <xf numFmtId="0" fontId="16" fillId="3" borderId="29" xfId="0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13F"/>
      <color rgb="FF7FDD8C"/>
      <color rgb="FF9E5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3</xdr:row>
      <xdr:rowOff>45720</xdr:rowOff>
    </xdr:from>
    <xdr:to>
      <xdr:col>10</xdr:col>
      <xdr:colOff>121920</xdr:colOff>
      <xdr:row>3</xdr:row>
      <xdr:rowOff>53340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497D8A92-8EA8-F17C-7166-8C5B2DFE6C42}"/>
            </a:ext>
          </a:extLst>
        </xdr:cNvPr>
        <xdr:cNvCxnSpPr/>
      </xdr:nvCxnSpPr>
      <xdr:spPr>
        <a:xfrm>
          <a:off x="2766060" y="632460"/>
          <a:ext cx="1028700" cy="7620"/>
        </a:xfrm>
        <a:prstGeom prst="straightConnector1">
          <a:avLst/>
        </a:prstGeom>
        <a:ln w="12700">
          <a:solidFill>
            <a:schemeClr val="tx1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3</xdr:row>
      <xdr:rowOff>259080</xdr:rowOff>
    </xdr:from>
    <xdr:to>
      <xdr:col>10</xdr:col>
      <xdr:colOff>91440</xdr:colOff>
      <xdr:row>4</xdr:row>
      <xdr:rowOff>182880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973D5727-883C-43AA-A8C3-ADBD99FFE2CE}"/>
            </a:ext>
          </a:extLst>
        </xdr:cNvPr>
        <xdr:cNvCxnSpPr/>
      </xdr:nvCxnSpPr>
      <xdr:spPr>
        <a:xfrm flipH="1">
          <a:off x="2781300" y="845820"/>
          <a:ext cx="982980" cy="220980"/>
        </a:xfrm>
        <a:prstGeom prst="straightConnector1">
          <a:avLst/>
        </a:prstGeom>
        <a:ln w="12700"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541020</xdr:colOff>
      <xdr:row>3</xdr:row>
      <xdr:rowOff>160020</xdr:rowOff>
    </xdr:from>
    <xdr:to>
      <xdr:col>12</xdr:col>
      <xdr:colOff>182880</xdr:colOff>
      <xdr:row>4</xdr:row>
      <xdr:rowOff>167640</xdr:rowOff>
    </xdr:to>
    <xdr:cxnSp macro="">
      <xdr:nvCxnSpPr>
        <xdr:cNvPr id="78" name="Connector: Curved 77">
          <a:extLst>
            <a:ext uri="{FF2B5EF4-FFF2-40B4-BE49-F238E27FC236}">
              <a16:creationId xmlns:a16="http://schemas.microsoft.com/office/drawing/2014/main" id="{4545E11A-4B75-9F4A-E6F2-67C261AEAD1A}"/>
            </a:ext>
          </a:extLst>
        </xdr:cNvPr>
        <xdr:cNvCxnSpPr/>
      </xdr:nvCxnSpPr>
      <xdr:spPr>
        <a:xfrm>
          <a:off x="3497580" y="746760"/>
          <a:ext cx="1226820" cy="304800"/>
        </a:xfrm>
        <a:prstGeom prst="curvedConnector3">
          <a:avLst>
            <a:gd name="adj1" fmla="val 50000"/>
          </a:avLst>
        </a:prstGeom>
        <a:ln>
          <a:headEnd type="oval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472440</xdr:colOff>
      <xdr:row>4</xdr:row>
      <xdr:rowOff>152400</xdr:rowOff>
    </xdr:from>
    <xdr:to>
      <xdr:col>17</xdr:col>
      <xdr:colOff>144780</xdr:colOff>
      <xdr:row>5</xdr:row>
      <xdr:rowOff>190500</xdr:rowOff>
    </xdr:to>
    <xdr:cxnSp macro="">
      <xdr:nvCxnSpPr>
        <xdr:cNvPr id="81" name="Connector: Curved 80">
          <a:extLst>
            <a:ext uri="{FF2B5EF4-FFF2-40B4-BE49-F238E27FC236}">
              <a16:creationId xmlns:a16="http://schemas.microsoft.com/office/drawing/2014/main" id="{916DA38E-A3DF-43CF-93FC-E5ACA822575B}"/>
            </a:ext>
          </a:extLst>
        </xdr:cNvPr>
        <xdr:cNvCxnSpPr/>
      </xdr:nvCxnSpPr>
      <xdr:spPr>
        <a:xfrm>
          <a:off x="5730240" y="1036320"/>
          <a:ext cx="1965960" cy="381000"/>
        </a:xfrm>
        <a:prstGeom prst="curvedConnector3">
          <a:avLst>
            <a:gd name="adj1" fmla="val 50000"/>
          </a:avLst>
        </a:prstGeom>
        <a:ln>
          <a:headEnd type="oval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426720</xdr:colOff>
      <xdr:row>5</xdr:row>
      <xdr:rowOff>198120</xdr:rowOff>
    </xdr:from>
    <xdr:to>
      <xdr:col>23</xdr:col>
      <xdr:colOff>137160</xdr:colOff>
      <xdr:row>6</xdr:row>
      <xdr:rowOff>220980</xdr:rowOff>
    </xdr:to>
    <xdr:cxnSp macro="">
      <xdr:nvCxnSpPr>
        <xdr:cNvPr id="83" name="Connector: Curved 82">
          <a:extLst>
            <a:ext uri="{FF2B5EF4-FFF2-40B4-BE49-F238E27FC236}">
              <a16:creationId xmlns:a16="http://schemas.microsoft.com/office/drawing/2014/main" id="{FA8B80A6-61F0-4742-884A-A71EF0CB74C5}"/>
            </a:ext>
          </a:extLst>
        </xdr:cNvPr>
        <xdr:cNvCxnSpPr/>
      </xdr:nvCxnSpPr>
      <xdr:spPr>
        <a:xfrm>
          <a:off x="8610600" y="1424940"/>
          <a:ext cx="2895600" cy="365760"/>
        </a:xfrm>
        <a:prstGeom prst="curvedConnector3">
          <a:avLst>
            <a:gd name="adj1" fmla="val 50000"/>
          </a:avLst>
        </a:prstGeom>
        <a:ln>
          <a:headEnd type="oval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335280</xdr:colOff>
      <xdr:row>4</xdr:row>
      <xdr:rowOff>53340</xdr:rowOff>
    </xdr:from>
    <xdr:to>
      <xdr:col>15</xdr:col>
      <xdr:colOff>137160</xdr:colOff>
      <xdr:row>4</xdr:row>
      <xdr:rowOff>68580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466DD525-5DB5-4E08-82E5-1B81B18A3360}"/>
            </a:ext>
          </a:extLst>
        </xdr:cNvPr>
        <xdr:cNvCxnSpPr/>
      </xdr:nvCxnSpPr>
      <xdr:spPr>
        <a:xfrm>
          <a:off x="4343400" y="868680"/>
          <a:ext cx="2529840" cy="15240"/>
        </a:xfrm>
        <a:prstGeom prst="straightConnector1">
          <a:avLst/>
        </a:prstGeom>
        <a:ln w="12700">
          <a:solidFill>
            <a:schemeClr val="tx1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388620</xdr:colOff>
      <xdr:row>4</xdr:row>
      <xdr:rowOff>213360</xdr:rowOff>
    </xdr:from>
    <xdr:to>
      <xdr:col>15</xdr:col>
      <xdr:colOff>83820</xdr:colOff>
      <xdr:row>5</xdr:row>
      <xdr:rowOff>213360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6A58435F-F69C-43D5-8900-3D0D67BCDC78}"/>
            </a:ext>
          </a:extLst>
        </xdr:cNvPr>
        <xdr:cNvCxnSpPr/>
      </xdr:nvCxnSpPr>
      <xdr:spPr>
        <a:xfrm flipH="1">
          <a:off x="4396740" y="1097280"/>
          <a:ext cx="2423160" cy="342900"/>
        </a:xfrm>
        <a:prstGeom prst="straightConnector1">
          <a:avLst/>
        </a:prstGeom>
        <a:ln w="12700"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358140</xdr:colOff>
      <xdr:row>5</xdr:row>
      <xdr:rowOff>182880</xdr:rowOff>
    </xdr:from>
    <xdr:to>
      <xdr:col>21</xdr:col>
      <xdr:colOff>99060</xdr:colOff>
      <xdr:row>6</xdr:row>
      <xdr:rowOff>228600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4785F5F1-12DE-454B-9CCB-7FF89E26F366}"/>
            </a:ext>
          </a:extLst>
        </xdr:cNvPr>
        <xdr:cNvCxnSpPr/>
      </xdr:nvCxnSpPr>
      <xdr:spPr>
        <a:xfrm flipH="1">
          <a:off x="7444740" y="1409700"/>
          <a:ext cx="3116580" cy="388620"/>
        </a:xfrm>
        <a:prstGeom prst="straightConnector1">
          <a:avLst/>
        </a:prstGeom>
        <a:ln w="12700"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381000</xdr:colOff>
      <xdr:row>6</xdr:row>
      <xdr:rowOff>205740</xdr:rowOff>
    </xdr:from>
    <xdr:to>
      <xdr:col>24</xdr:col>
      <xdr:colOff>91440</xdr:colOff>
      <xdr:row>7</xdr:row>
      <xdr:rowOff>320040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90C8AA13-46A5-4717-AD26-C4170867677D}"/>
            </a:ext>
          </a:extLst>
        </xdr:cNvPr>
        <xdr:cNvCxnSpPr/>
      </xdr:nvCxnSpPr>
      <xdr:spPr>
        <a:xfrm flipH="1">
          <a:off x="11216640" y="1775460"/>
          <a:ext cx="815340" cy="434340"/>
        </a:xfrm>
        <a:prstGeom prst="straightConnector1">
          <a:avLst/>
        </a:prstGeom>
        <a:ln w="12700"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297180</xdr:colOff>
      <xdr:row>6</xdr:row>
      <xdr:rowOff>60960</xdr:rowOff>
    </xdr:from>
    <xdr:to>
      <xdr:col>24</xdr:col>
      <xdr:colOff>137160</xdr:colOff>
      <xdr:row>6</xdr:row>
      <xdr:rowOff>68580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7C2A468E-310F-4BE1-A9B4-957136421BC3}"/>
            </a:ext>
          </a:extLst>
        </xdr:cNvPr>
        <xdr:cNvCxnSpPr/>
      </xdr:nvCxnSpPr>
      <xdr:spPr>
        <a:xfrm>
          <a:off x="11132820" y="1630680"/>
          <a:ext cx="944880" cy="7620"/>
        </a:xfrm>
        <a:prstGeom prst="straightConnector1">
          <a:avLst/>
        </a:prstGeom>
        <a:ln w="12700">
          <a:solidFill>
            <a:schemeClr val="tx1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3687</xdr:colOff>
      <xdr:row>7</xdr:row>
      <xdr:rowOff>168752</xdr:rowOff>
    </xdr:from>
    <xdr:to>
      <xdr:col>25</xdr:col>
      <xdr:colOff>55638</xdr:colOff>
      <xdr:row>11</xdr:row>
      <xdr:rowOff>102958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6BA95BB-9ADF-7E75-A30A-ED832D7D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9722183">
          <a:off x="10839327" y="2058512"/>
          <a:ext cx="1503562" cy="984073"/>
        </a:xfrm>
        <a:prstGeom prst="rect">
          <a:avLst/>
        </a:prstGeom>
      </xdr:spPr>
    </xdr:pic>
    <xdr:clientData/>
  </xdr:twoCellAnchor>
  <xdr:twoCellAnchor editAs="oneCell">
    <xdr:from>
      <xdr:col>15</xdr:col>
      <xdr:colOff>144780</xdr:colOff>
      <xdr:row>9</xdr:row>
      <xdr:rowOff>114300</xdr:rowOff>
    </xdr:from>
    <xdr:to>
      <xdr:col>25</xdr:col>
      <xdr:colOff>175259</xdr:colOff>
      <xdr:row>14</xdr:row>
      <xdr:rowOff>134378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93BB05D5-5455-3C46-B34C-1A6D0D7E7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0860" y="2606040"/>
          <a:ext cx="5570220" cy="1115665"/>
        </a:xfrm>
        <a:prstGeom prst="rect">
          <a:avLst/>
        </a:prstGeom>
      </xdr:spPr>
    </xdr:pic>
    <xdr:clientData/>
  </xdr:twoCellAnchor>
  <xdr:twoCellAnchor>
    <xdr:from>
      <xdr:col>16</xdr:col>
      <xdr:colOff>254000</xdr:colOff>
      <xdr:row>5</xdr:row>
      <xdr:rowOff>59266</xdr:rowOff>
    </xdr:from>
    <xdr:to>
      <xdr:col>21</xdr:col>
      <xdr:colOff>194733</xdr:colOff>
      <xdr:row>5</xdr:row>
      <xdr:rowOff>64346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EA3C978A-356F-41C4-8F31-3D31CD69C62F}"/>
            </a:ext>
          </a:extLst>
        </xdr:cNvPr>
        <xdr:cNvCxnSpPr/>
      </xdr:nvCxnSpPr>
      <xdr:spPr>
        <a:xfrm flipV="1">
          <a:off x="7357533" y="1286933"/>
          <a:ext cx="3327400" cy="5080"/>
        </a:xfrm>
        <a:prstGeom prst="straightConnector1">
          <a:avLst/>
        </a:prstGeom>
        <a:ln w="12700">
          <a:solidFill>
            <a:schemeClr val="tx1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EC3C75-D9D0-410C-B82B-5A91F3DE7A11}" name="Table3" displayName="Table3" ref="A2:B4" totalsRowShown="0">
  <autoFilter ref="A2:B4" xr:uid="{C8EC3C75-D9D0-410C-B82B-5A91F3DE7A11}"/>
  <tableColumns count="2">
    <tableColumn id="1" xr3:uid="{74577489-F14C-4B24-BF16-27D433EEC402}" name="Column1"/>
    <tableColumn id="2" xr3:uid="{7075DA79-35E9-4F46-8543-547A8DFD7510}" name="Colum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B7B9-294D-4D23-B2CC-65E753622946}">
  <dimension ref="B1:Z37"/>
  <sheetViews>
    <sheetView zoomScale="90" zoomScaleNormal="90" workbookViewId="0">
      <selection activeCell="AE18" sqref="AE18"/>
    </sheetView>
  </sheetViews>
  <sheetFormatPr defaultColWidth="8.85546875" defaultRowHeight="15.75" x14ac:dyDescent="0.25"/>
  <cols>
    <col min="1" max="1" width="1.85546875" style="1" customWidth="1"/>
    <col min="2" max="2" width="4.85546875" style="3" customWidth="1"/>
    <col min="3" max="3" width="6.85546875" style="2" bestFit="1" customWidth="1"/>
    <col min="4" max="4" width="1.7109375" style="1" customWidth="1"/>
    <col min="5" max="5" width="9.85546875" style="2" customWidth="1"/>
    <col min="6" max="6" width="10.85546875" style="2" bestFit="1" customWidth="1"/>
    <col min="7" max="7" width="3" style="2" bestFit="1" customWidth="1"/>
    <col min="8" max="8" width="1.42578125" style="2" customWidth="1"/>
    <col min="9" max="9" width="7.5703125" style="2" bestFit="1" customWidth="1"/>
    <col min="10" max="10" width="10.42578125" style="2" bestFit="1" customWidth="1"/>
    <col min="11" max="11" width="4.85546875" style="1" bestFit="1" customWidth="1"/>
    <col min="12" max="12" width="7.7109375" style="1" bestFit="1" customWidth="1"/>
    <col min="13" max="13" width="10.42578125" style="1" bestFit="1" customWidth="1"/>
    <col min="14" max="14" width="9.28515625" style="1" bestFit="1" customWidth="1"/>
    <col min="15" max="15" width="12.28515625" style="1" bestFit="1" customWidth="1"/>
    <col min="16" max="16" width="5.140625" style="1" bestFit="1" customWidth="1"/>
    <col min="17" max="17" width="6.7109375" style="1" bestFit="1" customWidth="1"/>
    <col min="18" max="18" width="9.28515625" style="1" bestFit="1" customWidth="1"/>
    <col min="19" max="19" width="8.28515625" style="1" bestFit="1" customWidth="1"/>
    <col min="20" max="20" width="11.5703125" style="1" bestFit="1" customWidth="1"/>
    <col min="21" max="21" width="13.28515625" style="1" bestFit="1" customWidth="1"/>
    <col min="22" max="22" width="5.42578125" style="1" bestFit="1" customWidth="1"/>
    <col min="23" max="23" width="7.7109375" style="1" bestFit="1" customWidth="1"/>
    <col min="24" max="24" width="8.28515625" style="1" bestFit="1" customWidth="1"/>
    <col min="25" max="25" width="5.140625" style="1" bestFit="1" customWidth="1"/>
    <col min="26" max="26" width="8.42578125" style="1" bestFit="1" customWidth="1"/>
    <col min="27" max="27" width="2.85546875" style="1" customWidth="1"/>
    <col min="28" max="28" width="4" style="1" customWidth="1"/>
    <col min="29" max="29" width="25.85546875" style="1" customWidth="1"/>
    <col min="30" max="35" width="8.85546875" style="1"/>
    <col min="36" max="36" width="99.140625" style="1" customWidth="1"/>
    <col min="37" max="16384" width="8.85546875" style="1"/>
  </cols>
  <sheetData>
    <row r="1" spans="2:26" ht="18" customHeight="1" thickBot="1" x14ac:dyDescent="0.3"/>
    <row r="2" spans="2:26" ht="21.75" x14ac:dyDescent="0.4">
      <c r="B2" s="27" t="s">
        <v>39</v>
      </c>
      <c r="C2" s="4" t="s">
        <v>0</v>
      </c>
      <c r="D2" s="5"/>
      <c r="E2" s="44" t="s">
        <v>469</v>
      </c>
      <c r="F2" s="45" t="s">
        <v>470</v>
      </c>
      <c r="G2" s="46" t="s">
        <v>468</v>
      </c>
      <c r="H2" s="6"/>
      <c r="I2" s="49" t="s">
        <v>471</v>
      </c>
      <c r="J2" s="51" t="s">
        <v>474</v>
      </c>
      <c r="K2" s="50" t="s">
        <v>472</v>
      </c>
      <c r="L2" s="47" t="s">
        <v>473</v>
      </c>
      <c r="M2" s="52" t="s">
        <v>474</v>
      </c>
      <c r="N2" s="52" t="s">
        <v>477</v>
      </c>
      <c r="O2" s="52" t="s">
        <v>482</v>
      </c>
      <c r="P2" s="48" t="s">
        <v>475</v>
      </c>
      <c r="Q2" s="53" t="s">
        <v>476</v>
      </c>
      <c r="R2" s="54" t="s">
        <v>477</v>
      </c>
      <c r="S2" s="54" t="s">
        <v>480</v>
      </c>
      <c r="T2" s="54" t="s">
        <v>483</v>
      </c>
      <c r="U2" s="54" t="s">
        <v>484</v>
      </c>
      <c r="V2" s="55" t="s">
        <v>478</v>
      </c>
      <c r="W2" s="56" t="s">
        <v>479</v>
      </c>
      <c r="X2" s="57" t="s">
        <v>480</v>
      </c>
      <c r="Y2" s="82" t="s">
        <v>481</v>
      </c>
      <c r="Z2" s="91" t="s">
        <v>574</v>
      </c>
    </row>
    <row r="3" spans="2:26" ht="18.75" x14ac:dyDescent="0.3">
      <c r="B3" s="43" t="s">
        <v>24</v>
      </c>
      <c r="C3" s="39" t="s">
        <v>367</v>
      </c>
      <c r="D3" s="8"/>
      <c r="E3" s="9" t="s">
        <v>1</v>
      </c>
      <c r="F3" s="10" t="s">
        <v>2</v>
      </c>
      <c r="G3" s="11">
        <v>1</v>
      </c>
      <c r="H3" s="40"/>
      <c r="I3" s="29" t="s">
        <v>42</v>
      </c>
      <c r="J3" s="30" t="s">
        <v>49</v>
      </c>
      <c r="K3" s="31" t="s">
        <v>71</v>
      </c>
      <c r="L3" s="29" t="s">
        <v>72</v>
      </c>
      <c r="M3" s="30" t="s">
        <v>73</v>
      </c>
      <c r="N3" s="30" t="s">
        <v>173</v>
      </c>
      <c r="O3" s="32" t="s">
        <v>174</v>
      </c>
      <c r="P3" s="31" t="s">
        <v>95</v>
      </c>
      <c r="Q3" s="29" t="s">
        <v>96</v>
      </c>
      <c r="R3" s="30" t="s">
        <v>97</v>
      </c>
      <c r="S3" s="30" t="s">
        <v>175</v>
      </c>
      <c r="T3" s="32" t="s">
        <v>176</v>
      </c>
      <c r="U3" s="30" t="s">
        <v>177</v>
      </c>
      <c r="V3" s="31" t="s">
        <v>178</v>
      </c>
      <c r="W3" s="29" t="s">
        <v>179</v>
      </c>
      <c r="X3" s="30" t="s">
        <v>180</v>
      </c>
      <c r="Y3" s="83" t="s">
        <v>181</v>
      </c>
      <c r="Z3" s="87" t="s">
        <v>557</v>
      </c>
    </row>
    <row r="4" spans="2:26" ht="23.45" customHeight="1" x14ac:dyDescent="0.3">
      <c r="B4" s="43" t="s">
        <v>25</v>
      </c>
      <c r="C4" s="39" t="s">
        <v>368</v>
      </c>
      <c r="D4" s="8"/>
      <c r="E4" s="9" t="s">
        <v>1</v>
      </c>
      <c r="F4" s="10" t="s">
        <v>2</v>
      </c>
      <c r="G4" s="11">
        <v>2</v>
      </c>
      <c r="H4" s="40"/>
      <c r="I4" s="60" t="s">
        <v>43</v>
      </c>
      <c r="J4" s="61" t="s">
        <v>50</v>
      </c>
      <c r="K4" s="62" t="s">
        <v>74</v>
      </c>
      <c r="L4" s="63" t="s">
        <v>75</v>
      </c>
      <c r="M4" s="64" t="s">
        <v>76</v>
      </c>
      <c r="N4" s="65" t="s">
        <v>182</v>
      </c>
      <c r="O4" s="66" t="s">
        <v>183</v>
      </c>
      <c r="P4" s="67" t="s">
        <v>98</v>
      </c>
      <c r="Q4" s="63" t="s">
        <v>99</v>
      </c>
      <c r="R4" s="64" t="s">
        <v>100</v>
      </c>
      <c r="S4" s="64" t="s">
        <v>184</v>
      </c>
      <c r="T4" s="66" t="s">
        <v>185</v>
      </c>
      <c r="U4" s="64" t="s">
        <v>186</v>
      </c>
      <c r="V4" s="67" t="s">
        <v>187</v>
      </c>
      <c r="W4" s="63" t="s">
        <v>188</v>
      </c>
      <c r="X4" s="64" t="s">
        <v>189</v>
      </c>
      <c r="Y4" s="84" t="s">
        <v>190</v>
      </c>
      <c r="Z4" s="88" t="s">
        <v>417</v>
      </c>
    </row>
    <row r="5" spans="2:26" ht="27" customHeight="1" x14ac:dyDescent="0.3">
      <c r="B5" s="43" t="s">
        <v>28</v>
      </c>
      <c r="C5" s="39" t="s">
        <v>369</v>
      </c>
      <c r="D5" s="8"/>
      <c r="E5" s="9" t="s">
        <v>545</v>
      </c>
      <c r="F5" s="10" t="s">
        <v>4</v>
      </c>
      <c r="G5" s="11">
        <v>3</v>
      </c>
      <c r="H5" s="40"/>
      <c r="I5" s="60" t="s">
        <v>44</v>
      </c>
      <c r="J5" s="64" t="s">
        <v>51</v>
      </c>
      <c r="K5" s="67" t="s">
        <v>77</v>
      </c>
      <c r="L5" s="68" t="s">
        <v>78</v>
      </c>
      <c r="M5" s="69" t="s">
        <v>79</v>
      </c>
      <c r="N5" s="70" t="s">
        <v>169</v>
      </c>
      <c r="O5" s="69" t="s">
        <v>191</v>
      </c>
      <c r="P5" s="71" t="s">
        <v>101</v>
      </c>
      <c r="Q5" s="63" t="s">
        <v>397</v>
      </c>
      <c r="R5" s="65" t="s">
        <v>102</v>
      </c>
      <c r="S5" s="64" t="s">
        <v>192</v>
      </c>
      <c r="T5" s="64" t="s">
        <v>193</v>
      </c>
      <c r="U5" s="64" t="s">
        <v>194</v>
      </c>
      <c r="V5" s="67" t="s">
        <v>195</v>
      </c>
      <c r="W5" s="63" t="s">
        <v>196</v>
      </c>
      <c r="X5" s="64" t="s">
        <v>197</v>
      </c>
      <c r="Y5" s="84" t="s">
        <v>198</v>
      </c>
      <c r="Z5" s="88" t="s">
        <v>418</v>
      </c>
    </row>
    <row r="6" spans="2:26" ht="27" customHeight="1" x14ac:dyDescent="0.3">
      <c r="B6" s="43" t="s">
        <v>26</v>
      </c>
      <c r="C6" s="39" t="s">
        <v>370</v>
      </c>
      <c r="D6" s="8"/>
      <c r="E6" s="9" t="s">
        <v>546</v>
      </c>
      <c r="F6" s="10" t="s">
        <v>6</v>
      </c>
      <c r="G6" s="11">
        <v>4</v>
      </c>
      <c r="H6" s="40"/>
      <c r="I6" s="63" t="s">
        <v>45</v>
      </c>
      <c r="J6" s="64" t="s">
        <v>52</v>
      </c>
      <c r="K6" s="67" t="s">
        <v>80</v>
      </c>
      <c r="L6" s="68" t="s">
        <v>81</v>
      </c>
      <c r="M6" s="64" t="s">
        <v>82</v>
      </c>
      <c r="N6" s="64" t="s">
        <v>170</v>
      </c>
      <c r="O6" s="64" t="s">
        <v>199</v>
      </c>
      <c r="P6" s="67" t="s">
        <v>103</v>
      </c>
      <c r="Q6" s="72" t="s">
        <v>398</v>
      </c>
      <c r="R6" s="73" t="s">
        <v>104</v>
      </c>
      <c r="S6" s="73" t="s">
        <v>200</v>
      </c>
      <c r="T6" s="73" t="s">
        <v>201</v>
      </c>
      <c r="U6" s="73" t="s">
        <v>202</v>
      </c>
      <c r="V6" s="74" t="s">
        <v>203</v>
      </c>
      <c r="W6" s="63" t="s">
        <v>204</v>
      </c>
      <c r="X6" s="64" t="s">
        <v>205</v>
      </c>
      <c r="Y6" s="84" t="s">
        <v>206</v>
      </c>
      <c r="Z6" s="88" t="s">
        <v>419</v>
      </c>
    </row>
    <row r="7" spans="2:26" ht="25.15" customHeight="1" x14ac:dyDescent="0.3">
      <c r="B7" s="43" t="s">
        <v>29</v>
      </c>
      <c r="C7" s="39" t="s">
        <v>371</v>
      </c>
      <c r="D7" s="8"/>
      <c r="E7" s="9" t="s">
        <v>546</v>
      </c>
      <c r="F7" s="10" t="s">
        <v>7</v>
      </c>
      <c r="G7" s="11">
        <v>5</v>
      </c>
      <c r="H7" s="40"/>
      <c r="I7" s="63" t="s">
        <v>46</v>
      </c>
      <c r="J7" s="64" t="s">
        <v>53</v>
      </c>
      <c r="K7" s="67" t="s">
        <v>83</v>
      </c>
      <c r="L7" s="63" t="s">
        <v>84</v>
      </c>
      <c r="M7" s="64" t="s">
        <v>85</v>
      </c>
      <c r="N7" s="64" t="s">
        <v>171</v>
      </c>
      <c r="O7" s="64" t="s">
        <v>207</v>
      </c>
      <c r="P7" s="67" t="s">
        <v>105</v>
      </c>
      <c r="Q7" s="72" t="s">
        <v>399</v>
      </c>
      <c r="R7" s="64" t="s">
        <v>106</v>
      </c>
      <c r="S7" s="65" t="s">
        <v>208</v>
      </c>
      <c r="T7" s="64" t="s">
        <v>209</v>
      </c>
      <c r="U7" s="64" t="s">
        <v>210</v>
      </c>
      <c r="V7" s="67" t="s">
        <v>211</v>
      </c>
      <c r="W7" s="75" t="s">
        <v>212</v>
      </c>
      <c r="X7" s="76" t="s">
        <v>213</v>
      </c>
      <c r="Y7" s="85" t="s">
        <v>214</v>
      </c>
      <c r="Z7" s="88" t="s">
        <v>420</v>
      </c>
    </row>
    <row r="8" spans="2:26" ht="28.9" customHeight="1" thickBot="1" x14ac:dyDescent="0.35">
      <c r="B8" s="43" t="s">
        <v>27</v>
      </c>
      <c r="C8" s="39" t="s">
        <v>372</v>
      </c>
      <c r="D8" s="8"/>
      <c r="E8" s="9" t="s">
        <v>5</v>
      </c>
      <c r="F8" s="10" t="s">
        <v>8</v>
      </c>
      <c r="G8" s="11">
        <v>6</v>
      </c>
      <c r="H8" s="40"/>
      <c r="I8" s="63" t="s">
        <v>47</v>
      </c>
      <c r="J8" s="79" t="s">
        <v>54</v>
      </c>
      <c r="K8" s="67" t="s">
        <v>86</v>
      </c>
      <c r="L8" s="63" t="s">
        <v>87</v>
      </c>
      <c r="M8" s="64" t="s">
        <v>88</v>
      </c>
      <c r="N8" s="64" t="s">
        <v>172</v>
      </c>
      <c r="O8" s="64" t="s">
        <v>215</v>
      </c>
      <c r="P8" s="67" t="s">
        <v>107</v>
      </c>
      <c r="Q8" s="63" t="s">
        <v>400</v>
      </c>
      <c r="R8" s="64" t="s">
        <v>108</v>
      </c>
      <c r="S8" s="64" t="s">
        <v>216</v>
      </c>
      <c r="T8" s="64" t="s">
        <v>217</v>
      </c>
      <c r="U8" s="64" t="s">
        <v>218</v>
      </c>
      <c r="V8" s="67" t="s">
        <v>219</v>
      </c>
      <c r="W8" s="75" t="s">
        <v>220</v>
      </c>
      <c r="X8" s="65" t="s">
        <v>221</v>
      </c>
      <c r="Y8" s="84" t="s">
        <v>222</v>
      </c>
      <c r="Z8" s="88" t="s">
        <v>421</v>
      </c>
    </row>
    <row r="9" spans="2:26" ht="19.5" thickBot="1" x14ac:dyDescent="0.35">
      <c r="B9" s="43" t="s">
        <v>30</v>
      </c>
      <c r="C9" s="39" t="s">
        <v>373</v>
      </c>
      <c r="D9" s="8"/>
      <c r="E9" s="9" t="s">
        <v>9</v>
      </c>
      <c r="F9" s="10" t="s">
        <v>10</v>
      </c>
      <c r="G9" s="11">
        <v>7</v>
      </c>
      <c r="H9" s="40"/>
      <c r="I9" s="77" t="s">
        <v>48</v>
      </c>
      <c r="J9" s="81" t="s">
        <v>55</v>
      </c>
      <c r="K9" s="78" t="s">
        <v>89</v>
      </c>
      <c r="L9" s="29" t="s">
        <v>90</v>
      </c>
      <c r="M9" s="33" t="s">
        <v>91</v>
      </c>
      <c r="N9" s="30" t="s">
        <v>223</v>
      </c>
      <c r="O9" s="32" t="s">
        <v>224</v>
      </c>
      <c r="P9" s="31" t="s">
        <v>109</v>
      </c>
      <c r="Q9" s="29" t="s">
        <v>401</v>
      </c>
      <c r="R9" s="30" t="s">
        <v>110</v>
      </c>
      <c r="S9" s="30" t="s">
        <v>225</v>
      </c>
      <c r="T9" s="32" t="s">
        <v>226</v>
      </c>
      <c r="U9" s="30" t="s">
        <v>227</v>
      </c>
      <c r="V9" s="31" t="s">
        <v>228</v>
      </c>
      <c r="W9" s="29" t="s">
        <v>229</v>
      </c>
      <c r="X9" s="30" t="s">
        <v>230</v>
      </c>
      <c r="Y9" s="83" t="s">
        <v>231</v>
      </c>
      <c r="Z9" s="87" t="s">
        <v>422</v>
      </c>
    </row>
    <row r="10" spans="2:26" ht="18.75" x14ac:dyDescent="0.3">
      <c r="B10" s="43" t="s">
        <v>31</v>
      </c>
      <c r="C10" s="39" t="s">
        <v>374</v>
      </c>
      <c r="D10" s="8"/>
      <c r="E10" s="13" t="s">
        <v>382</v>
      </c>
      <c r="F10" s="14" t="s">
        <v>575</v>
      </c>
      <c r="G10" s="15">
        <v>8</v>
      </c>
      <c r="H10" s="40"/>
      <c r="I10" s="29" t="s">
        <v>423</v>
      </c>
      <c r="J10" s="80" t="s">
        <v>56</v>
      </c>
      <c r="K10" s="31" t="s">
        <v>92</v>
      </c>
      <c r="L10" s="29" t="s">
        <v>93</v>
      </c>
      <c r="M10" s="33" t="s">
        <v>94</v>
      </c>
      <c r="N10" s="30" t="s">
        <v>232</v>
      </c>
      <c r="O10" s="32" t="s">
        <v>233</v>
      </c>
      <c r="P10" s="58" t="s">
        <v>111</v>
      </c>
      <c r="Q10" s="29" t="s">
        <v>402</v>
      </c>
      <c r="R10" s="30" t="s">
        <v>112</v>
      </c>
      <c r="S10" s="30" t="s">
        <v>234</v>
      </c>
      <c r="T10" s="32" t="s">
        <v>235</v>
      </c>
      <c r="U10" s="30" t="s">
        <v>236</v>
      </c>
      <c r="V10" s="59" t="s">
        <v>237</v>
      </c>
      <c r="W10" s="29" t="s">
        <v>238</v>
      </c>
      <c r="X10" s="30" t="s">
        <v>239</v>
      </c>
      <c r="Y10" s="83" t="s">
        <v>240</v>
      </c>
      <c r="Z10" s="90" t="s">
        <v>424</v>
      </c>
    </row>
    <row r="11" spans="2:26" ht="18.75" x14ac:dyDescent="0.3">
      <c r="B11" s="43" t="s">
        <v>32</v>
      </c>
      <c r="C11" s="39" t="s">
        <v>376</v>
      </c>
      <c r="D11" s="8"/>
      <c r="E11" s="9" t="s">
        <v>383</v>
      </c>
      <c r="F11" s="10" t="s">
        <v>11</v>
      </c>
      <c r="G11" s="11">
        <v>9</v>
      </c>
      <c r="H11" s="40"/>
      <c r="I11" s="29" t="s">
        <v>425</v>
      </c>
      <c r="J11" s="32" t="s">
        <v>57</v>
      </c>
      <c r="K11" s="31" t="s">
        <v>141</v>
      </c>
      <c r="L11" s="29" t="s">
        <v>426</v>
      </c>
      <c r="M11" s="34" t="s">
        <v>155</v>
      </c>
      <c r="N11" s="30" t="s">
        <v>241</v>
      </c>
      <c r="O11" s="30" t="s">
        <v>242</v>
      </c>
      <c r="P11" s="31" t="s">
        <v>113</v>
      </c>
      <c r="Q11" s="29" t="s">
        <v>403</v>
      </c>
      <c r="R11" s="30" t="s">
        <v>114</v>
      </c>
      <c r="S11" s="30" t="s">
        <v>243</v>
      </c>
      <c r="T11" s="30" t="s">
        <v>244</v>
      </c>
      <c r="U11" s="30" t="s">
        <v>245</v>
      </c>
      <c r="V11" s="31" t="s">
        <v>246</v>
      </c>
      <c r="W11" s="29" t="s">
        <v>247</v>
      </c>
      <c r="X11" s="30" t="s">
        <v>248</v>
      </c>
      <c r="Y11" s="83" t="s">
        <v>249</v>
      </c>
      <c r="Z11" s="87" t="s">
        <v>427</v>
      </c>
    </row>
    <row r="12" spans="2:26" ht="16.5" x14ac:dyDescent="0.3">
      <c r="B12" s="7"/>
      <c r="C12" s="16"/>
      <c r="D12" s="8"/>
      <c r="E12" s="9" t="s">
        <v>384</v>
      </c>
      <c r="F12" s="10" t="s">
        <v>12</v>
      </c>
      <c r="G12" s="11">
        <v>10</v>
      </c>
      <c r="H12" s="40"/>
      <c r="I12" s="29" t="s">
        <v>428</v>
      </c>
      <c r="J12" s="32" t="s">
        <v>58</v>
      </c>
      <c r="K12" s="31" t="s">
        <v>142</v>
      </c>
      <c r="L12" s="29" t="s">
        <v>429</v>
      </c>
      <c r="M12" s="34" t="s">
        <v>156</v>
      </c>
      <c r="N12" s="30" t="s">
        <v>250</v>
      </c>
      <c r="O12" s="30" t="s">
        <v>251</v>
      </c>
      <c r="P12" s="31" t="s">
        <v>115</v>
      </c>
      <c r="Q12" s="29" t="s">
        <v>404</v>
      </c>
      <c r="R12" s="30" t="s">
        <v>116</v>
      </c>
      <c r="S12" s="30" t="s">
        <v>252</v>
      </c>
      <c r="T12" s="30" t="s">
        <v>253</v>
      </c>
      <c r="U12" s="30" t="s">
        <v>254</v>
      </c>
      <c r="V12" s="31" t="s">
        <v>255</v>
      </c>
      <c r="W12" s="29" t="s">
        <v>256</v>
      </c>
      <c r="X12" s="30" t="s">
        <v>257</v>
      </c>
      <c r="Y12" s="83" t="s">
        <v>258</v>
      </c>
      <c r="Z12" s="87" t="s">
        <v>430</v>
      </c>
    </row>
    <row r="13" spans="2:26" ht="16.5" x14ac:dyDescent="0.3">
      <c r="B13" s="28" t="s">
        <v>40</v>
      </c>
      <c r="C13" s="17" t="s">
        <v>0</v>
      </c>
      <c r="D13" s="8"/>
      <c r="E13" s="9" t="s">
        <v>385</v>
      </c>
      <c r="F13" s="10" t="s">
        <v>13</v>
      </c>
      <c r="G13" s="11">
        <v>11</v>
      </c>
      <c r="H13" s="40"/>
      <c r="I13" s="29" t="s">
        <v>431</v>
      </c>
      <c r="J13" s="32" t="s">
        <v>59</v>
      </c>
      <c r="K13" s="31" t="s">
        <v>143</v>
      </c>
      <c r="L13" s="29" t="s">
        <v>432</v>
      </c>
      <c r="M13" s="34" t="s">
        <v>157</v>
      </c>
      <c r="N13" s="30" t="s">
        <v>259</v>
      </c>
      <c r="O13" s="30" t="s">
        <v>260</v>
      </c>
      <c r="P13" s="31" t="s">
        <v>117</v>
      </c>
      <c r="Q13" s="29" t="s">
        <v>405</v>
      </c>
      <c r="R13" s="30" t="s">
        <v>118</v>
      </c>
      <c r="S13" s="30" t="s">
        <v>261</v>
      </c>
      <c r="T13" s="30" t="s">
        <v>262</v>
      </c>
      <c r="U13" s="30" t="s">
        <v>263</v>
      </c>
      <c r="V13" s="31" t="s">
        <v>264</v>
      </c>
      <c r="W13" s="29" t="s">
        <v>265</v>
      </c>
      <c r="X13" s="30" t="s">
        <v>266</v>
      </c>
      <c r="Y13" s="83" t="s">
        <v>267</v>
      </c>
      <c r="Z13" s="87" t="s">
        <v>433</v>
      </c>
    </row>
    <row r="14" spans="2:26" ht="18.75" x14ac:dyDescent="0.3">
      <c r="B14" s="43" t="s">
        <v>33</v>
      </c>
      <c r="C14" s="16" t="s">
        <v>375</v>
      </c>
      <c r="D14" s="8"/>
      <c r="E14" s="9" t="s">
        <v>386</v>
      </c>
      <c r="F14" s="10" t="s">
        <v>14</v>
      </c>
      <c r="G14" s="11">
        <v>12</v>
      </c>
      <c r="H14" s="40"/>
      <c r="I14" s="29" t="s">
        <v>434</v>
      </c>
      <c r="J14" s="32" t="s">
        <v>60</v>
      </c>
      <c r="K14" s="31" t="s">
        <v>144</v>
      </c>
      <c r="L14" s="29" t="s">
        <v>435</v>
      </c>
      <c r="M14" s="34" t="s">
        <v>158</v>
      </c>
      <c r="N14" s="30" t="s">
        <v>268</v>
      </c>
      <c r="O14" s="30" t="s">
        <v>269</v>
      </c>
      <c r="P14" s="31" t="s">
        <v>119</v>
      </c>
      <c r="Q14" s="29" t="s">
        <v>406</v>
      </c>
      <c r="R14" s="30" t="s">
        <v>120</v>
      </c>
      <c r="S14" s="30" t="s">
        <v>270</v>
      </c>
      <c r="T14" s="30" t="s">
        <v>271</v>
      </c>
      <c r="U14" s="30" t="s">
        <v>272</v>
      </c>
      <c r="V14" s="31" t="s">
        <v>273</v>
      </c>
      <c r="W14" s="29" t="s">
        <v>274</v>
      </c>
      <c r="X14" s="30" t="s">
        <v>275</v>
      </c>
      <c r="Y14" s="83" t="s">
        <v>276</v>
      </c>
      <c r="Z14" s="87" t="s">
        <v>436</v>
      </c>
    </row>
    <row r="15" spans="2:26" ht="18.75" x14ac:dyDescent="0.3">
      <c r="B15" s="43" t="s">
        <v>34</v>
      </c>
      <c r="C15" s="16" t="s">
        <v>377</v>
      </c>
      <c r="D15" s="8"/>
      <c r="E15" s="9" t="s">
        <v>387</v>
      </c>
      <c r="F15" s="10" t="s">
        <v>15</v>
      </c>
      <c r="G15" s="11">
        <v>13</v>
      </c>
      <c r="H15" s="40"/>
      <c r="I15" s="29" t="s">
        <v>437</v>
      </c>
      <c r="J15" s="32" t="s">
        <v>61</v>
      </c>
      <c r="K15" s="31" t="s">
        <v>145</v>
      </c>
      <c r="L15" s="29" t="s">
        <v>438</v>
      </c>
      <c r="M15" s="34" t="s">
        <v>159</v>
      </c>
      <c r="N15" s="30" t="s">
        <v>277</v>
      </c>
      <c r="O15" s="30" t="s">
        <v>278</v>
      </c>
      <c r="P15" s="31" t="s">
        <v>121</v>
      </c>
      <c r="Q15" s="29" t="s">
        <v>407</v>
      </c>
      <c r="R15" s="30" t="s">
        <v>122</v>
      </c>
      <c r="S15" s="30" t="s">
        <v>279</v>
      </c>
      <c r="T15" s="30" t="s">
        <v>280</v>
      </c>
      <c r="U15" s="30" t="s">
        <v>281</v>
      </c>
      <c r="V15" s="31" t="s">
        <v>282</v>
      </c>
      <c r="W15" s="29" t="s">
        <v>283</v>
      </c>
      <c r="X15" s="30" t="s">
        <v>284</v>
      </c>
      <c r="Y15" s="83" t="s">
        <v>285</v>
      </c>
      <c r="Z15" s="87" t="s">
        <v>439</v>
      </c>
    </row>
    <row r="16" spans="2:26" ht="16.5" x14ac:dyDescent="0.3">
      <c r="B16" s="7"/>
      <c r="C16" s="16"/>
      <c r="D16" s="8"/>
      <c r="E16" s="9" t="s">
        <v>388</v>
      </c>
      <c r="F16" s="10" t="s">
        <v>16</v>
      </c>
      <c r="G16" s="11">
        <v>14</v>
      </c>
      <c r="H16" s="40"/>
      <c r="I16" s="29" t="s">
        <v>440</v>
      </c>
      <c r="J16" s="32" t="s">
        <v>62</v>
      </c>
      <c r="K16" s="31" t="s">
        <v>146</v>
      </c>
      <c r="L16" s="29" t="s">
        <v>441</v>
      </c>
      <c r="M16" s="34" t="s">
        <v>160</v>
      </c>
      <c r="N16" s="30" t="s">
        <v>286</v>
      </c>
      <c r="O16" s="30" t="s">
        <v>287</v>
      </c>
      <c r="P16" s="31" t="s">
        <v>123</v>
      </c>
      <c r="Q16" s="29" t="s">
        <v>408</v>
      </c>
      <c r="R16" s="30" t="s">
        <v>124</v>
      </c>
      <c r="S16" s="30" t="s">
        <v>288</v>
      </c>
      <c r="T16" s="30" t="s">
        <v>289</v>
      </c>
      <c r="U16" s="30" t="s">
        <v>290</v>
      </c>
      <c r="V16" s="31" t="s">
        <v>291</v>
      </c>
      <c r="W16" s="29" t="s">
        <v>292</v>
      </c>
      <c r="X16" s="30" t="s">
        <v>293</v>
      </c>
      <c r="Y16" s="83" t="s">
        <v>294</v>
      </c>
      <c r="Z16" s="87" t="s">
        <v>442</v>
      </c>
    </row>
    <row r="17" spans="2:26" ht="16.5" x14ac:dyDescent="0.3">
      <c r="B17" s="28" t="s">
        <v>41</v>
      </c>
      <c r="C17" s="17" t="s">
        <v>0</v>
      </c>
      <c r="D17" s="8"/>
      <c r="E17" s="9" t="s">
        <v>389</v>
      </c>
      <c r="F17" s="10" t="s">
        <v>17</v>
      </c>
      <c r="G17" s="11">
        <v>15</v>
      </c>
      <c r="H17" s="40"/>
      <c r="I17" s="29" t="s">
        <v>443</v>
      </c>
      <c r="J17" s="32" t="s">
        <v>63</v>
      </c>
      <c r="K17" s="31" t="s">
        <v>147</v>
      </c>
      <c r="L17" s="29" t="s">
        <v>444</v>
      </c>
      <c r="M17" s="34" t="s">
        <v>161</v>
      </c>
      <c r="N17" s="30" t="s">
        <v>295</v>
      </c>
      <c r="O17" s="30" t="s">
        <v>296</v>
      </c>
      <c r="P17" s="31" t="s">
        <v>125</v>
      </c>
      <c r="Q17" s="29" t="s">
        <v>409</v>
      </c>
      <c r="R17" s="30" t="s">
        <v>126</v>
      </c>
      <c r="S17" s="30" t="s">
        <v>297</v>
      </c>
      <c r="T17" s="30" t="s">
        <v>298</v>
      </c>
      <c r="U17" s="30" t="s">
        <v>299</v>
      </c>
      <c r="V17" s="31" t="s">
        <v>300</v>
      </c>
      <c r="W17" s="29" t="s">
        <v>301</v>
      </c>
      <c r="X17" s="30" t="s">
        <v>302</v>
      </c>
      <c r="Y17" s="83" t="s">
        <v>303</v>
      </c>
      <c r="Z17" s="87" t="s">
        <v>445</v>
      </c>
    </row>
    <row r="18" spans="2:26" ht="18.75" x14ac:dyDescent="0.3">
      <c r="B18" s="43" t="s">
        <v>35</v>
      </c>
      <c r="C18" s="16" t="s">
        <v>378</v>
      </c>
      <c r="D18" s="8"/>
      <c r="E18" s="9" t="s">
        <v>390</v>
      </c>
      <c r="F18" s="10" t="s">
        <v>18</v>
      </c>
      <c r="G18" s="11">
        <v>16</v>
      </c>
      <c r="H18" s="40"/>
      <c r="I18" s="29" t="s">
        <v>446</v>
      </c>
      <c r="J18" s="32" t="s">
        <v>64</v>
      </c>
      <c r="K18" s="31" t="s">
        <v>148</v>
      </c>
      <c r="L18" s="29" t="s">
        <v>447</v>
      </c>
      <c r="M18" s="34" t="s">
        <v>162</v>
      </c>
      <c r="N18" s="30" t="s">
        <v>304</v>
      </c>
      <c r="O18" s="30" t="s">
        <v>305</v>
      </c>
      <c r="P18" s="31" t="s">
        <v>127</v>
      </c>
      <c r="Q18" s="29" t="s">
        <v>410</v>
      </c>
      <c r="R18" s="30" t="s">
        <v>128</v>
      </c>
      <c r="S18" s="30" t="s">
        <v>306</v>
      </c>
      <c r="T18" s="30" t="s">
        <v>307</v>
      </c>
      <c r="U18" s="30" t="s">
        <v>308</v>
      </c>
      <c r="V18" s="31" t="s">
        <v>309</v>
      </c>
      <c r="W18" s="29" t="s">
        <v>310</v>
      </c>
      <c r="X18" s="30" t="s">
        <v>311</v>
      </c>
      <c r="Y18" s="83" t="s">
        <v>312</v>
      </c>
      <c r="Z18" s="87" t="s">
        <v>448</v>
      </c>
    </row>
    <row r="19" spans="2:26" ht="18.75" x14ac:dyDescent="0.3">
      <c r="B19" s="43" t="s">
        <v>36</v>
      </c>
      <c r="C19" s="16" t="s">
        <v>379</v>
      </c>
      <c r="D19" s="8"/>
      <c r="E19" s="9" t="s">
        <v>391</v>
      </c>
      <c r="F19" s="10" t="s">
        <v>19</v>
      </c>
      <c r="G19" s="11">
        <v>17</v>
      </c>
      <c r="H19" s="40"/>
      <c r="I19" s="29" t="s">
        <v>449</v>
      </c>
      <c r="J19" s="32" t="s">
        <v>65</v>
      </c>
      <c r="K19" s="31" t="s">
        <v>149</v>
      </c>
      <c r="L19" s="29" t="s">
        <v>450</v>
      </c>
      <c r="M19" s="34" t="s">
        <v>163</v>
      </c>
      <c r="N19" s="30" t="s">
        <v>313</v>
      </c>
      <c r="O19" s="30" t="s">
        <v>314</v>
      </c>
      <c r="P19" s="31" t="s">
        <v>129</v>
      </c>
      <c r="Q19" s="29" t="s">
        <v>411</v>
      </c>
      <c r="R19" s="30" t="s">
        <v>130</v>
      </c>
      <c r="S19" s="30" t="s">
        <v>315</v>
      </c>
      <c r="T19" s="30" t="s">
        <v>316</v>
      </c>
      <c r="U19" s="30" t="s">
        <v>317</v>
      </c>
      <c r="V19" s="31" t="s">
        <v>318</v>
      </c>
      <c r="W19" s="29" t="s">
        <v>319</v>
      </c>
      <c r="X19" s="30" t="s">
        <v>320</v>
      </c>
      <c r="Y19" s="83" t="s">
        <v>321</v>
      </c>
      <c r="Z19" s="87" t="s">
        <v>451</v>
      </c>
    </row>
    <row r="20" spans="2:26" ht="18.75" x14ac:dyDescent="0.3">
      <c r="B20" s="43" t="s">
        <v>37</v>
      </c>
      <c r="C20" s="16" t="s">
        <v>380</v>
      </c>
      <c r="D20" s="8"/>
      <c r="E20" s="9" t="s">
        <v>392</v>
      </c>
      <c r="F20" s="10" t="s">
        <v>20</v>
      </c>
      <c r="G20" s="11">
        <v>18</v>
      </c>
      <c r="H20" s="40"/>
      <c r="I20" s="29" t="s">
        <v>452</v>
      </c>
      <c r="J20" s="32" t="s">
        <v>66</v>
      </c>
      <c r="K20" s="31" t="s">
        <v>150</v>
      </c>
      <c r="L20" s="29" t="s">
        <v>453</v>
      </c>
      <c r="M20" s="34" t="s">
        <v>164</v>
      </c>
      <c r="N20" s="30" t="s">
        <v>322</v>
      </c>
      <c r="O20" s="30" t="s">
        <v>323</v>
      </c>
      <c r="P20" s="31" t="s">
        <v>131</v>
      </c>
      <c r="Q20" s="29" t="s">
        <v>412</v>
      </c>
      <c r="R20" s="30" t="s">
        <v>132</v>
      </c>
      <c r="S20" s="30" t="s">
        <v>324</v>
      </c>
      <c r="T20" s="30" t="s">
        <v>325</v>
      </c>
      <c r="U20" s="30" t="s">
        <v>326</v>
      </c>
      <c r="V20" s="31" t="s">
        <v>327</v>
      </c>
      <c r="W20" s="29" t="s">
        <v>328</v>
      </c>
      <c r="X20" s="30" t="s">
        <v>329</v>
      </c>
      <c r="Y20" s="83" t="s">
        <v>330</v>
      </c>
      <c r="Z20" s="87" t="s">
        <v>454</v>
      </c>
    </row>
    <row r="21" spans="2:26" ht="18.75" x14ac:dyDescent="0.3">
      <c r="B21" s="43" t="s">
        <v>38</v>
      </c>
      <c r="C21" s="16" t="s">
        <v>381</v>
      </c>
      <c r="D21" s="8"/>
      <c r="E21" s="9" t="s">
        <v>393</v>
      </c>
      <c r="F21" s="10" t="s">
        <v>21</v>
      </c>
      <c r="G21" s="11">
        <v>19</v>
      </c>
      <c r="H21" s="40"/>
      <c r="I21" s="29" t="s">
        <v>455</v>
      </c>
      <c r="J21" s="32" t="s">
        <v>67</v>
      </c>
      <c r="K21" s="31" t="s">
        <v>151</v>
      </c>
      <c r="L21" s="29" t="s">
        <v>456</v>
      </c>
      <c r="M21" s="34" t="s">
        <v>165</v>
      </c>
      <c r="N21" s="30" t="s">
        <v>331</v>
      </c>
      <c r="O21" s="30" t="s">
        <v>332</v>
      </c>
      <c r="P21" s="31" t="s">
        <v>133</v>
      </c>
      <c r="Q21" s="29" t="s">
        <v>413</v>
      </c>
      <c r="R21" s="30" t="s">
        <v>134</v>
      </c>
      <c r="S21" s="30" t="s">
        <v>333</v>
      </c>
      <c r="T21" s="30" t="s">
        <v>334</v>
      </c>
      <c r="U21" s="30" t="s">
        <v>335</v>
      </c>
      <c r="V21" s="31" t="s">
        <v>336</v>
      </c>
      <c r="W21" s="29" t="s">
        <v>337</v>
      </c>
      <c r="X21" s="30" t="s">
        <v>338</v>
      </c>
      <c r="Y21" s="83" t="s">
        <v>339</v>
      </c>
      <c r="Z21" s="87" t="s">
        <v>457</v>
      </c>
    </row>
    <row r="22" spans="2:26" ht="16.5" x14ac:dyDescent="0.3">
      <c r="B22" s="7"/>
      <c r="C22" s="16"/>
      <c r="D22" s="8"/>
      <c r="E22" s="9" t="s">
        <v>394</v>
      </c>
      <c r="F22" s="10" t="s">
        <v>22</v>
      </c>
      <c r="G22" s="11">
        <v>20</v>
      </c>
      <c r="H22" s="40"/>
      <c r="I22" s="29" t="s">
        <v>458</v>
      </c>
      <c r="J22" s="32" t="s">
        <v>68</v>
      </c>
      <c r="K22" s="31" t="s">
        <v>152</v>
      </c>
      <c r="L22" s="29" t="s">
        <v>459</v>
      </c>
      <c r="M22" s="34" t="s">
        <v>166</v>
      </c>
      <c r="N22" s="30" t="s">
        <v>340</v>
      </c>
      <c r="O22" s="30" t="s">
        <v>341</v>
      </c>
      <c r="P22" s="31" t="s">
        <v>135</v>
      </c>
      <c r="Q22" s="29" t="s">
        <v>414</v>
      </c>
      <c r="R22" s="30" t="s">
        <v>136</v>
      </c>
      <c r="S22" s="30" t="s">
        <v>342</v>
      </c>
      <c r="T22" s="30" t="s">
        <v>343</v>
      </c>
      <c r="U22" s="30" t="s">
        <v>344</v>
      </c>
      <c r="V22" s="31" t="s">
        <v>345</v>
      </c>
      <c r="W22" s="29" t="s">
        <v>346</v>
      </c>
      <c r="X22" s="30" t="s">
        <v>347</v>
      </c>
      <c r="Y22" s="83" t="s">
        <v>348</v>
      </c>
      <c r="Z22" s="87" t="s">
        <v>460</v>
      </c>
    </row>
    <row r="23" spans="2:26" ht="16.5" x14ac:dyDescent="0.3">
      <c r="B23" s="7"/>
      <c r="C23" s="16"/>
      <c r="D23" s="8"/>
      <c r="E23" s="9" t="s">
        <v>395</v>
      </c>
      <c r="F23" s="10" t="s">
        <v>13</v>
      </c>
      <c r="G23" s="11">
        <v>21</v>
      </c>
      <c r="H23" s="40"/>
      <c r="I23" s="29" t="s">
        <v>461</v>
      </c>
      <c r="J23" s="32" t="s">
        <v>69</v>
      </c>
      <c r="K23" s="31" t="s">
        <v>153</v>
      </c>
      <c r="L23" s="29" t="s">
        <v>462</v>
      </c>
      <c r="M23" s="34" t="s">
        <v>167</v>
      </c>
      <c r="N23" s="30" t="s">
        <v>349</v>
      </c>
      <c r="O23" s="30" t="s">
        <v>350</v>
      </c>
      <c r="P23" s="31" t="s">
        <v>137</v>
      </c>
      <c r="Q23" s="29" t="s">
        <v>415</v>
      </c>
      <c r="R23" s="30" t="s">
        <v>138</v>
      </c>
      <c r="S23" s="30" t="s">
        <v>351</v>
      </c>
      <c r="T23" s="30" t="s">
        <v>352</v>
      </c>
      <c r="U23" s="30" t="s">
        <v>353</v>
      </c>
      <c r="V23" s="31" t="s">
        <v>354</v>
      </c>
      <c r="W23" s="29" t="s">
        <v>355</v>
      </c>
      <c r="X23" s="30" t="s">
        <v>356</v>
      </c>
      <c r="Y23" s="83" t="s">
        <v>357</v>
      </c>
      <c r="Z23" s="87" t="s">
        <v>463</v>
      </c>
    </row>
    <row r="24" spans="2:26" ht="17.25" thickBot="1" x14ac:dyDescent="0.35">
      <c r="B24" s="18"/>
      <c r="C24" s="19"/>
      <c r="D24" s="8"/>
      <c r="E24" s="20" t="s">
        <v>396</v>
      </c>
      <c r="F24" s="21" t="s">
        <v>23</v>
      </c>
      <c r="G24" s="22">
        <v>22</v>
      </c>
      <c r="H24" s="40"/>
      <c r="I24" s="35" t="s">
        <v>464</v>
      </c>
      <c r="J24" s="36" t="s">
        <v>70</v>
      </c>
      <c r="K24" s="37" t="s">
        <v>154</v>
      </c>
      <c r="L24" s="35" t="s">
        <v>465</v>
      </c>
      <c r="M24" s="36" t="s">
        <v>168</v>
      </c>
      <c r="N24" s="38" t="s">
        <v>358</v>
      </c>
      <c r="O24" s="38" t="s">
        <v>359</v>
      </c>
      <c r="P24" s="37" t="s">
        <v>139</v>
      </c>
      <c r="Q24" s="35" t="s">
        <v>416</v>
      </c>
      <c r="R24" s="38" t="s">
        <v>140</v>
      </c>
      <c r="S24" s="38" t="s">
        <v>360</v>
      </c>
      <c r="T24" s="38" t="s">
        <v>361</v>
      </c>
      <c r="U24" s="38" t="s">
        <v>362</v>
      </c>
      <c r="V24" s="37" t="s">
        <v>363</v>
      </c>
      <c r="W24" s="35" t="s">
        <v>364</v>
      </c>
      <c r="X24" s="38" t="s">
        <v>365</v>
      </c>
      <c r="Y24" s="86" t="s">
        <v>366</v>
      </c>
      <c r="Z24" s="89" t="s">
        <v>466</v>
      </c>
    </row>
    <row r="25" spans="2:26" ht="4.9000000000000004" customHeight="1" thickBot="1" x14ac:dyDescent="0.35">
      <c r="B25" s="23"/>
      <c r="C25" s="24"/>
      <c r="D25" s="8"/>
      <c r="E25" s="12"/>
      <c r="F25" s="12"/>
      <c r="G25" s="12"/>
      <c r="H25" s="12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2:26" ht="16.149999999999999" customHeight="1" thickBot="1" x14ac:dyDescent="0.35">
      <c r="B26" s="189">
        <v>1</v>
      </c>
      <c r="C26" s="191"/>
      <c r="D26" s="6"/>
      <c r="E26" s="189">
        <v>2</v>
      </c>
      <c r="F26" s="190"/>
      <c r="G26" s="191"/>
      <c r="H26" s="6"/>
      <c r="I26" s="189">
        <v>3</v>
      </c>
      <c r="J26" s="190"/>
      <c r="K26" s="191"/>
      <c r="L26" s="189">
        <v>4</v>
      </c>
      <c r="M26" s="190"/>
      <c r="N26" s="190"/>
      <c r="O26" s="190"/>
      <c r="P26" s="191"/>
      <c r="Q26" s="189">
        <v>5</v>
      </c>
      <c r="R26" s="190"/>
      <c r="S26" s="190"/>
      <c r="T26" s="190"/>
      <c r="U26" s="190"/>
      <c r="V26" s="191"/>
      <c r="W26" s="189">
        <v>6</v>
      </c>
      <c r="X26" s="190"/>
      <c r="Y26" s="191"/>
      <c r="Z26" s="26">
        <v>7</v>
      </c>
    </row>
    <row r="27" spans="2:26" ht="21" customHeight="1" x14ac:dyDescent="0.25"/>
    <row r="28" spans="2:26" ht="31.15" customHeight="1" x14ac:dyDescent="0.25">
      <c r="B28" s="192" t="s">
        <v>579</v>
      </c>
      <c r="C28" s="193"/>
      <c r="D28" s="193"/>
      <c r="E28" s="193"/>
      <c r="F28" s="193"/>
      <c r="G28" s="193"/>
      <c r="H28" s="194"/>
      <c r="I28" s="192" t="s">
        <v>580</v>
      </c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4"/>
    </row>
    <row r="29" spans="2:26" ht="21" customHeight="1" x14ac:dyDescent="0.25">
      <c r="B29" s="188" t="s">
        <v>558</v>
      </c>
      <c r="C29" s="188"/>
      <c r="D29" s="188"/>
      <c r="E29" s="188"/>
      <c r="F29" s="188"/>
      <c r="G29" s="188"/>
      <c r="H29" s="188"/>
      <c r="I29" s="187" t="s">
        <v>566</v>
      </c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 spans="2:26" ht="21" customHeight="1" x14ac:dyDescent="0.25">
      <c r="B30" s="188" t="s">
        <v>559</v>
      </c>
      <c r="C30" s="188"/>
      <c r="D30" s="188"/>
      <c r="E30" s="188"/>
      <c r="F30" s="188"/>
      <c r="G30" s="188"/>
      <c r="H30" s="188"/>
      <c r="I30" s="187" t="s">
        <v>567</v>
      </c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 spans="2:26" ht="21" customHeight="1" x14ac:dyDescent="0.25">
      <c r="B31" s="188" t="s">
        <v>560</v>
      </c>
      <c r="C31" s="188"/>
      <c r="D31" s="188"/>
      <c r="E31" s="188"/>
      <c r="F31" s="188"/>
      <c r="G31" s="188"/>
      <c r="H31" s="188"/>
      <c r="I31" s="187" t="s">
        <v>568</v>
      </c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 spans="2:26" ht="21" customHeight="1" x14ac:dyDescent="0.25">
      <c r="B32" s="188" t="s">
        <v>561</v>
      </c>
      <c r="C32" s="188"/>
      <c r="D32" s="188"/>
      <c r="E32" s="188"/>
      <c r="F32" s="188"/>
      <c r="G32" s="188"/>
      <c r="H32" s="188"/>
      <c r="I32" s="187" t="s">
        <v>569</v>
      </c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 spans="2:26" ht="21" customHeight="1" x14ac:dyDescent="0.25">
      <c r="B33" s="188" t="s">
        <v>562</v>
      </c>
      <c r="C33" s="188"/>
      <c r="D33" s="188"/>
      <c r="E33" s="188"/>
      <c r="F33" s="188"/>
      <c r="G33" s="188"/>
      <c r="H33" s="188"/>
      <c r="I33" s="187" t="s">
        <v>570</v>
      </c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 spans="2:26" ht="21" customHeight="1" x14ac:dyDescent="0.25">
      <c r="B34" s="188" t="s">
        <v>563</v>
      </c>
      <c r="C34" s="188"/>
      <c r="D34" s="188"/>
      <c r="E34" s="188"/>
      <c r="F34" s="188"/>
      <c r="G34" s="188"/>
      <c r="H34" s="188"/>
      <c r="I34" s="187" t="s">
        <v>571</v>
      </c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 spans="2:26" ht="21" customHeight="1" x14ac:dyDescent="0.25">
      <c r="B35" s="188" t="s">
        <v>564</v>
      </c>
      <c r="C35" s="188"/>
      <c r="D35" s="188"/>
      <c r="E35" s="188"/>
      <c r="F35" s="188"/>
      <c r="G35" s="188"/>
      <c r="H35" s="188"/>
      <c r="I35" s="187" t="s">
        <v>572</v>
      </c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 spans="2:26" ht="21" customHeight="1" x14ac:dyDescent="0.25">
      <c r="B36" s="188" t="s">
        <v>565</v>
      </c>
      <c r="C36" s="188"/>
      <c r="D36" s="188"/>
      <c r="E36" s="188"/>
      <c r="F36" s="188"/>
      <c r="G36" s="188"/>
      <c r="H36" s="188"/>
      <c r="I36" s="187" t="s">
        <v>573</v>
      </c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 spans="2:26" ht="21" customHeight="1" x14ac:dyDescent="0.25">
      <c r="B37" s="188" t="s">
        <v>578</v>
      </c>
      <c r="C37" s="188"/>
      <c r="D37" s="188"/>
      <c r="E37" s="188"/>
      <c r="F37" s="188"/>
      <c r="G37" s="188"/>
      <c r="H37" s="188"/>
      <c r="I37" s="187" t="s">
        <v>584</v>
      </c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</sheetData>
  <mergeCells count="26">
    <mergeCell ref="B29:H29"/>
    <mergeCell ref="B30:H30"/>
    <mergeCell ref="B31:H31"/>
    <mergeCell ref="B32:H32"/>
    <mergeCell ref="W26:Y26"/>
    <mergeCell ref="B26:C26"/>
    <mergeCell ref="E26:G26"/>
    <mergeCell ref="I26:K26"/>
    <mergeCell ref="L26:P26"/>
    <mergeCell ref="Q26:V26"/>
    <mergeCell ref="I32:Z32"/>
    <mergeCell ref="B28:H28"/>
    <mergeCell ref="I28:Z28"/>
    <mergeCell ref="I29:Z29"/>
    <mergeCell ref="I30:Z30"/>
    <mergeCell ref="I31:Z31"/>
    <mergeCell ref="I37:Z37"/>
    <mergeCell ref="B35:H35"/>
    <mergeCell ref="B36:H36"/>
    <mergeCell ref="B37:H37"/>
    <mergeCell ref="B33:H33"/>
    <mergeCell ref="B34:H34"/>
    <mergeCell ref="I33:Z33"/>
    <mergeCell ref="I34:Z34"/>
    <mergeCell ref="I35:Z35"/>
    <mergeCell ref="I36:Z36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3A59-6B12-4DC4-82C1-C4F89984B0E8}">
  <dimension ref="B1:Z27"/>
  <sheetViews>
    <sheetView workbookViewId="0">
      <selection sqref="A1:XFD1048576"/>
    </sheetView>
  </sheetViews>
  <sheetFormatPr defaultRowHeight="15.75" x14ac:dyDescent="0.25"/>
  <cols>
    <col min="1" max="1" width="1.85546875" style="1" customWidth="1"/>
    <col min="2" max="2" width="4.85546875" style="3" customWidth="1"/>
    <col min="3" max="3" width="11.28515625" style="2" customWidth="1"/>
    <col min="4" max="4" width="2.7109375" style="1" customWidth="1"/>
    <col min="5" max="5" width="6" style="2" bestFit="1" customWidth="1"/>
    <col min="6" max="6" width="10.85546875" style="2" bestFit="1" customWidth="1"/>
    <col min="7" max="7" width="3" style="2" bestFit="1" customWidth="1"/>
    <col min="8" max="8" width="1.42578125" style="2" customWidth="1"/>
    <col min="9" max="9" width="9" style="2" bestFit="1" customWidth="1"/>
    <col min="10" max="10" width="12.140625" style="2" bestFit="1" customWidth="1"/>
    <col min="11" max="11" width="8.85546875" style="1" bestFit="1" customWidth="1"/>
    <col min="12" max="12" width="9.140625" style="1" bestFit="1" customWidth="1"/>
    <col min="13" max="13" width="12.140625" style="1" bestFit="1" customWidth="1"/>
    <col min="14" max="14" width="10.7109375" style="1" bestFit="1" customWidth="1"/>
    <col min="15" max="15" width="14.140625" style="1" bestFit="1" customWidth="1"/>
    <col min="16" max="16" width="6" style="1" bestFit="1" customWidth="1"/>
    <col min="17" max="17" width="8.140625" style="1" bestFit="1" customWidth="1"/>
    <col min="18" max="18" width="10.7109375" style="1" bestFit="1" customWidth="1"/>
    <col min="19" max="19" width="9.85546875" style="1" bestFit="1" customWidth="1"/>
    <col min="20" max="20" width="13.42578125" style="1" bestFit="1" customWidth="1"/>
    <col min="21" max="21" width="15.140625" style="1" bestFit="1" customWidth="1"/>
    <col min="22" max="22" width="5.42578125" style="1" bestFit="1" customWidth="1"/>
    <col min="23" max="23" width="9.28515625" style="1" bestFit="1" customWidth="1"/>
    <col min="24" max="24" width="9.85546875" style="1" bestFit="1" customWidth="1"/>
    <col min="25" max="25" width="6.140625" style="1" bestFit="1" customWidth="1"/>
    <col min="26" max="26" width="8.42578125" style="1" bestFit="1" customWidth="1"/>
    <col min="27" max="16384" width="9.140625" style="1"/>
  </cols>
  <sheetData>
    <row r="1" spans="2:26" ht="6.6" customHeight="1" thickBot="1" x14ac:dyDescent="0.3"/>
    <row r="2" spans="2:26" ht="21.75" x14ac:dyDescent="0.4">
      <c r="B2" s="180" t="s">
        <v>39</v>
      </c>
      <c r="C2" s="181" t="s">
        <v>0</v>
      </c>
      <c r="D2" s="5"/>
      <c r="E2" s="182" t="s">
        <v>469</v>
      </c>
      <c r="F2" s="183" t="s">
        <v>470</v>
      </c>
      <c r="G2" s="184" t="s">
        <v>468</v>
      </c>
      <c r="H2" s="6"/>
      <c r="I2" s="174" t="s">
        <v>586</v>
      </c>
      <c r="J2" s="175" t="s">
        <v>587</v>
      </c>
      <c r="K2" s="176" t="s">
        <v>588</v>
      </c>
      <c r="L2" s="174" t="s">
        <v>589</v>
      </c>
      <c r="M2" s="177" t="s">
        <v>587</v>
      </c>
      <c r="N2" s="177" t="s">
        <v>590</v>
      </c>
      <c r="O2" s="177" t="s">
        <v>591</v>
      </c>
      <c r="P2" s="176" t="s">
        <v>592</v>
      </c>
      <c r="Q2" s="178" t="s">
        <v>593</v>
      </c>
      <c r="R2" s="177" t="s">
        <v>590</v>
      </c>
      <c r="S2" s="177" t="s">
        <v>577</v>
      </c>
      <c r="T2" s="177" t="s">
        <v>594</v>
      </c>
      <c r="U2" s="177" t="s">
        <v>595</v>
      </c>
      <c r="V2" s="176" t="s">
        <v>596</v>
      </c>
      <c r="W2" s="174" t="s">
        <v>597</v>
      </c>
      <c r="X2" s="177" t="s">
        <v>577</v>
      </c>
      <c r="Y2" s="176" t="s">
        <v>598</v>
      </c>
      <c r="Z2" s="179" t="s">
        <v>574</v>
      </c>
    </row>
    <row r="3" spans="2:26" ht="18.75" x14ac:dyDescent="0.3">
      <c r="B3" s="163" t="s">
        <v>24</v>
      </c>
      <c r="C3" s="164">
        <f>Table_2_Dashboard!D5</f>
        <v>100000</v>
      </c>
      <c r="D3" s="8"/>
      <c r="E3" s="9" t="s">
        <v>1</v>
      </c>
      <c r="F3" s="10" t="s">
        <v>2</v>
      </c>
      <c r="G3" s="11">
        <v>1</v>
      </c>
      <c r="H3" s="40"/>
      <c r="I3" s="29">
        <f>C3-L3-Q3-W3</f>
        <v>99954.43</v>
      </c>
      <c r="J3" s="30">
        <f>I3*$C$14*$C$19</f>
        <v>45.549233750999989</v>
      </c>
      <c r="K3" s="31">
        <f>I3-J3</f>
        <v>99908.880766249</v>
      </c>
      <c r="L3" s="29">
        <f>C3*$C$14*$C$19*0.5</f>
        <v>22.784999999999997</v>
      </c>
      <c r="M3" s="30">
        <v>0</v>
      </c>
      <c r="N3" s="30">
        <f>L3*$C$6</f>
        <v>5.6962499999999991</v>
      </c>
      <c r="O3" s="32"/>
      <c r="P3" s="31">
        <f>L3+M3-N3-O3</f>
        <v>17.088749999999997</v>
      </c>
      <c r="Q3" s="29">
        <f>C3*$C$14*$C$19*0.5</f>
        <v>22.784999999999997</v>
      </c>
      <c r="R3" s="30">
        <v>0</v>
      </c>
      <c r="S3" s="30">
        <f>Q3*$C$8</f>
        <v>1.6274999999999997</v>
      </c>
      <c r="T3" s="32"/>
      <c r="U3" s="30">
        <f>Q3*$C$9*(1-$C$21)</f>
        <v>2.8709099999999994</v>
      </c>
      <c r="V3" s="31">
        <f>Q3+R3-S3-T3-U3</f>
        <v>18.286589999999997</v>
      </c>
      <c r="W3" s="29">
        <v>0</v>
      </c>
      <c r="X3" s="30">
        <v>0</v>
      </c>
      <c r="Y3" s="165">
        <f>W3+X3</f>
        <v>0</v>
      </c>
      <c r="Z3" s="41">
        <f>P3+V3</f>
        <v>35.375339999999994</v>
      </c>
    </row>
    <row r="4" spans="2:26" ht="18.75" x14ac:dyDescent="0.3">
      <c r="B4" s="163" t="s">
        <v>25</v>
      </c>
      <c r="C4" s="166">
        <f>C14*2</f>
        <v>1.302E-3</v>
      </c>
      <c r="D4" s="8"/>
      <c r="E4" s="9" t="s">
        <v>1</v>
      </c>
      <c r="F4" s="10" t="s">
        <v>2</v>
      </c>
      <c r="G4" s="11">
        <v>2</v>
      </c>
      <c r="H4" s="40"/>
      <c r="I4" s="29">
        <f>K3</f>
        <v>99908.880766249</v>
      </c>
      <c r="J4" s="30">
        <f t="shared" ref="J4:J8" si="0">I4*$C$14*$C$19</f>
        <v>45.528476965179664</v>
      </c>
      <c r="K4" s="31">
        <f t="shared" ref="K4:K24" si="1">I4-J4</f>
        <v>99863.352289283823</v>
      </c>
      <c r="L4" s="29">
        <f>P3</f>
        <v>17.088749999999997</v>
      </c>
      <c r="M4" s="30">
        <f>J3</f>
        <v>45.549233750999989</v>
      </c>
      <c r="N4" s="30">
        <f t="shared" ref="N4:N24" si="2">L4*$C$6</f>
        <v>4.2721874999999994</v>
      </c>
      <c r="O4" s="32"/>
      <c r="P4" s="31">
        <f>L4+M4-N4-O4</f>
        <v>58.365796250999985</v>
      </c>
      <c r="Q4" s="29">
        <f>V3</f>
        <v>18.286589999999997</v>
      </c>
      <c r="R4" s="30">
        <f>N3</f>
        <v>5.6962499999999991</v>
      </c>
      <c r="S4" s="30">
        <f t="shared" ref="S4:S24" si="3">Q4*$C$8</f>
        <v>1.3061849999999997</v>
      </c>
      <c r="T4" s="32"/>
      <c r="U4" s="30">
        <f t="shared" ref="U4:U24" si="4">Q4*$C$9*(1-$C$21)</f>
        <v>2.3041103399999994</v>
      </c>
      <c r="V4" s="31">
        <f t="shared" ref="V4:V24" si="5">Q4+R4-S4-T4-U4</f>
        <v>20.372544659999996</v>
      </c>
      <c r="W4" s="29">
        <f>Y3</f>
        <v>0</v>
      </c>
      <c r="X4" s="30">
        <f>S3</f>
        <v>1.6274999999999997</v>
      </c>
      <c r="Y4" s="165">
        <f t="shared" ref="Y4:Y24" si="6">W4+X4</f>
        <v>1.6274999999999997</v>
      </c>
      <c r="Z4" s="41">
        <f t="shared" ref="Z4:Z24" si="7">P4+V4</f>
        <v>78.73834091099998</v>
      </c>
    </row>
    <row r="5" spans="2:26" ht="18.75" x14ac:dyDescent="0.3">
      <c r="B5" s="163" t="s">
        <v>28</v>
      </c>
      <c r="C5" s="164">
        <f>Table_2_Dashboard!D6</f>
        <v>4</v>
      </c>
      <c r="D5" s="8"/>
      <c r="E5" s="9" t="s">
        <v>3</v>
      </c>
      <c r="F5" s="10" t="s">
        <v>4</v>
      </c>
      <c r="G5" s="11">
        <v>3</v>
      </c>
      <c r="H5" s="40"/>
      <c r="I5" s="29">
        <f>K4</f>
        <v>99863.352289283823</v>
      </c>
      <c r="J5" s="30">
        <f t="shared" si="0"/>
        <v>45.507729638226635</v>
      </c>
      <c r="K5" s="31">
        <f t="shared" si="1"/>
        <v>99817.8445596456</v>
      </c>
      <c r="L5" s="29">
        <f t="shared" ref="L5:L24" si="8">P4</f>
        <v>58.365796250999985</v>
      </c>
      <c r="M5" s="30">
        <f t="shared" ref="M5:M10" si="9">J4</f>
        <v>45.528476965179664</v>
      </c>
      <c r="N5" s="30">
        <f t="shared" si="2"/>
        <v>14.591449062749996</v>
      </c>
      <c r="O5" s="30">
        <f>L5*(1-$C$10)*Table_2_Dashboard!J7</f>
        <v>0</v>
      </c>
      <c r="P5" s="31">
        <f t="shared" ref="P5:P24" si="10">L5+M5-N5-O5</f>
        <v>89.30282415342964</v>
      </c>
      <c r="Q5" s="29">
        <f t="shared" ref="Q5:Q24" si="11">V4</f>
        <v>20.372544659999996</v>
      </c>
      <c r="R5" s="30">
        <f t="shared" ref="R5:R24" si="12">N4</f>
        <v>4.2721874999999994</v>
      </c>
      <c r="S5" s="30">
        <f t="shared" si="3"/>
        <v>1.4551817614285709</v>
      </c>
      <c r="T5" s="30">
        <f>(1-$C$11)*Q5*Table_2_Dashboard!J7</f>
        <v>0</v>
      </c>
      <c r="U5" s="30">
        <f t="shared" si="4"/>
        <v>2.5669406271599993</v>
      </c>
      <c r="V5" s="31">
        <f t="shared" si="5"/>
        <v>20.622609771411426</v>
      </c>
      <c r="W5" s="29">
        <f t="shared" ref="W5:W24" si="13">Y4</f>
        <v>1.6274999999999997</v>
      </c>
      <c r="X5" s="30">
        <f t="shared" ref="X5:X24" si="14">S4</f>
        <v>1.3061849999999997</v>
      </c>
      <c r="Y5" s="165">
        <f>W5+X5</f>
        <v>2.9336849999999997</v>
      </c>
      <c r="Z5" s="41">
        <f t="shared" si="7"/>
        <v>109.92543392484106</v>
      </c>
    </row>
    <row r="6" spans="2:26" ht="18.75" x14ac:dyDescent="0.3">
      <c r="B6" s="163" t="s">
        <v>26</v>
      </c>
      <c r="C6" s="167">
        <f>1/C5</f>
        <v>0.25</v>
      </c>
      <c r="D6" s="8"/>
      <c r="E6" s="9" t="s">
        <v>5</v>
      </c>
      <c r="F6" s="10" t="s">
        <v>6</v>
      </c>
      <c r="G6" s="11">
        <v>4</v>
      </c>
      <c r="H6" s="40"/>
      <c r="I6" s="29">
        <f t="shared" ref="I6:I23" si="15">K5</f>
        <v>99817.8445596456</v>
      </c>
      <c r="J6" s="30">
        <f t="shared" si="0"/>
        <v>45.486991765830496</v>
      </c>
      <c r="K6" s="31">
        <f t="shared" si="1"/>
        <v>99772.357567879764</v>
      </c>
      <c r="L6" s="29">
        <f t="shared" si="8"/>
        <v>89.30282415342964</v>
      </c>
      <c r="M6" s="30">
        <f t="shared" si="9"/>
        <v>45.507729638226635</v>
      </c>
      <c r="N6" s="30">
        <f t="shared" si="2"/>
        <v>22.32570603835741</v>
      </c>
      <c r="O6" s="30">
        <f>L6*(1-$C$10)*Table_2_Dashboard!J8</f>
        <v>0</v>
      </c>
      <c r="P6" s="31">
        <f t="shared" si="10"/>
        <v>112.48484775329887</v>
      </c>
      <c r="Q6" s="29">
        <f t="shared" si="11"/>
        <v>20.622609771411426</v>
      </c>
      <c r="R6" s="30">
        <f t="shared" si="12"/>
        <v>14.591449062749996</v>
      </c>
      <c r="S6" s="30">
        <f t="shared" si="3"/>
        <v>1.4730435551008161</v>
      </c>
      <c r="T6" s="30">
        <f>(1-$C$11)*Q6*Table_2_Dashboard!J8</f>
        <v>0</v>
      </c>
      <c r="U6" s="30">
        <f t="shared" si="4"/>
        <v>2.5984488311978393</v>
      </c>
      <c r="V6" s="31">
        <f t="shared" si="5"/>
        <v>31.142566447862766</v>
      </c>
      <c r="W6" s="29">
        <f t="shared" si="13"/>
        <v>2.9336849999999997</v>
      </c>
      <c r="X6" s="30">
        <f t="shared" si="14"/>
        <v>1.4551817614285709</v>
      </c>
      <c r="Y6" s="165">
        <f t="shared" si="6"/>
        <v>4.3888667614285701</v>
      </c>
      <c r="Z6" s="41">
        <f t="shared" si="7"/>
        <v>143.62741420116163</v>
      </c>
    </row>
    <row r="7" spans="2:26" ht="18.75" x14ac:dyDescent="0.3">
      <c r="B7" s="163" t="s">
        <v>29</v>
      </c>
      <c r="C7" s="164">
        <f>Table_2_Dashboard!D8</f>
        <v>14</v>
      </c>
      <c r="D7" s="8"/>
      <c r="E7" s="9" t="s">
        <v>5</v>
      </c>
      <c r="F7" s="10" t="s">
        <v>7</v>
      </c>
      <c r="G7" s="11">
        <v>5</v>
      </c>
      <c r="H7" s="40"/>
      <c r="I7" s="29">
        <f t="shared" si="15"/>
        <v>99772.357567879764</v>
      </c>
      <c r="J7" s="30">
        <f t="shared" si="0"/>
        <v>45.466263343682805</v>
      </c>
      <c r="K7" s="31">
        <f t="shared" si="1"/>
        <v>99726.891304536082</v>
      </c>
      <c r="L7" s="29">
        <f t="shared" si="8"/>
        <v>112.48484775329887</v>
      </c>
      <c r="M7" s="30">
        <f t="shared" si="9"/>
        <v>45.486991765830496</v>
      </c>
      <c r="N7" s="30">
        <f t="shared" si="2"/>
        <v>28.121211938324716</v>
      </c>
      <c r="O7" s="30">
        <f>L7*(1-$C$10)*Table_2_Dashboard!J9</f>
        <v>0</v>
      </c>
      <c r="P7" s="31">
        <f t="shared" si="10"/>
        <v>129.85062758080466</v>
      </c>
      <c r="Q7" s="29">
        <f t="shared" si="11"/>
        <v>31.142566447862766</v>
      </c>
      <c r="R7" s="30">
        <f t="shared" si="12"/>
        <v>22.32570603835741</v>
      </c>
      <c r="S7" s="30">
        <f t="shared" si="3"/>
        <v>2.2244690319901976</v>
      </c>
      <c r="T7" s="30">
        <f>(1-$C$11)*Q7*Table_2_Dashboard!J9</f>
        <v>0</v>
      </c>
      <c r="U7" s="30">
        <f t="shared" si="4"/>
        <v>3.9239633724307081</v>
      </c>
      <c r="V7" s="31">
        <f t="shared" si="5"/>
        <v>47.319840081799271</v>
      </c>
      <c r="W7" s="29">
        <f t="shared" si="13"/>
        <v>4.3888667614285701</v>
      </c>
      <c r="X7" s="30">
        <f t="shared" si="14"/>
        <v>1.4730435551008161</v>
      </c>
      <c r="Y7" s="165">
        <f t="shared" si="6"/>
        <v>5.8619103165293858</v>
      </c>
      <c r="Z7" s="41">
        <f t="shared" si="7"/>
        <v>177.17046766260393</v>
      </c>
    </row>
    <row r="8" spans="2:26" ht="18.75" x14ac:dyDescent="0.3">
      <c r="B8" s="163" t="s">
        <v>27</v>
      </c>
      <c r="C8" s="167">
        <f>1/C7</f>
        <v>7.1428571428571425E-2</v>
      </c>
      <c r="D8" s="8"/>
      <c r="E8" s="9" t="s">
        <v>467</v>
      </c>
      <c r="F8" s="10" t="s">
        <v>8</v>
      </c>
      <c r="G8" s="11">
        <v>6</v>
      </c>
      <c r="H8" s="40"/>
      <c r="I8" s="29">
        <f t="shared" si="15"/>
        <v>99726.891304536082</v>
      </c>
      <c r="J8" s="30">
        <f t="shared" si="0"/>
        <v>45.44554436747709</v>
      </c>
      <c r="K8" s="31">
        <f t="shared" si="1"/>
        <v>99681.445760168601</v>
      </c>
      <c r="L8" s="29">
        <f t="shared" si="8"/>
        <v>129.85062758080466</v>
      </c>
      <c r="M8" s="30">
        <f t="shared" si="9"/>
        <v>45.466263343682805</v>
      </c>
      <c r="N8" s="30">
        <f t="shared" si="2"/>
        <v>32.462656895201164</v>
      </c>
      <c r="O8" s="30">
        <f>L8*(1-$C$10)*Table_2_Dashboard!J10</f>
        <v>0</v>
      </c>
      <c r="P8" s="31">
        <f t="shared" si="10"/>
        <v>142.85423402928632</v>
      </c>
      <c r="Q8" s="29">
        <f t="shared" si="11"/>
        <v>47.319840081799271</v>
      </c>
      <c r="R8" s="30">
        <f t="shared" si="12"/>
        <v>28.121211938324716</v>
      </c>
      <c r="S8" s="30">
        <f t="shared" si="3"/>
        <v>3.3799885772713765</v>
      </c>
      <c r="T8" s="30">
        <f>(1-$C$11)*Q8*Table_2_Dashboard!J10</f>
        <v>0</v>
      </c>
      <c r="U8" s="30">
        <f t="shared" si="4"/>
        <v>5.9622998503067084</v>
      </c>
      <c r="V8" s="31">
        <f t="shared" si="5"/>
        <v>66.098763592545907</v>
      </c>
      <c r="W8" s="29">
        <f t="shared" si="13"/>
        <v>5.8619103165293858</v>
      </c>
      <c r="X8" s="30">
        <f t="shared" si="14"/>
        <v>2.2244690319901976</v>
      </c>
      <c r="Y8" s="165">
        <f t="shared" si="6"/>
        <v>8.0863793485195838</v>
      </c>
      <c r="Z8" s="41">
        <f t="shared" si="7"/>
        <v>208.95299762183222</v>
      </c>
    </row>
    <row r="9" spans="2:26" ht="18.75" x14ac:dyDescent="0.3">
      <c r="B9" s="163" t="s">
        <v>30</v>
      </c>
      <c r="C9" s="167">
        <f>Table_2_Dashboard!D11</f>
        <v>0.18</v>
      </c>
      <c r="D9" s="8"/>
      <c r="E9" s="9" t="s">
        <v>9</v>
      </c>
      <c r="F9" s="10" t="s">
        <v>10</v>
      </c>
      <c r="G9" s="11">
        <v>7</v>
      </c>
      <c r="H9" s="40"/>
      <c r="I9" s="29">
        <f t="shared" si="15"/>
        <v>99681.445760168601</v>
      </c>
      <c r="J9" s="30">
        <f>I9*$C$4*$C$19</f>
        <v>90.849669665817657</v>
      </c>
      <c r="K9" s="31">
        <f t="shared" si="1"/>
        <v>99590.59609050279</v>
      </c>
      <c r="L9" s="29">
        <f t="shared" si="8"/>
        <v>142.85423402928632</v>
      </c>
      <c r="M9" s="33">
        <f t="shared" si="9"/>
        <v>45.44554436747709</v>
      </c>
      <c r="N9" s="30">
        <f t="shared" si="2"/>
        <v>35.713558507321579</v>
      </c>
      <c r="O9" s="32"/>
      <c r="P9" s="31">
        <f t="shared" si="10"/>
        <v>152.58621988944182</v>
      </c>
      <c r="Q9" s="29">
        <f t="shared" si="11"/>
        <v>66.098763592545907</v>
      </c>
      <c r="R9" s="30">
        <f t="shared" si="12"/>
        <v>32.462656895201164</v>
      </c>
      <c r="S9" s="30">
        <f t="shared" si="3"/>
        <v>4.7213402566104214</v>
      </c>
      <c r="T9" s="32"/>
      <c r="U9" s="30">
        <f t="shared" si="4"/>
        <v>8.3284442126607843</v>
      </c>
      <c r="V9" s="31">
        <f t="shared" si="5"/>
        <v>85.511636018475869</v>
      </c>
      <c r="W9" s="29">
        <f t="shared" si="13"/>
        <v>8.0863793485195838</v>
      </c>
      <c r="X9" s="30">
        <f t="shared" si="14"/>
        <v>3.3799885772713765</v>
      </c>
      <c r="Y9" s="165">
        <f t="shared" si="6"/>
        <v>11.46636792579096</v>
      </c>
      <c r="Z9" s="41">
        <f t="shared" si="7"/>
        <v>238.09785590791768</v>
      </c>
    </row>
    <row r="10" spans="2:26" ht="18.75" x14ac:dyDescent="0.3">
      <c r="B10" s="163" t="s">
        <v>31</v>
      </c>
      <c r="C10" s="167">
        <f>Table_2_Dashboard!D14</f>
        <v>0.84</v>
      </c>
      <c r="D10" s="8"/>
      <c r="E10" s="13" t="s">
        <v>382</v>
      </c>
      <c r="F10" s="14" t="s">
        <v>575</v>
      </c>
      <c r="G10" s="15">
        <v>8</v>
      </c>
      <c r="H10" s="40"/>
      <c r="I10" s="29">
        <f t="shared" si="15"/>
        <v>99590.59609050279</v>
      </c>
      <c r="J10" s="32"/>
      <c r="K10" s="31">
        <f t="shared" si="1"/>
        <v>99590.59609050279</v>
      </c>
      <c r="L10" s="29">
        <f t="shared" si="8"/>
        <v>152.58621988944182</v>
      </c>
      <c r="M10" s="33">
        <f t="shared" si="9"/>
        <v>90.849669665817657</v>
      </c>
      <c r="N10" s="30">
        <f t="shared" si="2"/>
        <v>38.146554972360455</v>
      </c>
      <c r="O10" s="30">
        <f>L10*(1-$C$10)*Table_2_Dashboard!J11</f>
        <v>0</v>
      </c>
      <c r="P10" s="31">
        <f>L10+M10-N10-O10</f>
        <v>205.28933458289902</v>
      </c>
      <c r="Q10" s="29">
        <f t="shared" si="11"/>
        <v>85.511636018475869</v>
      </c>
      <c r="R10" s="30">
        <f t="shared" si="12"/>
        <v>35.713558507321579</v>
      </c>
      <c r="S10" s="30">
        <f t="shared" si="3"/>
        <v>6.1079740013197048</v>
      </c>
      <c r="T10" s="30">
        <f>(1-$C$11)*Q10*Table_2_Dashboard!J11</f>
        <v>0</v>
      </c>
      <c r="U10" s="30">
        <f t="shared" si="4"/>
        <v>10.774466138327957</v>
      </c>
      <c r="V10" s="31">
        <f t="shared" si="5"/>
        <v>104.34275438614979</v>
      </c>
      <c r="W10" s="29">
        <f t="shared" si="13"/>
        <v>11.46636792579096</v>
      </c>
      <c r="X10" s="30">
        <f t="shared" si="14"/>
        <v>4.7213402566104214</v>
      </c>
      <c r="Y10" s="165">
        <f t="shared" si="6"/>
        <v>16.18770818240138</v>
      </c>
      <c r="Z10" s="41">
        <f t="shared" si="7"/>
        <v>309.63208896904882</v>
      </c>
    </row>
    <row r="11" spans="2:26" ht="18.75" x14ac:dyDescent="0.3">
      <c r="B11" s="163" t="s">
        <v>32</v>
      </c>
      <c r="C11" s="167">
        <f>Table_2_Dashboard!D15</f>
        <v>0.28999999999999998</v>
      </c>
      <c r="D11" s="8"/>
      <c r="E11" s="9" t="s">
        <v>383</v>
      </c>
      <c r="F11" s="10" t="s">
        <v>11</v>
      </c>
      <c r="G11" s="11">
        <v>9</v>
      </c>
      <c r="H11" s="40"/>
      <c r="I11" s="29">
        <f t="shared" si="15"/>
        <v>99590.59609050279</v>
      </c>
      <c r="J11" s="32"/>
      <c r="K11" s="31">
        <f t="shared" si="1"/>
        <v>99590.59609050279</v>
      </c>
      <c r="L11" s="29">
        <f>P10</f>
        <v>205.28933458289902</v>
      </c>
      <c r="M11" s="34"/>
      <c r="N11" s="30">
        <f t="shared" si="2"/>
        <v>51.322333645724754</v>
      </c>
      <c r="O11" s="30">
        <f>L11*(1-$C$10)*Table_2_Dashboard!J13</f>
        <v>0</v>
      </c>
      <c r="P11" s="31">
        <f t="shared" si="10"/>
        <v>153.96700093717425</v>
      </c>
      <c r="Q11" s="29">
        <f t="shared" si="11"/>
        <v>104.34275438614979</v>
      </c>
      <c r="R11" s="30">
        <f t="shared" si="12"/>
        <v>38.146554972360455</v>
      </c>
      <c r="S11" s="30">
        <f t="shared" si="3"/>
        <v>7.4530538847249845</v>
      </c>
      <c r="T11" s="30">
        <f>Q11*(1-$C$11)*Table_2_Dashboard!J13</f>
        <v>0</v>
      </c>
      <c r="U11" s="30">
        <f t="shared" si="4"/>
        <v>13.147187052654873</v>
      </c>
      <c r="V11" s="31">
        <f t="shared" si="5"/>
        <v>121.88906842113037</v>
      </c>
      <c r="W11" s="29">
        <f t="shared" si="13"/>
        <v>16.18770818240138</v>
      </c>
      <c r="X11" s="30">
        <f t="shared" si="14"/>
        <v>6.1079740013197048</v>
      </c>
      <c r="Y11" s="165">
        <f t="shared" si="6"/>
        <v>22.295682183721084</v>
      </c>
      <c r="Z11" s="41">
        <f t="shared" si="7"/>
        <v>275.85606935830464</v>
      </c>
    </row>
    <row r="12" spans="2:26" ht="16.5" x14ac:dyDescent="0.3">
      <c r="B12" s="168"/>
      <c r="C12" s="169"/>
      <c r="D12" s="8"/>
      <c r="E12" s="9" t="s">
        <v>384</v>
      </c>
      <c r="F12" s="10" t="s">
        <v>12</v>
      </c>
      <c r="G12" s="11">
        <v>10</v>
      </c>
      <c r="H12" s="40"/>
      <c r="I12" s="29">
        <f t="shared" si="15"/>
        <v>99590.59609050279</v>
      </c>
      <c r="J12" s="32"/>
      <c r="K12" s="31">
        <f t="shared" si="1"/>
        <v>99590.59609050279</v>
      </c>
      <c r="L12" s="29">
        <f t="shared" si="8"/>
        <v>153.96700093717425</v>
      </c>
      <c r="M12" s="34"/>
      <c r="N12" s="30">
        <f t="shared" si="2"/>
        <v>38.491750234293562</v>
      </c>
      <c r="O12" s="30">
        <f>L12*(1-$C$10)*Table_2_Dashboard!J14</f>
        <v>0</v>
      </c>
      <c r="P12" s="31">
        <f t="shared" si="10"/>
        <v>115.47525070288069</v>
      </c>
      <c r="Q12" s="29">
        <f t="shared" si="11"/>
        <v>121.88906842113037</v>
      </c>
      <c r="R12" s="30">
        <f t="shared" si="12"/>
        <v>51.322333645724754</v>
      </c>
      <c r="S12" s="30">
        <f t="shared" si="3"/>
        <v>8.7063620300807401</v>
      </c>
      <c r="T12" s="30">
        <f>Q12*(1-$C$11)*Table_2_Dashboard!J14</f>
        <v>0</v>
      </c>
      <c r="U12" s="30">
        <f t="shared" si="4"/>
        <v>15.358022621062426</v>
      </c>
      <c r="V12" s="31">
        <f t="shared" si="5"/>
        <v>149.14701741571199</v>
      </c>
      <c r="W12" s="29">
        <f t="shared" si="13"/>
        <v>22.295682183721084</v>
      </c>
      <c r="X12" s="30">
        <f t="shared" si="14"/>
        <v>7.4530538847249845</v>
      </c>
      <c r="Y12" s="165">
        <f t="shared" si="6"/>
        <v>29.748736068446068</v>
      </c>
      <c r="Z12" s="41">
        <f t="shared" si="7"/>
        <v>264.62226811859267</v>
      </c>
    </row>
    <row r="13" spans="2:26" ht="16.5" x14ac:dyDescent="0.3">
      <c r="B13" s="185" t="s">
        <v>40</v>
      </c>
      <c r="C13" s="186" t="s">
        <v>0</v>
      </c>
      <c r="D13" s="8"/>
      <c r="E13" s="9" t="s">
        <v>385</v>
      </c>
      <c r="F13" s="10" t="s">
        <v>13</v>
      </c>
      <c r="G13" s="11">
        <v>11</v>
      </c>
      <c r="H13" s="40"/>
      <c r="I13" s="29">
        <f t="shared" si="15"/>
        <v>99590.59609050279</v>
      </c>
      <c r="J13" s="32"/>
      <c r="K13" s="31">
        <f t="shared" si="1"/>
        <v>99590.59609050279</v>
      </c>
      <c r="L13" s="29">
        <f t="shared" si="8"/>
        <v>115.47525070288069</v>
      </c>
      <c r="M13" s="34"/>
      <c r="N13" s="30">
        <f t="shared" si="2"/>
        <v>28.868812675720172</v>
      </c>
      <c r="O13" s="30">
        <f>L13*(1-$C$10)*Table_2_Dashboard!J15</f>
        <v>0</v>
      </c>
      <c r="P13" s="31">
        <f t="shared" si="10"/>
        <v>86.606438027160522</v>
      </c>
      <c r="Q13" s="29">
        <f t="shared" si="11"/>
        <v>149.14701741571199</v>
      </c>
      <c r="R13" s="30">
        <f t="shared" si="12"/>
        <v>38.491750234293562</v>
      </c>
      <c r="S13" s="30">
        <f t="shared" si="3"/>
        <v>10.653358386836571</v>
      </c>
      <c r="T13" s="30">
        <f>Q13*(1-$C$11)*Table_2_Dashboard!J15</f>
        <v>0</v>
      </c>
      <c r="U13" s="30">
        <f t="shared" si="4"/>
        <v>18.792524194379709</v>
      </c>
      <c r="V13" s="31">
        <f t="shared" si="5"/>
        <v>158.19288506878928</v>
      </c>
      <c r="W13" s="29">
        <f t="shared" si="13"/>
        <v>29.748736068446068</v>
      </c>
      <c r="X13" s="30">
        <f t="shared" si="14"/>
        <v>8.7063620300807401</v>
      </c>
      <c r="Y13" s="165">
        <f t="shared" si="6"/>
        <v>38.455098098526804</v>
      </c>
      <c r="Z13" s="41">
        <f t="shared" si="7"/>
        <v>244.7993230959498</v>
      </c>
    </row>
    <row r="14" spans="2:26" ht="18.75" x14ac:dyDescent="0.3">
      <c r="B14" s="163" t="s">
        <v>33</v>
      </c>
      <c r="C14" s="169">
        <f>Table_2_Dashboard!D21</f>
        <v>6.5099999999999999E-4</v>
      </c>
      <c r="D14" s="8"/>
      <c r="E14" s="9" t="s">
        <v>386</v>
      </c>
      <c r="F14" s="10" t="s">
        <v>14</v>
      </c>
      <c r="G14" s="11">
        <v>12</v>
      </c>
      <c r="H14" s="40"/>
      <c r="I14" s="29">
        <f t="shared" si="15"/>
        <v>99590.59609050279</v>
      </c>
      <c r="J14" s="32"/>
      <c r="K14" s="31">
        <f t="shared" si="1"/>
        <v>99590.59609050279</v>
      </c>
      <c r="L14" s="29">
        <f t="shared" si="8"/>
        <v>86.606438027160522</v>
      </c>
      <c r="M14" s="34"/>
      <c r="N14" s="30">
        <f t="shared" si="2"/>
        <v>21.65160950679013</v>
      </c>
      <c r="O14" s="30">
        <f>L14*(1-$C$10)*Table_2_Dashboard!J16</f>
        <v>0</v>
      </c>
      <c r="P14" s="31">
        <f t="shared" si="10"/>
        <v>64.954828520370398</v>
      </c>
      <c r="Q14" s="29">
        <f t="shared" si="11"/>
        <v>158.19288506878928</v>
      </c>
      <c r="R14" s="30">
        <f t="shared" si="12"/>
        <v>28.868812675720172</v>
      </c>
      <c r="S14" s="30">
        <f t="shared" si="3"/>
        <v>11.299491790627805</v>
      </c>
      <c r="T14" s="30">
        <f>Q14*(1-$C$11)*Table_2_Dashboard!J16</f>
        <v>0</v>
      </c>
      <c r="U14" s="30">
        <f t="shared" si="4"/>
        <v>19.93230351866745</v>
      </c>
      <c r="V14" s="31">
        <f t="shared" si="5"/>
        <v>155.82990243521419</v>
      </c>
      <c r="W14" s="29">
        <f t="shared" si="13"/>
        <v>38.455098098526804</v>
      </c>
      <c r="X14" s="30">
        <f t="shared" si="14"/>
        <v>10.653358386836571</v>
      </c>
      <c r="Y14" s="165">
        <f t="shared" si="6"/>
        <v>49.108456485363376</v>
      </c>
      <c r="Z14" s="41">
        <f t="shared" si="7"/>
        <v>220.78473095558459</v>
      </c>
    </row>
    <row r="15" spans="2:26" ht="18.75" x14ac:dyDescent="0.3">
      <c r="B15" s="163" t="s">
        <v>34</v>
      </c>
      <c r="C15" s="170">
        <v>1</v>
      </c>
      <c r="D15" s="8"/>
      <c r="E15" s="9" t="s">
        <v>387</v>
      </c>
      <c r="F15" s="10" t="s">
        <v>15</v>
      </c>
      <c r="G15" s="11">
        <v>13</v>
      </c>
      <c r="H15" s="40"/>
      <c r="I15" s="29">
        <f t="shared" si="15"/>
        <v>99590.59609050279</v>
      </c>
      <c r="J15" s="32"/>
      <c r="K15" s="31">
        <f t="shared" si="1"/>
        <v>99590.59609050279</v>
      </c>
      <c r="L15" s="29">
        <f t="shared" si="8"/>
        <v>64.954828520370398</v>
      </c>
      <c r="M15" s="34"/>
      <c r="N15" s="30">
        <f t="shared" si="2"/>
        <v>16.2387071300926</v>
      </c>
      <c r="O15" s="30">
        <f>L15*(1-$C$10)*Table_2_Dashboard!J17</f>
        <v>0</v>
      </c>
      <c r="P15" s="31">
        <f t="shared" si="10"/>
        <v>48.716121390277799</v>
      </c>
      <c r="Q15" s="29">
        <f t="shared" si="11"/>
        <v>155.82990243521419</v>
      </c>
      <c r="R15" s="30">
        <f t="shared" si="12"/>
        <v>21.65160950679013</v>
      </c>
      <c r="S15" s="30">
        <f t="shared" si="3"/>
        <v>11.130707316801013</v>
      </c>
      <c r="T15" s="30">
        <f>Q15*(1-$C$11)*Table_2_Dashboard!J17</f>
        <v>0</v>
      </c>
      <c r="U15" s="30">
        <f t="shared" si="4"/>
        <v>19.634567706836986</v>
      </c>
      <c r="V15" s="31">
        <f t="shared" si="5"/>
        <v>146.71623691836632</v>
      </c>
      <c r="W15" s="29">
        <f t="shared" si="13"/>
        <v>49.108456485363376</v>
      </c>
      <c r="X15" s="30">
        <f t="shared" si="14"/>
        <v>11.299491790627805</v>
      </c>
      <c r="Y15" s="165">
        <f t="shared" si="6"/>
        <v>60.407948275991181</v>
      </c>
      <c r="Z15" s="41">
        <f t="shared" si="7"/>
        <v>195.43235830864413</v>
      </c>
    </row>
    <row r="16" spans="2:26" ht="16.5" x14ac:dyDescent="0.3">
      <c r="B16" s="168"/>
      <c r="C16" s="169"/>
      <c r="D16" s="8"/>
      <c r="E16" s="9" t="s">
        <v>388</v>
      </c>
      <c r="F16" s="10" t="s">
        <v>16</v>
      </c>
      <c r="G16" s="11">
        <v>14</v>
      </c>
      <c r="H16" s="40"/>
      <c r="I16" s="29">
        <f t="shared" si="15"/>
        <v>99590.59609050279</v>
      </c>
      <c r="J16" s="32"/>
      <c r="K16" s="31">
        <f t="shared" si="1"/>
        <v>99590.59609050279</v>
      </c>
      <c r="L16" s="29">
        <f t="shared" si="8"/>
        <v>48.716121390277799</v>
      </c>
      <c r="M16" s="34"/>
      <c r="N16" s="30">
        <f t="shared" si="2"/>
        <v>12.17903034756945</v>
      </c>
      <c r="O16" s="30">
        <f>L16*(1-$C$10)*Table_2_Dashboard!J18</f>
        <v>0</v>
      </c>
      <c r="P16" s="31">
        <f t="shared" si="10"/>
        <v>36.537091042708347</v>
      </c>
      <c r="Q16" s="29">
        <f t="shared" si="11"/>
        <v>146.71623691836632</v>
      </c>
      <c r="R16" s="30">
        <f t="shared" si="12"/>
        <v>16.2387071300926</v>
      </c>
      <c r="S16" s="30">
        <f t="shared" si="3"/>
        <v>10.479731208454737</v>
      </c>
      <c r="T16" s="30">
        <f>Q16*(1-$C$11)*Table_2_Dashboard!J18</f>
        <v>0</v>
      </c>
      <c r="U16" s="30">
        <f t="shared" si="4"/>
        <v>18.486245851714152</v>
      </c>
      <c r="V16" s="31">
        <f t="shared" si="5"/>
        <v>133.98896698829003</v>
      </c>
      <c r="W16" s="29">
        <f>Y15</f>
        <v>60.407948275991181</v>
      </c>
      <c r="X16" s="30">
        <f t="shared" si="14"/>
        <v>11.130707316801013</v>
      </c>
      <c r="Y16" s="165">
        <f t="shared" si="6"/>
        <v>71.538655592792196</v>
      </c>
      <c r="Z16" s="41">
        <f t="shared" si="7"/>
        <v>170.52605803099837</v>
      </c>
    </row>
    <row r="17" spans="2:26" ht="16.5" x14ac:dyDescent="0.3">
      <c r="B17" s="185" t="s">
        <v>41</v>
      </c>
      <c r="C17" s="186" t="s">
        <v>0</v>
      </c>
      <c r="D17" s="8"/>
      <c r="E17" s="9" t="s">
        <v>389</v>
      </c>
      <c r="F17" s="10" t="s">
        <v>17</v>
      </c>
      <c r="G17" s="11">
        <v>15</v>
      </c>
      <c r="H17" s="40"/>
      <c r="I17" s="29">
        <f t="shared" si="15"/>
        <v>99590.59609050279</v>
      </c>
      <c r="J17" s="32"/>
      <c r="K17" s="31">
        <f t="shared" si="1"/>
        <v>99590.59609050279</v>
      </c>
      <c r="L17" s="29">
        <f t="shared" si="8"/>
        <v>36.537091042708347</v>
      </c>
      <c r="M17" s="34"/>
      <c r="N17" s="30">
        <f t="shared" si="2"/>
        <v>9.1342727606770868</v>
      </c>
      <c r="O17" s="30">
        <f>L17*(1-$C$10)*Table_2_Dashboard!J19</f>
        <v>0</v>
      </c>
      <c r="P17" s="31">
        <f t="shared" si="10"/>
        <v>27.402818282031262</v>
      </c>
      <c r="Q17" s="29">
        <f t="shared" si="11"/>
        <v>133.98896698829003</v>
      </c>
      <c r="R17" s="30">
        <f t="shared" si="12"/>
        <v>12.17903034756945</v>
      </c>
      <c r="S17" s="30">
        <f t="shared" si="3"/>
        <v>9.5706404991635736</v>
      </c>
      <c r="T17" s="30">
        <f>Q17*(1-$C$11)*Table_2_Dashboard!J19</f>
        <v>0</v>
      </c>
      <c r="U17" s="30">
        <f t="shared" si="4"/>
        <v>16.882609840524541</v>
      </c>
      <c r="V17" s="31">
        <f t="shared" si="5"/>
        <v>119.71474699617136</v>
      </c>
      <c r="W17" s="29">
        <f t="shared" si="13"/>
        <v>71.538655592792196</v>
      </c>
      <c r="X17" s="30">
        <f t="shared" si="14"/>
        <v>10.479731208454737</v>
      </c>
      <c r="Y17" s="165">
        <f t="shared" si="6"/>
        <v>82.018386801246933</v>
      </c>
      <c r="Z17" s="41">
        <f t="shared" si="7"/>
        <v>147.11756527820262</v>
      </c>
    </row>
    <row r="18" spans="2:26" ht="18.75" x14ac:dyDescent="0.3">
      <c r="B18" s="163" t="s">
        <v>35</v>
      </c>
      <c r="C18" s="169">
        <f>Table_2_Dashboard!D30</f>
        <v>0.3</v>
      </c>
      <c r="D18" s="8"/>
      <c r="E18" s="9" t="s">
        <v>390</v>
      </c>
      <c r="F18" s="10" t="s">
        <v>18</v>
      </c>
      <c r="G18" s="11">
        <v>16</v>
      </c>
      <c r="H18" s="40"/>
      <c r="I18" s="29">
        <f t="shared" si="15"/>
        <v>99590.59609050279</v>
      </c>
      <c r="J18" s="32"/>
      <c r="K18" s="31">
        <f t="shared" si="1"/>
        <v>99590.59609050279</v>
      </c>
      <c r="L18" s="29">
        <f t="shared" si="8"/>
        <v>27.402818282031262</v>
      </c>
      <c r="M18" s="34"/>
      <c r="N18" s="30">
        <f t="shared" si="2"/>
        <v>6.8507045705078156</v>
      </c>
      <c r="O18" s="30">
        <f>L18*(1-$C$10)*Table_2_Dashboard!J20</f>
        <v>0</v>
      </c>
      <c r="P18" s="31">
        <f t="shared" si="10"/>
        <v>20.552113711523447</v>
      </c>
      <c r="Q18" s="29">
        <f t="shared" si="11"/>
        <v>119.71474699617136</v>
      </c>
      <c r="R18" s="30">
        <f t="shared" si="12"/>
        <v>9.1342727606770868</v>
      </c>
      <c r="S18" s="30">
        <f t="shared" si="3"/>
        <v>8.5510533568693816</v>
      </c>
      <c r="T18" s="30">
        <f>Q18*(1-$C$11)*Table_2_Dashboard!J20</f>
        <v>0</v>
      </c>
      <c r="U18" s="30">
        <f t="shared" si="4"/>
        <v>15.08405812151759</v>
      </c>
      <c r="V18" s="31">
        <f t="shared" si="5"/>
        <v>105.21390827846147</v>
      </c>
      <c r="W18" s="29">
        <f t="shared" si="13"/>
        <v>82.018386801246933</v>
      </c>
      <c r="X18" s="30">
        <f t="shared" si="14"/>
        <v>9.5706404991635736</v>
      </c>
      <c r="Y18" s="165">
        <f t="shared" si="6"/>
        <v>91.589027300410507</v>
      </c>
      <c r="Z18" s="41">
        <f t="shared" si="7"/>
        <v>125.76602198998492</v>
      </c>
    </row>
    <row r="19" spans="2:26" ht="18.75" x14ac:dyDescent="0.3">
      <c r="B19" s="163" t="s">
        <v>36</v>
      </c>
      <c r="C19" s="169">
        <f>(((C15)*(1-C18))+(1-C15))</f>
        <v>0.7</v>
      </c>
      <c r="D19" s="8"/>
      <c r="E19" s="9" t="s">
        <v>391</v>
      </c>
      <c r="F19" s="10" t="s">
        <v>19</v>
      </c>
      <c r="G19" s="11">
        <v>17</v>
      </c>
      <c r="H19" s="40"/>
      <c r="I19" s="29">
        <f t="shared" si="15"/>
        <v>99590.59609050279</v>
      </c>
      <c r="J19" s="32"/>
      <c r="K19" s="31">
        <f t="shared" si="1"/>
        <v>99590.59609050279</v>
      </c>
      <c r="L19" s="29">
        <f t="shared" si="8"/>
        <v>20.552113711523447</v>
      </c>
      <c r="M19" s="34"/>
      <c r="N19" s="30">
        <f t="shared" si="2"/>
        <v>5.1380284278808617</v>
      </c>
      <c r="O19" s="30">
        <f>L19*(1-$C$10)*Table_2_Dashboard!J21</f>
        <v>0</v>
      </c>
      <c r="P19" s="31">
        <f t="shared" si="10"/>
        <v>15.414085283642585</v>
      </c>
      <c r="Q19" s="29">
        <f t="shared" si="11"/>
        <v>105.21390827846147</v>
      </c>
      <c r="R19" s="30">
        <f t="shared" si="12"/>
        <v>6.8507045705078156</v>
      </c>
      <c r="S19" s="30">
        <f t="shared" si="3"/>
        <v>7.5152791627472482</v>
      </c>
      <c r="T19" s="30">
        <f>Q19*(1-$C$11)*Table_2_Dashboard!J21</f>
        <v>0</v>
      </c>
      <c r="U19" s="30">
        <f t="shared" si="4"/>
        <v>13.256952443086144</v>
      </c>
      <c r="V19" s="31">
        <f t="shared" si="5"/>
        <v>91.292381243135893</v>
      </c>
      <c r="W19" s="29">
        <f t="shared" si="13"/>
        <v>91.589027300410507</v>
      </c>
      <c r="X19" s="30">
        <f t="shared" si="14"/>
        <v>8.5510533568693816</v>
      </c>
      <c r="Y19" s="165">
        <f t="shared" si="6"/>
        <v>100.1400806572799</v>
      </c>
      <c r="Z19" s="41">
        <f t="shared" si="7"/>
        <v>106.70646652677848</v>
      </c>
    </row>
    <row r="20" spans="2:26" ht="18.75" x14ac:dyDescent="0.3">
      <c r="B20" s="163" t="s">
        <v>37</v>
      </c>
      <c r="C20" s="169">
        <f>Table_2_Dashboard!D31</f>
        <v>0.7</v>
      </c>
      <c r="D20" s="8"/>
      <c r="E20" s="9" t="s">
        <v>392</v>
      </c>
      <c r="F20" s="10" t="s">
        <v>20</v>
      </c>
      <c r="G20" s="11">
        <v>18</v>
      </c>
      <c r="H20" s="40"/>
      <c r="I20" s="29">
        <f t="shared" si="15"/>
        <v>99590.59609050279</v>
      </c>
      <c r="J20" s="32"/>
      <c r="K20" s="31">
        <f t="shared" si="1"/>
        <v>99590.59609050279</v>
      </c>
      <c r="L20" s="29">
        <f t="shared" si="8"/>
        <v>15.414085283642585</v>
      </c>
      <c r="M20" s="34"/>
      <c r="N20" s="30">
        <f t="shared" si="2"/>
        <v>3.8535213209106463</v>
      </c>
      <c r="O20" s="30">
        <f>L20*(1-$C$10)*Table_2_Dashboard!J22</f>
        <v>0</v>
      </c>
      <c r="P20" s="31">
        <f t="shared" si="10"/>
        <v>11.560563962731939</v>
      </c>
      <c r="Q20" s="29">
        <f t="shared" si="11"/>
        <v>91.292381243135893</v>
      </c>
      <c r="R20" s="30">
        <f t="shared" si="12"/>
        <v>5.1380284278808617</v>
      </c>
      <c r="S20" s="30">
        <f t="shared" si="3"/>
        <v>6.5208843745097065</v>
      </c>
      <c r="T20" s="30">
        <f>Q20*(1-$C$11)*Table_2_Dashboard!J22</f>
        <v>0</v>
      </c>
      <c r="U20" s="30">
        <f t="shared" si="4"/>
        <v>11.502840036635122</v>
      </c>
      <c r="V20" s="31">
        <f t="shared" si="5"/>
        <v>78.406685259871921</v>
      </c>
      <c r="W20" s="29">
        <f t="shared" si="13"/>
        <v>100.1400806572799</v>
      </c>
      <c r="X20" s="30">
        <f t="shared" si="14"/>
        <v>7.5152791627472482</v>
      </c>
      <c r="Y20" s="165">
        <f t="shared" si="6"/>
        <v>107.65535982002714</v>
      </c>
      <c r="Z20" s="41">
        <f t="shared" si="7"/>
        <v>89.967249222603854</v>
      </c>
    </row>
    <row r="21" spans="2:26" ht="18.75" x14ac:dyDescent="0.3">
      <c r="B21" s="163" t="s">
        <v>38</v>
      </c>
      <c r="C21" s="102">
        <f>(((C15)*(1-C20))+(1-C15))</f>
        <v>0.30000000000000004</v>
      </c>
      <c r="D21" s="8"/>
      <c r="E21" s="9" t="s">
        <v>393</v>
      </c>
      <c r="F21" s="10" t="s">
        <v>21</v>
      </c>
      <c r="G21" s="11">
        <v>19</v>
      </c>
      <c r="H21" s="40"/>
      <c r="I21" s="29">
        <f t="shared" si="15"/>
        <v>99590.59609050279</v>
      </c>
      <c r="J21" s="32"/>
      <c r="K21" s="31">
        <f t="shared" si="1"/>
        <v>99590.59609050279</v>
      </c>
      <c r="L21" s="29">
        <f t="shared" si="8"/>
        <v>11.560563962731939</v>
      </c>
      <c r="M21" s="34"/>
      <c r="N21" s="30">
        <f t="shared" si="2"/>
        <v>2.8901409906829847</v>
      </c>
      <c r="O21" s="30">
        <f>L21*(1-$C$10)*Table_2_Dashboard!J23</f>
        <v>0</v>
      </c>
      <c r="P21" s="31">
        <f t="shared" si="10"/>
        <v>8.6704229720489536</v>
      </c>
      <c r="Q21" s="29">
        <f t="shared" si="11"/>
        <v>78.406685259871921</v>
      </c>
      <c r="R21" s="30">
        <f t="shared" si="12"/>
        <v>3.8535213209106463</v>
      </c>
      <c r="S21" s="30">
        <f t="shared" si="3"/>
        <v>5.6004775185622799</v>
      </c>
      <c r="T21" s="30">
        <f>Q21*(1-$C$11)*Table_2_Dashboard!J23</f>
        <v>0</v>
      </c>
      <c r="U21" s="30">
        <f t="shared" si="4"/>
        <v>9.8792423427438614</v>
      </c>
      <c r="V21" s="31">
        <f t="shared" si="5"/>
        <v>66.780486719476414</v>
      </c>
      <c r="W21" s="29">
        <f t="shared" si="13"/>
        <v>107.65535982002714</v>
      </c>
      <c r="X21" s="30">
        <f t="shared" si="14"/>
        <v>6.5208843745097065</v>
      </c>
      <c r="Y21" s="165">
        <f t="shared" si="6"/>
        <v>114.17624419453685</v>
      </c>
      <c r="Z21" s="41">
        <f t="shared" si="7"/>
        <v>75.450909691525368</v>
      </c>
    </row>
    <row r="22" spans="2:26" ht="16.5" x14ac:dyDescent="0.3">
      <c r="B22" s="168"/>
      <c r="C22" s="171"/>
      <c r="D22" s="8"/>
      <c r="E22" s="9" t="s">
        <v>394</v>
      </c>
      <c r="F22" s="10" t="s">
        <v>22</v>
      </c>
      <c r="G22" s="11">
        <v>20</v>
      </c>
      <c r="H22" s="40"/>
      <c r="I22" s="29">
        <f t="shared" si="15"/>
        <v>99590.59609050279</v>
      </c>
      <c r="J22" s="32"/>
      <c r="K22" s="31">
        <f t="shared" si="1"/>
        <v>99590.59609050279</v>
      </c>
      <c r="L22" s="29">
        <f t="shared" si="8"/>
        <v>8.6704229720489536</v>
      </c>
      <c r="M22" s="34"/>
      <c r="N22" s="30">
        <f t="shared" si="2"/>
        <v>2.1676057430122384</v>
      </c>
      <c r="O22" s="30">
        <f>L22*(1-$C$10)*Table_2_Dashboard!J24</f>
        <v>0</v>
      </c>
      <c r="P22" s="31">
        <f t="shared" si="10"/>
        <v>6.5028172290367152</v>
      </c>
      <c r="Q22" s="29">
        <f t="shared" si="11"/>
        <v>66.780486719476414</v>
      </c>
      <c r="R22" s="30">
        <f t="shared" si="12"/>
        <v>2.8901409906829847</v>
      </c>
      <c r="S22" s="30">
        <f t="shared" si="3"/>
        <v>4.7700347656768862</v>
      </c>
      <c r="T22" s="30">
        <f>Q22*(1-$C$11)*Table_2_Dashboard!J24</f>
        <v>0</v>
      </c>
      <c r="U22" s="30">
        <f t="shared" si="4"/>
        <v>8.4143413266540268</v>
      </c>
      <c r="V22" s="31">
        <f t="shared" si="5"/>
        <v>56.486251617828486</v>
      </c>
      <c r="W22" s="29">
        <f t="shared" si="13"/>
        <v>114.17624419453685</v>
      </c>
      <c r="X22" s="30">
        <f t="shared" si="14"/>
        <v>5.6004775185622799</v>
      </c>
      <c r="Y22" s="165">
        <f t="shared" si="6"/>
        <v>119.77672171309914</v>
      </c>
      <c r="Z22" s="41">
        <f t="shared" si="7"/>
        <v>62.989068846865202</v>
      </c>
    </row>
    <row r="23" spans="2:26" ht="16.5" x14ac:dyDescent="0.3">
      <c r="B23" s="168"/>
      <c r="C23" s="171"/>
      <c r="D23" s="8"/>
      <c r="E23" s="9" t="s">
        <v>395</v>
      </c>
      <c r="F23" s="10" t="s">
        <v>13</v>
      </c>
      <c r="G23" s="11">
        <v>21</v>
      </c>
      <c r="H23" s="40"/>
      <c r="I23" s="29">
        <f t="shared" si="15"/>
        <v>99590.59609050279</v>
      </c>
      <c r="J23" s="32"/>
      <c r="K23" s="31">
        <f t="shared" si="1"/>
        <v>99590.59609050279</v>
      </c>
      <c r="L23" s="29">
        <f t="shared" si="8"/>
        <v>6.5028172290367152</v>
      </c>
      <c r="M23" s="34"/>
      <c r="N23" s="30">
        <f t="shared" si="2"/>
        <v>1.6257043072591788</v>
      </c>
      <c r="O23" s="30">
        <f>L23*(1-$C$10)*Table_2_Dashboard!J25</f>
        <v>0</v>
      </c>
      <c r="P23" s="31">
        <f t="shared" si="10"/>
        <v>4.8771129217775364</v>
      </c>
      <c r="Q23" s="29">
        <f t="shared" si="11"/>
        <v>56.486251617828486</v>
      </c>
      <c r="R23" s="30">
        <f t="shared" si="12"/>
        <v>2.1676057430122384</v>
      </c>
      <c r="S23" s="30">
        <f t="shared" si="3"/>
        <v>4.0347322584163203</v>
      </c>
      <c r="T23" s="30">
        <f>Q23*(1-$C$11)*Table_2_Dashboard!J25</f>
        <v>0</v>
      </c>
      <c r="U23" s="30">
        <f t="shared" si="4"/>
        <v>7.1172677038463883</v>
      </c>
      <c r="V23" s="31">
        <f t="shared" si="5"/>
        <v>47.501857398578018</v>
      </c>
      <c r="W23" s="29">
        <f t="shared" si="13"/>
        <v>119.77672171309914</v>
      </c>
      <c r="X23" s="30">
        <f t="shared" si="14"/>
        <v>4.7700347656768862</v>
      </c>
      <c r="Y23" s="165">
        <f t="shared" si="6"/>
        <v>124.54675647877602</v>
      </c>
      <c r="Z23" s="41">
        <f t="shared" si="7"/>
        <v>52.378970320355556</v>
      </c>
    </row>
    <row r="24" spans="2:26" ht="17.25" thickBot="1" x14ac:dyDescent="0.35">
      <c r="B24" s="172"/>
      <c r="C24" s="173"/>
      <c r="D24" s="8"/>
      <c r="E24" s="20" t="s">
        <v>396</v>
      </c>
      <c r="F24" s="21" t="s">
        <v>23</v>
      </c>
      <c r="G24" s="22">
        <v>22</v>
      </c>
      <c r="H24" s="40"/>
      <c r="I24" s="35">
        <f>K23</f>
        <v>99590.59609050279</v>
      </c>
      <c r="J24" s="36"/>
      <c r="K24" s="37">
        <f t="shared" si="1"/>
        <v>99590.59609050279</v>
      </c>
      <c r="L24" s="35">
        <f t="shared" si="8"/>
        <v>4.8771129217775364</v>
      </c>
      <c r="M24" s="36"/>
      <c r="N24" s="38">
        <f t="shared" si="2"/>
        <v>1.2192782304443841</v>
      </c>
      <c r="O24" s="38">
        <f>L24*(1-$C$10)*Table_2_Dashboard!J26</f>
        <v>0</v>
      </c>
      <c r="P24" s="37">
        <f t="shared" si="10"/>
        <v>3.6578346913331523</v>
      </c>
      <c r="Q24" s="29">
        <f t="shared" si="11"/>
        <v>47.501857398578018</v>
      </c>
      <c r="R24" s="38">
        <f t="shared" si="12"/>
        <v>1.6257043072591788</v>
      </c>
      <c r="S24" s="38">
        <f t="shared" si="3"/>
        <v>3.3929898141841441</v>
      </c>
      <c r="T24" s="38">
        <f>Q24*(1-$C$11)*Table_2_Dashboard!J26</f>
        <v>0</v>
      </c>
      <c r="U24" s="38">
        <f t="shared" si="4"/>
        <v>5.9852340322208297</v>
      </c>
      <c r="V24" s="37">
        <f t="shared" si="5"/>
        <v>39.749337859432217</v>
      </c>
      <c r="W24" s="29">
        <f t="shared" si="13"/>
        <v>124.54675647877602</v>
      </c>
      <c r="X24" s="30">
        <f t="shared" si="14"/>
        <v>4.0347322584163203</v>
      </c>
      <c r="Y24" s="165">
        <f t="shared" si="6"/>
        <v>128.58148873719233</v>
      </c>
      <c r="Z24" s="42">
        <f t="shared" si="7"/>
        <v>43.407172550765367</v>
      </c>
    </row>
    <row r="25" spans="2:26" ht="4.9000000000000004" customHeight="1" thickBot="1" x14ac:dyDescent="0.35">
      <c r="B25" s="23"/>
      <c r="C25" s="24"/>
      <c r="D25" s="8"/>
      <c r="E25" s="12"/>
      <c r="F25" s="12"/>
      <c r="G25" s="12"/>
      <c r="H25" s="12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2:26" ht="16.149999999999999" customHeight="1" thickBot="1" x14ac:dyDescent="0.35">
      <c r="B26" s="189">
        <v>1</v>
      </c>
      <c r="C26" s="191"/>
      <c r="D26" s="6"/>
      <c r="E26" s="189">
        <v>2</v>
      </c>
      <c r="F26" s="190"/>
      <c r="G26" s="191"/>
      <c r="H26" s="6"/>
      <c r="I26" s="189">
        <v>3</v>
      </c>
      <c r="J26" s="190"/>
      <c r="K26" s="191"/>
      <c r="L26" s="189">
        <v>4</v>
      </c>
      <c r="M26" s="190"/>
      <c r="N26" s="190"/>
      <c r="O26" s="190"/>
      <c r="P26" s="191"/>
      <c r="Q26" s="189">
        <v>5</v>
      </c>
      <c r="R26" s="190"/>
      <c r="S26" s="190"/>
      <c r="T26" s="190"/>
      <c r="U26" s="190"/>
      <c r="V26" s="191"/>
      <c r="W26" s="189">
        <v>6</v>
      </c>
      <c r="X26" s="190"/>
      <c r="Y26" s="191"/>
      <c r="Z26" s="26">
        <v>7</v>
      </c>
    </row>
    <row r="27" spans="2:26" ht="34.9" customHeight="1" x14ac:dyDescent="0.25"/>
  </sheetData>
  <mergeCells count="6">
    <mergeCell ref="W26:Y26"/>
    <mergeCell ref="B26:C26"/>
    <mergeCell ref="E26:G26"/>
    <mergeCell ref="I26:K26"/>
    <mergeCell ref="L26:P26"/>
    <mergeCell ref="Q26:V2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A0F3-876C-4842-82F9-C9037E65B85F}">
  <dimension ref="B1:Z27"/>
  <sheetViews>
    <sheetView workbookViewId="0">
      <selection activeCell="AD18" sqref="AD18"/>
    </sheetView>
  </sheetViews>
  <sheetFormatPr defaultRowHeight="15.75" x14ac:dyDescent="0.25"/>
  <cols>
    <col min="1" max="1" width="1.85546875" style="1" customWidth="1"/>
    <col min="2" max="2" width="4.85546875" style="3" customWidth="1"/>
    <col min="3" max="3" width="11.28515625" style="2" customWidth="1"/>
    <col min="4" max="4" width="2.7109375" style="1" customWidth="1"/>
    <col min="5" max="5" width="6" style="2" bestFit="1" customWidth="1"/>
    <col min="6" max="6" width="10.85546875" style="2" bestFit="1" customWidth="1"/>
    <col min="7" max="7" width="3" style="2" bestFit="1" customWidth="1"/>
    <col min="8" max="8" width="1.42578125" style="2" customWidth="1"/>
    <col min="9" max="9" width="9" style="2" bestFit="1" customWidth="1"/>
    <col min="10" max="10" width="12.140625" style="2" bestFit="1" customWidth="1"/>
    <col min="11" max="11" width="8.85546875" style="1" bestFit="1" customWidth="1"/>
    <col min="12" max="12" width="9.140625" style="1" bestFit="1" customWidth="1"/>
    <col min="13" max="13" width="12.140625" style="1" bestFit="1" customWidth="1"/>
    <col min="14" max="14" width="10.7109375" style="1" bestFit="1" customWidth="1"/>
    <col min="15" max="15" width="14.140625" style="1" bestFit="1" customWidth="1"/>
    <col min="16" max="16" width="6" style="1" bestFit="1" customWidth="1"/>
    <col min="17" max="17" width="8.140625" style="1" bestFit="1" customWidth="1"/>
    <col min="18" max="18" width="10.7109375" style="1" bestFit="1" customWidth="1"/>
    <col min="19" max="19" width="9.85546875" style="1" bestFit="1" customWidth="1"/>
    <col min="20" max="20" width="13.42578125" style="1" bestFit="1" customWidth="1"/>
    <col min="21" max="21" width="15.140625" style="1" bestFit="1" customWidth="1"/>
    <col min="22" max="22" width="5.42578125" style="1" bestFit="1" customWidth="1"/>
    <col min="23" max="23" width="9.28515625" style="1" bestFit="1" customWidth="1"/>
    <col min="24" max="24" width="9.85546875" style="1" bestFit="1" customWidth="1"/>
    <col min="25" max="25" width="6.140625" style="1" bestFit="1" customWidth="1"/>
    <col min="26" max="26" width="8.42578125" style="1" bestFit="1" customWidth="1"/>
    <col min="27" max="16384" width="9.140625" style="1"/>
  </cols>
  <sheetData>
    <row r="1" spans="2:26" ht="6.6" customHeight="1" thickBot="1" x14ac:dyDescent="0.3"/>
    <row r="2" spans="2:26" ht="21.75" x14ac:dyDescent="0.4">
      <c r="B2" s="180" t="s">
        <v>39</v>
      </c>
      <c r="C2" s="181" t="s">
        <v>0</v>
      </c>
      <c r="D2" s="5"/>
      <c r="E2" s="182" t="s">
        <v>469</v>
      </c>
      <c r="F2" s="183" t="s">
        <v>470</v>
      </c>
      <c r="G2" s="184" t="s">
        <v>468</v>
      </c>
      <c r="H2" s="6"/>
      <c r="I2" s="174" t="s">
        <v>586</v>
      </c>
      <c r="J2" s="175" t="s">
        <v>587</v>
      </c>
      <c r="K2" s="176" t="s">
        <v>588</v>
      </c>
      <c r="L2" s="174" t="s">
        <v>589</v>
      </c>
      <c r="M2" s="177" t="s">
        <v>587</v>
      </c>
      <c r="N2" s="177" t="s">
        <v>590</v>
      </c>
      <c r="O2" s="177" t="s">
        <v>591</v>
      </c>
      <c r="P2" s="176" t="s">
        <v>592</v>
      </c>
      <c r="Q2" s="178" t="s">
        <v>593</v>
      </c>
      <c r="R2" s="177" t="s">
        <v>590</v>
      </c>
      <c r="S2" s="177" t="s">
        <v>577</v>
      </c>
      <c r="T2" s="177" t="s">
        <v>594</v>
      </c>
      <c r="U2" s="177" t="s">
        <v>595</v>
      </c>
      <c r="V2" s="176" t="s">
        <v>596</v>
      </c>
      <c r="W2" s="174" t="s">
        <v>597</v>
      </c>
      <c r="X2" s="177" t="s">
        <v>577</v>
      </c>
      <c r="Y2" s="176" t="s">
        <v>598</v>
      </c>
      <c r="Z2" s="179" t="s">
        <v>574</v>
      </c>
    </row>
    <row r="3" spans="2:26" ht="18.75" x14ac:dyDescent="0.3">
      <c r="B3" s="163" t="s">
        <v>24</v>
      </c>
      <c r="C3" s="164">
        <f>Table_2_Dashboard!D5</f>
        <v>100000</v>
      </c>
      <c r="D3" s="8"/>
      <c r="E3" s="9" t="s">
        <v>1</v>
      </c>
      <c r="F3" s="10" t="s">
        <v>2</v>
      </c>
      <c r="G3" s="11">
        <v>1</v>
      </c>
      <c r="H3" s="40"/>
      <c r="I3" s="29">
        <f>C3-L3-Q3-W3</f>
        <v>99996.57</v>
      </c>
      <c r="J3" s="30">
        <f>I3*$C$14*$C$19</f>
        <v>3.4298823510000003</v>
      </c>
      <c r="K3" s="31">
        <f>I3-J3</f>
        <v>99993.140117649004</v>
      </c>
      <c r="L3" s="29">
        <f>C3*$C$14*$C$19*0.5</f>
        <v>1.7149999999999996</v>
      </c>
      <c r="M3" s="30">
        <v>0</v>
      </c>
      <c r="N3" s="30">
        <f>L3*$C$6</f>
        <v>0.42874999999999991</v>
      </c>
      <c r="O3" s="32"/>
      <c r="P3" s="31">
        <f>L3+M3-N3-O3</f>
        <v>1.2862499999999997</v>
      </c>
      <c r="Q3" s="29">
        <f>C3*$C$14*$C$19*0.5</f>
        <v>1.7149999999999996</v>
      </c>
      <c r="R3" s="30">
        <v>0</v>
      </c>
      <c r="S3" s="30">
        <f>Q3*$C$8</f>
        <v>0.12249999999999997</v>
      </c>
      <c r="T3" s="32"/>
      <c r="U3" s="30">
        <f>Q3*$C$9*(1-$C$21)</f>
        <v>0.21608999999999992</v>
      </c>
      <c r="V3" s="31">
        <f>Q3+R3-S3-T3-U3</f>
        <v>1.3764099999999997</v>
      </c>
      <c r="W3" s="29">
        <v>0</v>
      </c>
      <c r="X3" s="30">
        <v>0</v>
      </c>
      <c r="Y3" s="165">
        <f>W3+X3</f>
        <v>0</v>
      </c>
      <c r="Z3" s="41">
        <f>P3+V3</f>
        <v>2.6626599999999994</v>
      </c>
    </row>
    <row r="4" spans="2:26" ht="18.75" x14ac:dyDescent="0.3">
      <c r="B4" s="163" t="s">
        <v>25</v>
      </c>
      <c r="C4" s="166">
        <f>C14*2</f>
        <v>9.7999999999999997E-5</v>
      </c>
      <c r="D4" s="8"/>
      <c r="E4" s="9" t="s">
        <v>1</v>
      </c>
      <c r="F4" s="10" t="s">
        <v>2</v>
      </c>
      <c r="G4" s="11">
        <v>2</v>
      </c>
      <c r="H4" s="40"/>
      <c r="I4" s="29">
        <f>K3</f>
        <v>99993.140117649004</v>
      </c>
      <c r="J4" s="30">
        <f t="shared" ref="J4:J8" si="0">I4*$C$14*$C$19</f>
        <v>3.4297647060353604</v>
      </c>
      <c r="K4" s="31">
        <f t="shared" ref="K4:K24" si="1">I4-J4</f>
        <v>99989.710352942973</v>
      </c>
      <c r="L4" s="29">
        <f>P3</f>
        <v>1.2862499999999997</v>
      </c>
      <c r="M4" s="30">
        <f>J3</f>
        <v>3.4298823510000003</v>
      </c>
      <c r="N4" s="30">
        <f t="shared" ref="N4:N24" si="2">L4*$C$6</f>
        <v>0.32156249999999992</v>
      </c>
      <c r="O4" s="32"/>
      <c r="P4" s="31">
        <f>L4+M4-N4-O4</f>
        <v>4.394569851</v>
      </c>
      <c r="Q4" s="29">
        <f>V3</f>
        <v>1.3764099999999997</v>
      </c>
      <c r="R4" s="30">
        <f>N3</f>
        <v>0.42874999999999991</v>
      </c>
      <c r="S4" s="30">
        <f t="shared" ref="S4:S24" si="3">Q4*$C$8</f>
        <v>9.8314999999999972E-2</v>
      </c>
      <c r="T4" s="32"/>
      <c r="U4" s="30">
        <f t="shared" ref="U4:U24" si="4">Q4*$C$9*(1-$C$21)</f>
        <v>0.17342765999999996</v>
      </c>
      <c r="V4" s="31">
        <f t="shared" ref="V4:V24" si="5">Q4+R4-S4-T4-U4</f>
        <v>1.5334173399999997</v>
      </c>
      <c r="W4" s="29">
        <f>Y3</f>
        <v>0</v>
      </c>
      <c r="X4" s="30">
        <f>S3</f>
        <v>0.12249999999999997</v>
      </c>
      <c r="Y4" s="165">
        <f t="shared" ref="Y4:Y24" si="6">W4+X4</f>
        <v>0.12249999999999997</v>
      </c>
      <c r="Z4" s="41">
        <f t="shared" ref="Z4:Z24" si="7">P4+V4</f>
        <v>5.9279871909999997</v>
      </c>
    </row>
    <row r="5" spans="2:26" ht="18.75" x14ac:dyDescent="0.3">
      <c r="B5" s="163" t="s">
        <v>28</v>
      </c>
      <c r="C5" s="164">
        <f>Table_2_Dashboard!D6</f>
        <v>4</v>
      </c>
      <c r="D5" s="8"/>
      <c r="E5" s="9" t="s">
        <v>3</v>
      </c>
      <c r="F5" s="10" t="s">
        <v>4</v>
      </c>
      <c r="G5" s="11">
        <v>3</v>
      </c>
      <c r="H5" s="40"/>
      <c r="I5" s="29">
        <f>K4</f>
        <v>99989.710352942973</v>
      </c>
      <c r="J5" s="30">
        <f t="shared" si="0"/>
        <v>3.4296470651059439</v>
      </c>
      <c r="K5" s="31">
        <f t="shared" si="1"/>
        <v>99986.280705877871</v>
      </c>
      <c r="L5" s="29">
        <f t="shared" ref="L5:L24" si="8">P4</f>
        <v>4.394569851</v>
      </c>
      <c r="M5" s="30">
        <f t="shared" ref="M5:M10" si="9">J4</f>
        <v>3.4297647060353604</v>
      </c>
      <c r="N5" s="30">
        <f t="shared" si="2"/>
        <v>1.09864246275</v>
      </c>
      <c r="O5" s="30">
        <f>L5*(1-$C$10)*Table_2_Dashboard!J7</f>
        <v>0</v>
      </c>
      <c r="P5" s="31">
        <f t="shared" ref="P5:P24" si="10">L5+M5-N5-O5</f>
        <v>6.7256920942853604</v>
      </c>
      <c r="Q5" s="29">
        <f t="shared" ref="Q5:Q24" si="11">V4</f>
        <v>1.5334173399999997</v>
      </c>
      <c r="R5" s="30">
        <f t="shared" ref="R5:R24" si="12">N4</f>
        <v>0.32156249999999992</v>
      </c>
      <c r="S5" s="30">
        <f t="shared" si="3"/>
        <v>0.10952980999999998</v>
      </c>
      <c r="T5" s="30">
        <f>(1-$C$11)*Q5*Table_2_Dashboard!J7</f>
        <v>0</v>
      </c>
      <c r="U5" s="30">
        <f t="shared" si="4"/>
        <v>0.19321058483999995</v>
      </c>
      <c r="V5" s="31">
        <f t="shared" si="5"/>
        <v>1.5522394451599999</v>
      </c>
      <c r="W5" s="29">
        <f t="shared" ref="W5:W23" si="13">Y4</f>
        <v>0.12249999999999997</v>
      </c>
      <c r="X5" s="30">
        <f t="shared" ref="X5:X24" si="14">S4</f>
        <v>9.8314999999999972E-2</v>
      </c>
      <c r="Y5" s="165">
        <f>W5+X5</f>
        <v>0.22081499999999993</v>
      </c>
      <c r="Z5" s="41">
        <f t="shared" si="7"/>
        <v>8.2779315394453601</v>
      </c>
    </row>
    <row r="6" spans="2:26" ht="18.75" x14ac:dyDescent="0.3">
      <c r="B6" s="163" t="s">
        <v>26</v>
      </c>
      <c r="C6" s="167">
        <f>1/C5</f>
        <v>0.25</v>
      </c>
      <c r="D6" s="8"/>
      <c r="E6" s="9" t="s">
        <v>5</v>
      </c>
      <c r="F6" s="10" t="s">
        <v>6</v>
      </c>
      <c r="G6" s="11">
        <v>4</v>
      </c>
      <c r="H6" s="40"/>
      <c r="I6" s="29">
        <f t="shared" ref="I6:I23" si="15">K5</f>
        <v>99986.280705877871</v>
      </c>
      <c r="J6" s="30">
        <f t="shared" si="0"/>
        <v>3.4295294282116107</v>
      </c>
      <c r="K6" s="31">
        <f t="shared" si="1"/>
        <v>99982.851176449665</v>
      </c>
      <c r="L6" s="29">
        <f t="shared" si="8"/>
        <v>6.7256920942853604</v>
      </c>
      <c r="M6" s="30">
        <f t="shared" si="9"/>
        <v>3.4296470651059439</v>
      </c>
      <c r="N6" s="30">
        <f t="shared" si="2"/>
        <v>1.6814230235713401</v>
      </c>
      <c r="O6" s="30">
        <f>L6*(1-$C$10)*Table_2_Dashboard!J8</f>
        <v>0</v>
      </c>
      <c r="P6" s="31">
        <f t="shared" si="10"/>
        <v>8.4739161358199624</v>
      </c>
      <c r="Q6" s="29">
        <f t="shared" si="11"/>
        <v>1.5522394451599999</v>
      </c>
      <c r="R6" s="30">
        <f t="shared" si="12"/>
        <v>1.09864246275</v>
      </c>
      <c r="S6" s="30">
        <f t="shared" si="3"/>
        <v>0.11087424608285713</v>
      </c>
      <c r="T6" s="30">
        <f>(1-$C$11)*Q6*Table_2_Dashboard!J8</f>
        <v>0</v>
      </c>
      <c r="U6" s="30">
        <f t="shared" si="4"/>
        <v>0.19558217009015999</v>
      </c>
      <c r="V6" s="31">
        <f t="shared" si="5"/>
        <v>2.3444254917369824</v>
      </c>
      <c r="W6" s="29">
        <f t="shared" si="13"/>
        <v>0.22081499999999993</v>
      </c>
      <c r="X6" s="30">
        <f t="shared" si="14"/>
        <v>0.10952980999999998</v>
      </c>
      <c r="Y6" s="165">
        <f t="shared" si="6"/>
        <v>0.33034480999999993</v>
      </c>
      <c r="Z6" s="41">
        <f t="shared" si="7"/>
        <v>10.818341627556945</v>
      </c>
    </row>
    <row r="7" spans="2:26" ht="18.75" x14ac:dyDescent="0.3">
      <c r="B7" s="163" t="s">
        <v>29</v>
      </c>
      <c r="C7" s="164">
        <f>Table_2_Dashboard!D8</f>
        <v>14</v>
      </c>
      <c r="D7" s="8"/>
      <c r="E7" s="9" t="s">
        <v>5</v>
      </c>
      <c r="F7" s="10" t="s">
        <v>7</v>
      </c>
      <c r="G7" s="11">
        <v>5</v>
      </c>
      <c r="H7" s="40"/>
      <c r="I7" s="29">
        <f t="shared" si="15"/>
        <v>99982.851176449665</v>
      </c>
      <c r="J7" s="30">
        <f t="shared" si="0"/>
        <v>3.4294117953522232</v>
      </c>
      <c r="K7" s="31">
        <f t="shared" si="1"/>
        <v>99979.421764654311</v>
      </c>
      <c r="L7" s="29">
        <f t="shared" si="8"/>
        <v>8.4739161358199624</v>
      </c>
      <c r="M7" s="30">
        <f t="shared" si="9"/>
        <v>3.4295294282116107</v>
      </c>
      <c r="N7" s="30">
        <f t="shared" si="2"/>
        <v>2.1184790339549906</v>
      </c>
      <c r="O7" s="30">
        <f>L7*(1-$C$10)*Table_2_Dashboard!J9</f>
        <v>0</v>
      </c>
      <c r="P7" s="31">
        <f t="shared" si="10"/>
        <v>9.7849665300765825</v>
      </c>
      <c r="Q7" s="29">
        <f t="shared" si="11"/>
        <v>2.3444254917369824</v>
      </c>
      <c r="R7" s="30">
        <f t="shared" si="12"/>
        <v>1.6814230235713401</v>
      </c>
      <c r="S7" s="30">
        <f t="shared" si="3"/>
        <v>0.16745896369549873</v>
      </c>
      <c r="T7" s="30">
        <f>(1-$C$11)*Q7*Table_2_Dashboard!J9</f>
        <v>0</v>
      </c>
      <c r="U7" s="30">
        <f t="shared" si="4"/>
        <v>0.29539761195885977</v>
      </c>
      <c r="V7" s="31">
        <f t="shared" si="5"/>
        <v>3.5629919396539633</v>
      </c>
      <c r="W7" s="29">
        <f t="shared" si="13"/>
        <v>0.33034480999999993</v>
      </c>
      <c r="X7" s="30">
        <f t="shared" si="14"/>
        <v>0.11087424608285713</v>
      </c>
      <c r="Y7" s="165">
        <f t="shared" si="6"/>
        <v>0.44121905608285705</v>
      </c>
      <c r="Z7" s="41">
        <f t="shared" si="7"/>
        <v>13.347958469730546</v>
      </c>
    </row>
    <row r="8" spans="2:26" ht="18.75" x14ac:dyDescent="0.3">
      <c r="B8" s="163" t="s">
        <v>27</v>
      </c>
      <c r="C8" s="167">
        <f>1/C7</f>
        <v>7.1428571428571425E-2</v>
      </c>
      <c r="D8" s="8"/>
      <c r="E8" s="9" t="s">
        <v>467</v>
      </c>
      <c r="F8" s="10" t="s">
        <v>8</v>
      </c>
      <c r="G8" s="11">
        <v>6</v>
      </c>
      <c r="H8" s="40"/>
      <c r="I8" s="29">
        <f t="shared" si="15"/>
        <v>99979.421764654311</v>
      </c>
      <c r="J8" s="30">
        <f t="shared" si="0"/>
        <v>3.4292941665276424</v>
      </c>
      <c r="K8" s="31">
        <f t="shared" si="1"/>
        <v>99975.992470487778</v>
      </c>
      <c r="L8" s="29">
        <f t="shared" si="8"/>
        <v>9.7849665300765825</v>
      </c>
      <c r="M8" s="30">
        <f t="shared" si="9"/>
        <v>3.4294117953522232</v>
      </c>
      <c r="N8" s="30">
        <f t="shared" si="2"/>
        <v>2.4462416325191456</v>
      </c>
      <c r="O8" s="30">
        <f>L8*(1-$C$10)*Table_2_Dashboard!J10</f>
        <v>0</v>
      </c>
      <c r="P8" s="31">
        <f t="shared" si="10"/>
        <v>10.76813669290966</v>
      </c>
      <c r="Q8" s="29">
        <f t="shared" si="11"/>
        <v>3.5629919396539633</v>
      </c>
      <c r="R8" s="30">
        <f t="shared" si="12"/>
        <v>2.1184790339549906</v>
      </c>
      <c r="S8" s="30">
        <f t="shared" si="3"/>
        <v>0.25449942426099736</v>
      </c>
      <c r="T8" s="30">
        <f>(1-$C$11)*Q8*Table_2_Dashboard!J10</f>
        <v>0</v>
      </c>
      <c r="U8" s="30">
        <f t="shared" si="4"/>
        <v>0.44893698439639934</v>
      </c>
      <c r="V8" s="31">
        <f t="shared" si="5"/>
        <v>4.9780345649515576</v>
      </c>
      <c r="W8" s="29">
        <f t="shared" si="13"/>
        <v>0.44121905608285705</v>
      </c>
      <c r="X8" s="30">
        <f t="shared" si="14"/>
        <v>0.16745896369549873</v>
      </c>
      <c r="Y8" s="165">
        <f t="shared" si="6"/>
        <v>0.60867801977835578</v>
      </c>
      <c r="Z8" s="41">
        <f t="shared" si="7"/>
        <v>15.746171257861217</v>
      </c>
    </row>
    <row r="9" spans="2:26" ht="18.75" x14ac:dyDescent="0.3">
      <c r="B9" s="163" t="s">
        <v>30</v>
      </c>
      <c r="C9" s="167">
        <f>Table_2_Dashboard!D11</f>
        <v>0.18</v>
      </c>
      <c r="D9" s="8"/>
      <c r="E9" s="9" t="s">
        <v>9</v>
      </c>
      <c r="F9" s="10" t="s">
        <v>10</v>
      </c>
      <c r="G9" s="11">
        <v>7</v>
      </c>
      <c r="H9" s="40"/>
      <c r="I9" s="29">
        <f t="shared" si="15"/>
        <v>99975.992470487778</v>
      </c>
      <c r="J9" s="30">
        <f>I9*$C$4*$C$19</f>
        <v>6.8583530834754605</v>
      </c>
      <c r="K9" s="31">
        <f t="shared" si="1"/>
        <v>99969.134117404305</v>
      </c>
      <c r="L9" s="29">
        <f t="shared" si="8"/>
        <v>10.76813669290966</v>
      </c>
      <c r="M9" s="33">
        <f t="shared" si="9"/>
        <v>3.4292941665276424</v>
      </c>
      <c r="N9" s="30">
        <f t="shared" si="2"/>
        <v>2.6920341732274151</v>
      </c>
      <c r="O9" s="32"/>
      <c r="P9" s="31">
        <f t="shared" si="10"/>
        <v>11.505396686209888</v>
      </c>
      <c r="Q9" s="29">
        <f t="shared" si="11"/>
        <v>4.9780345649515576</v>
      </c>
      <c r="R9" s="30">
        <f t="shared" si="12"/>
        <v>2.4462416325191456</v>
      </c>
      <c r="S9" s="30">
        <f t="shared" si="3"/>
        <v>0.35557389749653984</v>
      </c>
      <c r="T9" s="32"/>
      <c r="U9" s="30">
        <f t="shared" si="4"/>
        <v>0.6272323551838962</v>
      </c>
      <c r="V9" s="31">
        <f t="shared" si="5"/>
        <v>6.4414699447902679</v>
      </c>
      <c r="W9" s="29">
        <f t="shared" si="13"/>
        <v>0.60867801977835578</v>
      </c>
      <c r="X9" s="30">
        <f t="shared" si="14"/>
        <v>0.25449942426099736</v>
      </c>
      <c r="Y9" s="165">
        <f t="shared" si="6"/>
        <v>0.86317744403935315</v>
      </c>
      <c r="Z9" s="41">
        <f t="shared" si="7"/>
        <v>17.946866631000155</v>
      </c>
    </row>
    <row r="10" spans="2:26" ht="18.75" x14ac:dyDescent="0.3">
      <c r="B10" s="163" t="s">
        <v>31</v>
      </c>
      <c r="C10" s="167">
        <f>Table_2_Dashboard!D14</f>
        <v>0.84</v>
      </c>
      <c r="D10" s="8"/>
      <c r="E10" s="13" t="s">
        <v>382</v>
      </c>
      <c r="F10" s="14" t="s">
        <v>575</v>
      </c>
      <c r="G10" s="15">
        <v>8</v>
      </c>
      <c r="H10" s="40"/>
      <c r="I10" s="29">
        <f t="shared" si="15"/>
        <v>99969.134117404305</v>
      </c>
      <c r="J10" s="32"/>
      <c r="K10" s="31">
        <f t="shared" si="1"/>
        <v>99969.134117404305</v>
      </c>
      <c r="L10" s="29">
        <f t="shared" si="8"/>
        <v>11.505396686209888</v>
      </c>
      <c r="M10" s="33">
        <f t="shared" si="9"/>
        <v>6.8583530834754605</v>
      </c>
      <c r="N10" s="30">
        <f t="shared" si="2"/>
        <v>2.8763491715524721</v>
      </c>
      <c r="O10" s="30">
        <f>L10*(1-$C$10)*Table_2_Dashboard!J11</f>
        <v>0</v>
      </c>
      <c r="P10" s="31">
        <f>L10+M10-N10-O10</f>
        <v>15.487400598132876</v>
      </c>
      <c r="Q10" s="29">
        <f t="shared" si="11"/>
        <v>6.4414699447902679</v>
      </c>
      <c r="R10" s="30">
        <f t="shared" si="12"/>
        <v>2.6920341732274151</v>
      </c>
      <c r="S10" s="30">
        <f t="shared" si="3"/>
        <v>0.46010499605644767</v>
      </c>
      <c r="T10" s="30">
        <f>(1-$C$11)*Q10*Table_2_Dashboard!J11</f>
        <v>0</v>
      </c>
      <c r="U10" s="30">
        <f t="shared" si="4"/>
        <v>0.81162521304357371</v>
      </c>
      <c r="V10" s="31">
        <f t="shared" si="5"/>
        <v>7.8617739089176624</v>
      </c>
      <c r="W10" s="29">
        <f t="shared" si="13"/>
        <v>0.86317744403935315</v>
      </c>
      <c r="X10" s="30">
        <f t="shared" si="14"/>
        <v>0.35557389749653984</v>
      </c>
      <c r="Y10" s="165">
        <f t="shared" si="6"/>
        <v>1.218751341535893</v>
      </c>
      <c r="Z10" s="41">
        <f t="shared" si="7"/>
        <v>23.349174507050538</v>
      </c>
    </row>
    <row r="11" spans="2:26" ht="18.75" x14ac:dyDescent="0.3">
      <c r="B11" s="163" t="s">
        <v>32</v>
      </c>
      <c r="C11" s="167">
        <f>Table_2_Dashboard!D15</f>
        <v>0.28999999999999998</v>
      </c>
      <c r="D11" s="8"/>
      <c r="E11" s="9" t="s">
        <v>383</v>
      </c>
      <c r="F11" s="10" t="s">
        <v>11</v>
      </c>
      <c r="G11" s="11">
        <v>9</v>
      </c>
      <c r="H11" s="40"/>
      <c r="I11" s="29">
        <f t="shared" si="15"/>
        <v>99969.134117404305</v>
      </c>
      <c r="J11" s="32"/>
      <c r="K11" s="31">
        <f t="shared" si="1"/>
        <v>99969.134117404305</v>
      </c>
      <c r="L11" s="29">
        <f>P10</f>
        <v>15.487400598132876</v>
      </c>
      <c r="M11" s="34"/>
      <c r="N11" s="30">
        <f t="shared" si="2"/>
        <v>3.8718501495332189</v>
      </c>
      <c r="O11" s="30">
        <f>L11*(1-$C$10)*Table_2_Dashboard!J13</f>
        <v>0</v>
      </c>
      <c r="P11" s="31">
        <f t="shared" si="10"/>
        <v>11.615550448599656</v>
      </c>
      <c r="Q11" s="29">
        <f t="shared" si="11"/>
        <v>7.8617739089176624</v>
      </c>
      <c r="R11" s="30">
        <f t="shared" si="12"/>
        <v>2.8763491715524721</v>
      </c>
      <c r="S11" s="30">
        <f t="shared" si="3"/>
        <v>0.56155527920840442</v>
      </c>
      <c r="T11" s="30">
        <f>Q11*(1-$C$11)*Table_2_Dashboard!J13</f>
        <v>0</v>
      </c>
      <c r="U11" s="30">
        <f t="shared" si="4"/>
        <v>0.99058351252362542</v>
      </c>
      <c r="V11" s="31">
        <f t="shared" si="5"/>
        <v>9.1859842887381049</v>
      </c>
      <c r="W11" s="29">
        <f t="shared" si="13"/>
        <v>1.218751341535893</v>
      </c>
      <c r="X11" s="30">
        <f t="shared" si="14"/>
        <v>0.46010499605644767</v>
      </c>
      <c r="Y11" s="165">
        <f t="shared" si="6"/>
        <v>1.6788563375923407</v>
      </c>
      <c r="Z11" s="41">
        <f t="shared" si="7"/>
        <v>20.801534737337761</v>
      </c>
    </row>
    <row r="12" spans="2:26" ht="16.5" x14ac:dyDescent="0.3">
      <c r="B12" s="168"/>
      <c r="C12" s="169"/>
      <c r="D12" s="8"/>
      <c r="E12" s="9" t="s">
        <v>384</v>
      </c>
      <c r="F12" s="10" t="s">
        <v>12</v>
      </c>
      <c r="G12" s="11">
        <v>10</v>
      </c>
      <c r="H12" s="40"/>
      <c r="I12" s="29">
        <f t="shared" si="15"/>
        <v>99969.134117404305</v>
      </c>
      <c r="J12" s="32"/>
      <c r="K12" s="31">
        <f t="shared" si="1"/>
        <v>99969.134117404305</v>
      </c>
      <c r="L12" s="29">
        <f t="shared" si="8"/>
        <v>11.615550448599656</v>
      </c>
      <c r="M12" s="34"/>
      <c r="N12" s="30">
        <f t="shared" si="2"/>
        <v>2.903887612149914</v>
      </c>
      <c r="O12" s="30">
        <f>L12*(1-$C$10)*Table_2_Dashboard!J14</f>
        <v>0</v>
      </c>
      <c r="P12" s="31">
        <f t="shared" si="10"/>
        <v>8.7116628364497419</v>
      </c>
      <c r="Q12" s="29">
        <f t="shared" si="11"/>
        <v>9.1859842887381049</v>
      </c>
      <c r="R12" s="30">
        <f t="shared" si="12"/>
        <v>3.8718501495332189</v>
      </c>
      <c r="S12" s="30">
        <f t="shared" si="3"/>
        <v>0.6561417349098646</v>
      </c>
      <c r="T12" s="30">
        <f>Q12*(1-$C$11)*Table_2_Dashboard!J14</f>
        <v>0</v>
      </c>
      <c r="U12" s="30">
        <f t="shared" si="4"/>
        <v>1.1574340203810012</v>
      </c>
      <c r="V12" s="31">
        <f t="shared" si="5"/>
        <v>11.244258682980458</v>
      </c>
      <c r="W12" s="29">
        <f t="shared" si="13"/>
        <v>1.6788563375923407</v>
      </c>
      <c r="X12" s="30">
        <f t="shared" si="14"/>
        <v>0.56155527920840442</v>
      </c>
      <c r="Y12" s="165">
        <f t="shared" si="6"/>
        <v>2.2404116168007451</v>
      </c>
      <c r="Z12" s="41">
        <f t="shared" si="7"/>
        <v>19.955921519430198</v>
      </c>
    </row>
    <row r="13" spans="2:26" ht="16.5" x14ac:dyDescent="0.3">
      <c r="B13" s="185" t="s">
        <v>40</v>
      </c>
      <c r="C13" s="186" t="s">
        <v>0</v>
      </c>
      <c r="D13" s="8"/>
      <c r="E13" s="9" t="s">
        <v>385</v>
      </c>
      <c r="F13" s="10" t="s">
        <v>13</v>
      </c>
      <c r="G13" s="11">
        <v>11</v>
      </c>
      <c r="H13" s="40"/>
      <c r="I13" s="29">
        <f t="shared" si="15"/>
        <v>99969.134117404305</v>
      </c>
      <c r="J13" s="32"/>
      <c r="K13" s="31">
        <f t="shared" si="1"/>
        <v>99969.134117404305</v>
      </c>
      <c r="L13" s="29">
        <f t="shared" si="8"/>
        <v>8.7116628364497419</v>
      </c>
      <c r="M13" s="34"/>
      <c r="N13" s="30">
        <f t="shared" si="2"/>
        <v>2.1779157091124355</v>
      </c>
      <c r="O13" s="30">
        <f>L13*(1-$C$10)*Table_2_Dashboard!J15</f>
        <v>0</v>
      </c>
      <c r="P13" s="31">
        <f t="shared" si="10"/>
        <v>6.5337471273373069</v>
      </c>
      <c r="Q13" s="29">
        <f t="shared" si="11"/>
        <v>11.244258682980458</v>
      </c>
      <c r="R13" s="30">
        <f t="shared" si="12"/>
        <v>2.903887612149914</v>
      </c>
      <c r="S13" s="30">
        <f t="shared" si="3"/>
        <v>0.80316133449860416</v>
      </c>
      <c r="T13" s="30">
        <f>Q13*(1-$C$11)*Table_2_Dashboard!J15</f>
        <v>0</v>
      </c>
      <c r="U13" s="30">
        <f t="shared" si="4"/>
        <v>1.4167765940555377</v>
      </c>
      <c r="V13" s="31">
        <f t="shared" si="5"/>
        <v>11.92820836657623</v>
      </c>
      <c r="W13" s="29">
        <f t="shared" si="13"/>
        <v>2.2404116168007451</v>
      </c>
      <c r="X13" s="30">
        <f t="shared" si="14"/>
        <v>0.6561417349098646</v>
      </c>
      <c r="Y13" s="165">
        <f t="shared" si="6"/>
        <v>2.8965533517106099</v>
      </c>
      <c r="Z13" s="41">
        <f t="shared" si="7"/>
        <v>18.461955493913536</v>
      </c>
    </row>
    <row r="14" spans="2:26" ht="18.75" x14ac:dyDescent="0.3">
      <c r="B14" s="163" t="s">
        <v>33</v>
      </c>
      <c r="C14" s="169">
        <f>Table_2_Dashboard!D22</f>
        <v>4.8999999999999998E-5</v>
      </c>
      <c r="D14" s="8"/>
      <c r="E14" s="9" t="s">
        <v>386</v>
      </c>
      <c r="F14" s="10" t="s">
        <v>14</v>
      </c>
      <c r="G14" s="11">
        <v>12</v>
      </c>
      <c r="H14" s="40"/>
      <c r="I14" s="29">
        <f t="shared" si="15"/>
        <v>99969.134117404305</v>
      </c>
      <c r="J14" s="32"/>
      <c r="K14" s="31">
        <f t="shared" si="1"/>
        <v>99969.134117404305</v>
      </c>
      <c r="L14" s="29">
        <f t="shared" si="8"/>
        <v>6.5337471273373069</v>
      </c>
      <c r="M14" s="34"/>
      <c r="N14" s="30">
        <f t="shared" si="2"/>
        <v>1.6334367818343267</v>
      </c>
      <c r="O14" s="30">
        <f>L14*(1-$C$10)*Table_2_Dashboard!J16</f>
        <v>0</v>
      </c>
      <c r="P14" s="31">
        <f t="shared" si="10"/>
        <v>4.9003103455029802</v>
      </c>
      <c r="Q14" s="29">
        <f t="shared" si="11"/>
        <v>11.92820836657623</v>
      </c>
      <c r="R14" s="30">
        <f t="shared" si="12"/>
        <v>2.1779157091124355</v>
      </c>
      <c r="S14" s="30">
        <f t="shared" si="3"/>
        <v>0.85201488332687358</v>
      </c>
      <c r="T14" s="30">
        <f>Q14*(1-$C$11)*Table_2_Dashboard!J16</f>
        <v>0</v>
      </c>
      <c r="U14" s="30">
        <f t="shared" si="4"/>
        <v>1.502954254188605</v>
      </c>
      <c r="V14" s="31">
        <f t="shared" si="5"/>
        <v>11.751154938173187</v>
      </c>
      <c r="W14" s="29">
        <f t="shared" si="13"/>
        <v>2.8965533517106099</v>
      </c>
      <c r="X14" s="30">
        <f t="shared" si="14"/>
        <v>0.80316133449860416</v>
      </c>
      <c r="Y14" s="165">
        <f t="shared" si="6"/>
        <v>3.6997146862092141</v>
      </c>
      <c r="Z14" s="41">
        <f t="shared" si="7"/>
        <v>16.651465283676167</v>
      </c>
    </row>
    <row r="15" spans="2:26" ht="18.75" x14ac:dyDescent="0.3">
      <c r="B15" s="163" t="s">
        <v>34</v>
      </c>
      <c r="C15" s="170">
        <v>1</v>
      </c>
      <c r="D15" s="8"/>
      <c r="E15" s="9" t="s">
        <v>387</v>
      </c>
      <c r="F15" s="10" t="s">
        <v>15</v>
      </c>
      <c r="G15" s="11">
        <v>13</v>
      </c>
      <c r="H15" s="40"/>
      <c r="I15" s="29">
        <f t="shared" si="15"/>
        <v>99969.134117404305</v>
      </c>
      <c r="J15" s="32"/>
      <c r="K15" s="31">
        <f t="shared" si="1"/>
        <v>99969.134117404305</v>
      </c>
      <c r="L15" s="29">
        <f t="shared" si="8"/>
        <v>4.9003103455029802</v>
      </c>
      <c r="M15" s="34"/>
      <c r="N15" s="30">
        <f t="shared" si="2"/>
        <v>1.225077586375745</v>
      </c>
      <c r="O15" s="30">
        <f>L15*(1-$C$10)*Table_2_Dashboard!J17</f>
        <v>0</v>
      </c>
      <c r="P15" s="31">
        <f t="shared" si="10"/>
        <v>3.6752327591272351</v>
      </c>
      <c r="Q15" s="29">
        <f t="shared" si="11"/>
        <v>11.751154938173187</v>
      </c>
      <c r="R15" s="30">
        <f t="shared" si="12"/>
        <v>1.6334367818343267</v>
      </c>
      <c r="S15" s="30">
        <f t="shared" si="3"/>
        <v>0.83936820986951333</v>
      </c>
      <c r="T15" s="30">
        <f>Q15*(1-$C$11)*Table_2_Dashboard!J17</f>
        <v>0</v>
      </c>
      <c r="U15" s="30">
        <f t="shared" si="4"/>
        <v>1.4806455222098214</v>
      </c>
      <c r="V15" s="31">
        <f t="shared" si="5"/>
        <v>11.064577987928178</v>
      </c>
      <c r="W15" s="29">
        <f t="shared" si="13"/>
        <v>3.6997146862092141</v>
      </c>
      <c r="X15" s="30">
        <f t="shared" si="14"/>
        <v>0.85201488332687358</v>
      </c>
      <c r="Y15" s="165">
        <f t="shared" si="6"/>
        <v>4.5517295695360875</v>
      </c>
      <c r="Z15" s="41">
        <f t="shared" si="7"/>
        <v>14.739810747055413</v>
      </c>
    </row>
    <row r="16" spans="2:26" ht="16.5" x14ac:dyDescent="0.3">
      <c r="B16" s="168"/>
      <c r="C16" s="169"/>
      <c r="D16" s="8"/>
      <c r="E16" s="9" t="s">
        <v>388</v>
      </c>
      <c r="F16" s="10" t="s">
        <v>16</v>
      </c>
      <c r="G16" s="11">
        <v>14</v>
      </c>
      <c r="H16" s="40"/>
      <c r="I16" s="29">
        <f t="shared" si="15"/>
        <v>99969.134117404305</v>
      </c>
      <c r="J16" s="32"/>
      <c r="K16" s="31">
        <f t="shared" si="1"/>
        <v>99969.134117404305</v>
      </c>
      <c r="L16" s="29">
        <f t="shared" si="8"/>
        <v>3.6752327591272351</v>
      </c>
      <c r="M16" s="34"/>
      <c r="N16" s="30">
        <f t="shared" si="2"/>
        <v>0.91880818978180878</v>
      </c>
      <c r="O16" s="30">
        <f>L16*(1-$C$10)*Table_2_Dashboard!J18</f>
        <v>0</v>
      </c>
      <c r="P16" s="31">
        <f t="shared" si="10"/>
        <v>2.7564245693454263</v>
      </c>
      <c r="Q16" s="29">
        <f t="shared" si="11"/>
        <v>11.064577987928178</v>
      </c>
      <c r="R16" s="30">
        <f t="shared" si="12"/>
        <v>1.225077586375745</v>
      </c>
      <c r="S16" s="30">
        <f t="shared" si="3"/>
        <v>0.79032699913772697</v>
      </c>
      <c r="T16" s="30">
        <f>Q16*(1-$C$11)*Table_2_Dashboard!J18</f>
        <v>0</v>
      </c>
      <c r="U16" s="30">
        <f t="shared" si="4"/>
        <v>1.3941368264789502</v>
      </c>
      <c r="V16" s="31">
        <f t="shared" si="5"/>
        <v>10.105191748687245</v>
      </c>
      <c r="W16" s="29">
        <f t="shared" si="13"/>
        <v>4.5517295695360875</v>
      </c>
      <c r="X16" s="30">
        <f t="shared" si="14"/>
        <v>0.83936820986951333</v>
      </c>
      <c r="Y16" s="165">
        <f t="shared" si="6"/>
        <v>5.3910977794056008</v>
      </c>
      <c r="Z16" s="41">
        <f t="shared" si="7"/>
        <v>12.861616318032672</v>
      </c>
    </row>
    <row r="17" spans="2:26" ht="16.5" x14ac:dyDescent="0.3">
      <c r="B17" s="185" t="s">
        <v>41</v>
      </c>
      <c r="C17" s="186" t="s">
        <v>0</v>
      </c>
      <c r="D17" s="8"/>
      <c r="E17" s="9" t="s">
        <v>389</v>
      </c>
      <c r="F17" s="10" t="s">
        <v>17</v>
      </c>
      <c r="G17" s="11">
        <v>15</v>
      </c>
      <c r="H17" s="40"/>
      <c r="I17" s="29">
        <f t="shared" si="15"/>
        <v>99969.134117404305</v>
      </c>
      <c r="J17" s="32"/>
      <c r="K17" s="31">
        <f t="shared" si="1"/>
        <v>99969.134117404305</v>
      </c>
      <c r="L17" s="29">
        <f t="shared" si="8"/>
        <v>2.7564245693454263</v>
      </c>
      <c r="M17" s="34"/>
      <c r="N17" s="30">
        <f t="shared" si="2"/>
        <v>0.68910614233635659</v>
      </c>
      <c r="O17" s="30">
        <f>L17*(1-$C$10)*Table_2_Dashboard!J19</f>
        <v>0</v>
      </c>
      <c r="P17" s="31">
        <f t="shared" si="10"/>
        <v>2.0673184270090696</v>
      </c>
      <c r="Q17" s="29">
        <f t="shared" si="11"/>
        <v>10.105191748687245</v>
      </c>
      <c r="R17" s="30">
        <f t="shared" si="12"/>
        <v>0.91880818978180878</v>
      </c>
      <c r="S17" s="30">
        <f t="shared" si="3"/>
        <v>0.72179941062051745</v>
      </c>
      <c r="T17" s="30">
        <f>Q17*(1-$C$11)*Table_2_Dashboard!J19</f>
        <v>0</v>
      </c>
      <c r="U17" s="30">
        <f t="shared" si="4"/>
        <v>1.2732541603345928</v>
      </c>
      <c r="V17" s="31">
        <f t="shared" si="5"/>
        <v>9.0289463675139423</v>
      </c>
      <c r="W17" s="29">
        <f t="shared" si="13"/>
        <v>5.3910977794056008</v>
      </c>
      <c r="X17" s="30">
        <f t="shared" si="14"/>
        <v>0.79032699913772697</v>
      </c>
      <c r="Y17" s="165">
        <f t="shared" si="6"/>
        <v>6.1814247785433274</v>
      </c>
      <c r="Z17" s="41">
        <f t="shared" si="7"/>
        <v>11.096264794523012</v>
      </c>
    </row>
    <row r="18" spans="2:26" ht="18.75" x14ac:dyDescent="0.3">
      <c r="B18" s="163" t="s">
        <v>35</v>
      </c>
      <c r="C18" s="169">
        <f>Table_2_Dashboard!D30</f>
        <v>0.3</v>
      </c>
      <c r="D18" s="8"/>
      <c r="E18" s="9" t="s">
        <v>390</v>
      </c>
      <c r="F18" s="10" t="s">
        <v>18</v>
      </c>
      <c r="G18" s="11">
        <v>16</v>
      </c>
      <c r="H18" s="40"/>
      <c r="I18" s="29">
        <f t="shared" si="15"/>
        <v>99969.134117404305</v>
      </c>
      <c r="J18" s="32"/>
      <c r="K18" s="31">
        <f t="shared" si="1"/>
        <v>99969.134117404305</v>
      </c>
      <c r="L18" s="29">
        <f t="shared" si="8"/>
        <v>2.0673184270090696</v>
      </c>
      <c r="M18" s="34"/>
      <c r="N18" s="30">
        <f t="shared" si="2"/>
        <v>0.51682960675226741</v>
      </c>
      <c r="O18" s="30">
        <f>L18*(1-$C$10)*Table_2_Dashboard!J20</f>
        <v>0</v>
      </c>
      <c r="P18" s="31">
        <f t="shared" si="10"/>
        <v>1.5504888202568021</v>
      </c>
      <c r="Q18" s="29">
        <f t="shared" si="11"/>
        <v>9.0289463675139423</v>
      </c>
      <c r="R18" s="30">
        <f t="shared" si="12"/>
        <v>0.68910614233635659</v>
      </c>
      <c r="S18" s="30">
        <f t="shared" si="3"/>
        <v>0.64492474053671012</v>
      </c>
      <c r="T18" s="30">
        <f>Q18*(1-$C$11)*Table_2_Dashboard!J20</f>
        <v>0</v>
      </c>
      <c r="U18" s="30">
        <f t="shared" si="4"/>
        <v>1.1376472423067567</v>
      </c>
      <c r="V18" s="31">
        <f t="shared" si="5"/>
        <v>7.9354805270068312</v>
      </c>
      <c r="W18" s="29">
        <f t="shared" si="13"/>
        <v>6.1814247785433274</v>
      </c>
      <c r="X18" s="30">
        <f t="shared" si="14"/>
        <v>0.72179941062051745</v>
      </c>
      <c r="Y18" s="165">
        <f t="shared" si="6"/>
        <v>6.9032241891638453</v>
      </c>
      <c r="Z18" s="41">
        <f t="shared" si="7"/>
        <v>9.4859693472636337</v>
      </c>
    </row>
    <row r="19" spans="2:26" ht="18.75" x14ac:dyDescent="0.3">
      <c r="B19" s="163" t="s">
        <v>36</v>
      </c>
      <c r="C19" s="169">
        <f>(((C15)*(1-C18))+(1-C15))</f>
        <v>0.7</v>
      </c>
      <c r="D19" s="8"/>
      <c r="E19" s="9" t="s">
        <v>391</v>
      </c>
      <c r="F19" s="10" t="s">
        <v>19</v>
      </c>
      <c r="G19" s="11">
        <v>17</v>
      </c>
      <c r="H19" s="40"/>
      <c r="I19" s="29">
        <f t="shared" si="15"/>
        <v>99969.134117404305</v>
      </c>
      <c r="J19" s="32"/>
      <c r="K19" s="31">
        <f t="shared" si="1"/>
        <v>99969.134117404305</v>
      </c>
      <c r="L19" s="29">
        <f t="shared" si="8"/>
        <v>1.5504888202568021</v>
      </c>
      <c r="M19" s="34"/>
      <c r="N19" s="30">
        <f t="shared" si="2"/>
        <v>0.38762220506420053</v>
      </c>
      <c r="O19" s="30">
        <f>L19*(1-$C$10)*Table_2_Dashboard!J21</f>
        <v>0</v>
      </c>
      <c r="P19" s="31">
        <f t="shared" si="10"/>
        <v>1.1628666151926015</v>
      </c>
      <c r="Q19" s="29">
        <f t="shared" si="11"/>
        <v>7.9354805270068312</v>
      </c>
      <c r="R19" s="30">
        <f t="shared" si="12"/>
        <v>0.51682960675226741</v>
      </c>
      <c r="S19" s="30">
        <f t="shared" si="3"/>
        <v>0.5668200376433451</v>
      </c>
      <c r="T19" s="30">
        <f>Q19*(1-$C$11)*Table_2_Dashboard!J21</f>
        <v>0</v>
      </c>
      <c r="U19" s="30">
        <f t="shared" si="4"/>
        <v>0.99987054640286055</v>
      </c>
      <c r="V19" s="31">
        <f t="shared" si="5"/>
        <v>6.8856195497128931</v>
      </c>
      <c r="W19" s="29">
        <f t="shared" si="13"/>
        <v>6.9032241891638453</v>
      </c>
      <c r="X19" s="30">
        <f t="shared" si="14"/>
        <v>0.64492474053671012</v>
      </c>
      <c r="Y19" s="165">
        <f t="shared" si="6"/>
        <v>7.5481489297005551</v>
      </c>
      <c r="Z19" s="41">
        <f t="shared" si="7"/>
        <v>8.0484861649054942</v>
      </c>
    </row>
    <row r="20" spans="2:26" ht="18.75" x14ac:dyDescent="0.3">
      <c r="B20" s="163" t="s">
        <v>37</v>
      </c>
      <c r="C20" s="169">
        <f>Table_2_Dashboard!D31</f>
        <v>0.7</v>
      </c>
      <c r="D20" s="8"/>
      <c r="E20" s="9" t="s">
        <v>392</v>
      </c>
      <c r="F20" s="10" t="s">
        <v>20</v>
      </c>
      <c r="G20" s="11">
        <v>18</v>
      </c>
      <c r="H20" s="40"/>
      <c r="I20" s="29">
        <f t="shared" si="15"/>
        <v>99969.134117404305</v>
      </c>
      <c r="J20" s="32"/>
      <c r="K20" s="31">
        <f t="shared" si="1"/>
        <v>99969.134117404305</v>
      </c>
      <c r="L20" s="29">
        <f t="shared" si="8"/>
        <v>1.1628666151926015</v>
      </c>
      <c r="M20" s="34"/>
      <c r="N20" s="30">
        <f t="shared" si="2"/>
        <v>0.29071665379815037</v>
      </c>
      <c r="O20" s="30">
        <f>L20*(1-$C$10)*Table_2_Dashboard!J22</f>
        <v>0</v>
      </c>
      <c r="P20" s="31">
        <f t="shared" si="10"/>
        <v>0.87214996139445111</v>
      </c>
      <c r="Q20" s="29">
        <f t="shared" si="11"/>
        <v>6.8856195497128931</v>
      </c>
      <c r="R20" s="30">
        <f t="shared" si="12"/>
        <v>0.38762220506420053</v>
      </c>
      <c r="S20" s="30">
        <f t="shared" si="3"/>
        <v>0.49182996783663518</v>
      </c>
      <c r="T20" s="30">
        <f>Q20*(1-$C$11)*Table_2_Dashboard!J22</f>
        <v>0</v>
      </c>
      <c r="U20" s="30">
        <f t="shared" si="4"/>
        <v>0.86758806326382454</v>
      </c>
      <c r="V20" s="31">
        <f t="shared" si="5"/>
        <v>5.913823723676634</v>
      </c>
      <c r="W20" s="29">
        <f t="shared" si="13"/>
        <v>7.5481489297005551</v>
      </c>
      <c r="X20" s="30">
        <f t="shared" si="14"/>
        <v>0.5668200376433451</v>
      </c>
      <c r="Y20" s="165">
        <f t="shared" si="6"/>
        <v>8.1149689673439003</v>
      </c>
      <c r="Z20" s="41">
        <f t="shared" si="7"/>
        <v>6.7859736850710854</v>
      </c>
    </row>
    <row r="21" spans="2:26" ht="18.75" x14ac:dyDescent="0.3">
      <c r="B21" s="163" t="s">
        <v>38</v>
      </c>
      <c r="C21" s="102">
        <f>(((C15)*(1-C20))+(1-C15))</f>
        <v>0.30000000000000004</v>
      </c>
      <c r="D21" s="8"/>
      <c r="E21" s="9" t="s">
        <v>393</v>
      </c>
      <c r="F21" s="10" t="s">
        <v>21</v>
      </c>
      <c r="G21" s="11">
        <v>19</v>
      </c>
      <c r="H21" s="40"/>
      <c r="I21" s="29">
        <f t="shared" si="15"/>
        <v>99969.134117404305</v>
      </c>
      <c r="J21" s="32"/>
      <c r="K21" s="31">
        <f t="shared" si="1"/>
        <v>99969.134117404305</v>
      </c>
      <c r="L21" s="29">
        <f t="shared" si="8"/>
        <v>0.87214996139445111</v>
      </c>
      <c r="M21" s="34"/>
      <c r="N21" s="30">
        <f t="shared" si="2"/>
        <v>0.21803749034861278</v>
      </c>
      <c r="O21" s="30">
        <f>L21*(1-$C$10)*Table_2_Dashboard!J23</f>
        <v>0</v>
      </c>
      <c r="P21" s="31">
        <f t="shared" si="10"/>
        <v>0.65411247104583836</v>
      </c>
      <c r="Q21" s="29">
        <f t="shared" si="11"/>
        <v>5.913823723676634</v>
      </c>
      <c r="R21" s="30">
        <f t="shared" si="12"/>
        <v>0.29071665379815037</v>
      </c>
      <c r="S21" s="30">
        <f t="shared" si="3"/>
        <v>0.42241598026261667</v>
      </c>
      <c r="T21" s="30">
        <f>Q21*(1-$C$11)*Table_2_Dashboard!J23</f>
        <v>0</v>
      </c>
      <c r="U21" s="30">
        <f t="shared" si="4"/>
        <v>0.74514178918325591</v>
      </c>
      <c r="V21" s="31">
        <f t="shared" si="5"/>
        <v>5.0369826080289117</v>
      </c>
      <c r="W21" s="29">
        <f t="shared" si="13"/>
        <v>8.1149689673439003</v>
      </c>
      <c r="X21" s="30">
        <f t="shared" si="14"/>
        <v>0.49182996783663518</v>
      </c>
      <c r="Y21" s="165">
        <f t="shared" si="6"/>
        <v>8.6067989351805352</v>
      </c>
      <c r="Z21" s="41">
        <f t="shared" si="7"/>
        <v>5.6910950790747501</v>
      </c>
    </row>
    <row r="22" spans="2:26" ht="16.5" x14ac:dyDescent="0.3">
      <c r="B22" s="168"/>
      <c r="C22" s="171"/>
      <c r="D22" s="8"/>
      <c r="E22" s="9" t="s">
        <v>394</v>
      </c>
      <c r="F22" s="10" t="s">
        <v>22</v>
      </c>
      <c r="G22" s="11">
        <v>20</v>
      </c>
      <c r="H22" s="40"/>
      <c r="I22" s="29">
        <f t="shared" si="15"/>
        <v>99969.134117404305</v>
      </c>
      <c r="J22" s="32"/>
      <c r="K22" s="31">
        <f t="shared" si="1"/>
        <v>99969.134117404305</v>
      </c>
      <c r="L22" s="29">
        <f t="shared" si="8"/>
        <v>0.65411247104583836</v>
      </c>
      <c r="M22" s="34"/>
      <c r="N22" s="30">
        <f t="shared" si="2"/>
        <v>0.16352811776145959</v>
      </c>
      <c r="O22" s="30">
        <f>L22*(1-$C$10)*Table_2_Dashboard!J24</f>
        <v>0</v>
      </c>
      <c r="P22" s="31">
        <f t="shared" si="10"/>
        <v>0.49058435328437877</v>
      </c>
      <c r="Q22" s="29">
        <f t="shared" si="11"/>
        <v>5.0369826080289117</v>
      </c>
      <c r="R22" s="30">
        <f t="shared" si="12"/>
        <v>0.21803749034861278</v>
      </c>
      <c r="S22" s="30">
        <f t="shared" si="3"/>
        <v>0.35978447200206509</v>
      </c>
      <c r="T22" s="30">
        <f>Q22*(1-$C$11)*Table_2_Dashboard!J24</f>
        <v>0</v>
      </c>
      <c r="U22" s="30">
        <f t="shared" si="4"/>
        <v>0.63465980861164284</v>
      </c>
      <c r="V22" s="31">
        <f t="shared" si="5"/>
        <v>4.2605758177638169</v>
      </c>
      <c r="W22" s="29">
        <f t="shared" si="13"/>
        <v>8.6067989351805352</v>
      </c>
      <c r="X22" s="30">
        <f t="shared" si="14"/>
        <v>0.42241598026261667</v>
      </c>
      <c r="Y22" s="165">
        <f t="shared" si="6"/>
        <v>9.029214915443152</v>
      </c>
      <c r="Z22" s="41">
        <f t="shared" si="7"/>
        <v>4.7511601710481957</v>
      </c>
    </row>
    <row r="23" spans="2:26" ht="16.5" x14ac:dyDescent="0.3">
      <c r="B23" s="168"/>
      <c r="C23" s="171"/>
      <c r="D23" s="8"/>
      <c r="E23" s="9" t="s">
        <v>395</v>
      </c>
      <c r="F23" s="10" t="s">
        <v>13</v>
      </c>
      <c r="G23" s="11">
        <v>21</v>
      </c>
      <c r="H23" s="40"/>
      <c r="I23" s="29">
        <f t="shared" si="15"/>
        <v>99969.134117404305</v>
      </c>
      <c r="J23" s="32"/>
      <c r="K23" s="31">
        <f t="shared" si="1"/>
        <v>99969.134117404305</v>
      </c>
      <c r="L23" s="29">
        <f t="shared" si="8"/>
        <v>0.49058435328437877</v>
      </c>
      <c r="M23" s="34"/>
      <c r="N23" s="30">
        <f t="shared" si="2"/>
        <v>0.12264608832109469</v>
      </c>
      <c r="O23" s="30">
        <f>L23*(1-$C$10)*Table_2_Dashboard!J25</f>
        <v>0</v>
      </c>
      <c r="P23" s="31">
        <f t="shared" si="10"/>
        <v>0.36793826496328408</v>
      </c>
      <c r="Q23" s="29">
        <f t="shared" si="11"/>
        <v>4.2605758177638169</v>
      </c>
      <c r="R23" s="30">
        <f t="shared" si="12"/>
        <v>0.16352811776145959</v>
      </c>
      <c r="S23" s="30">
        <f t="shared" si="3"/>
        <v>0.30432684412598693</v>
      </c>
      <c r="T23" s="30">
        <f>Q23*(1-$C$11)*Table_2_Dashboard!J25</f>
        <v>0</v>
      </c>
      <c r="U23" s="30">
        <f t="shared" si="4"/>
        <v>0.53683255303824085</v>
      </c>
      <c r="V23" s="31">
        <f t="shared" si="5"/>
        <v>3.582944538361049</v>
      </c>
      <c r="W23" s="29">
        <f t="shared" si="13"/>
        <v>9.029214915443152</v>
      </c>
      <c r="X23" s="30">
        <f t="shared" si="14"/>
        <v>0.35978447200206509</v>
      </c>
      <c r="Y23" s="165">
        <f t="shared" si="6"/>
        <v>9.3889993874452173</v>
      </c>
      <c r="Z23" s="41">
        <f t="shared" si="7"/>
        <v>3.9508828033243333</v>
      </c>
    </row>
    <row r="24" spans="2:26" ht="17.25" thickBot="1" x14ac:dyDescent="0.35">
      <c r="B24" s="172"/>
      <c r="C24" s="173"/>
      <c r="D24" s="8"/>
      <c r="E24" s="20" t="s">
        <v>396</v>
      </c>
      <c r="F24" s="21" t="s">
        <v>23</v>
      </c>
      <c r="G24" s="22">
        <v>22</v>
      </c>
      <c r="H24" s="40"/>
      <c r="I24" s="35">
        <f>K23</f>
        <v>99969.134117404305</v>
      </c>
      <c r="J24" s="36"/>
      <c r="K24" s="37">
        <f t="shared" si="1"/>
        <v>99969.134117404305</v>
      </c>
      <c r="L24" s="35">
        <f t="shared" si="8"/>
        <v>0.36793826496328408</v>
      </c>
      <c r="M24" s="36"/>
      <c r="N24" s="38">
        <f t="shared" si="2"/>
        <v>9.198456624082102E-2</v>
      </c>
      <c r="O24" s="38">
        <f>L24*(1-$C$10)*Table_2_Dashboard!J26</f>
        <v>0</v>
      </c>
      <c r="P24" s="37">
        <f t="shared" si="10"/>
        <v>0.27595369872246306</v>
      </c>
      <c r="Q24" s="29">
        <f t="shared" si="11"/>
        <v>3.582944538361049</v>
      </c>
      <c r="R24" s="38">
        <f t="shared" si="12"/>
        <v>0.12264608832109469</v>
      </c>
      <c r="S24" s="38">
        <f t="shared" si="3"/>
        <v>0.25592460988293203</v>
      </c>
      <c r="T24" s="38">
        <f>Q24*(1-$C$11)*Table_2_Dashboard!J26</f>
        <v>0</v>
      </c>
      <c r="U24" s="38">
        <f t="shared" si="4"/>
        <v>0.45145101183349207</v>
      </c>
      <c r="V24" s="37">
        <f t="shared" si="5"/>
        <v>2.9982150049657195</v>
      </c>
      <c r="W24" s="29">
        <f>Y23</f>
        <v>9.3889993874452173</v>
      </c>
      <c r="X24" s="30">
        <f t="shared" si="14"/>
        <v>0.30432684412598693</v>
      </c>
      <c r="Y24" s="165">
        <f t="shared" si="6"/>
        <v>9.6933262315712039</v>
      </c>
      <c r="Z24" s="42">
        <f t="shared" si="7"/>
        <v>3.2741687036881824</v>
      </c>
    </row>
    <row r="25" spans="2:26" ht="4.9000000000000004" customHeight="1" thickBot="1" x14ac:dyDescent="0.35">
      <c r="B25" s="23"/>
      <c r="C25" s="24"/>
      <c r="D25" s="8"/>
      <c r="E25" s="12"/>
      <c r="F25" s="12"/>
      <c r="G25" s="12"/>
      <c r="H25" s="12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2:26" ht="16.149999999999999" customHeight="1" thickBot="1" x14ac:dyDescent="0.35">
      <c r="B26" s="189">
        <v>1</v>
      </c>
      <c r="C26" s="191"/>
      <c r="D26" s="6"/>
      <c r="E26" s="189">
        <v>2</v>
      </c>
      <c r="F26" s="190"/>
      <c r="G26" s="191"/>
      <c r="H26" s="6"/>
      <c r="I26" s="189">
        <v>3</v>
      </c>
      <c r="J26" s="190"/>
      <c r="K26" s="191"/>
      <c r="L26" s="189">
        <v>4</v>
      </c>
      <c r="M26" s="190"/>
      <c r="N26" s="190"/>
      <c r="O26" s="190"/>
      <c r="P26" s="191"/>
      <c r="Q26" s="189">
        <v>5</v>
      </c>
      <c r="R26" s="190"/>
      <c r="S26" s="190"/>
      <c r="T26" s="190"/>
      <c r="U26" s="190"/>
      <c r="V26" s="191"/>
      <c r="W26" s="189">
        <v>6</v>
      </c>
      <c r="X26" s="190"/>
      <c r="Y26" s="191"/>
      <c r="Z26" s="26">
        <v>7</v>
      </c>
    </row>
    <row r="27" spans="2:26" ht="34.9" customHeight="1" x14ac:dyDescent="0.25"/>
  </sheetData>
  <mergeCells count="6">
    <mergeCell ref="W26:Y26"/>
    <mergeCell ref="B26:C26"/>
    <mergeCell ref="E26:G26"/>
    <mergeCell ref="I26:K26"/>
    <mergeCell ref="L26:P26"/>
    <mergeCell ref="Q26:V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E4A57-B5C1-4D52-B805-A28B775E5C1B}">
  <dimension ref="B2:W32"/>
  <sheetViews>
    <sheetView tabSelected="1" zoomScale="90" zoomScaleNormal="90" workbookViewId="0">
      <selection activeCell="AB14" sqref="AB14"/>
    </sheetView>
  </sheetViews>
  <sheetFormatPr defaultColWidth="8.85546875" defaultRowHeight="15" x14ac:dyDescent="0.25"/>
  <cols>
    <col min="1" max="1" width="2" style="1" customWidth="1"/>
    <col min="2" max="2" width="3.28515625" style="1" customWidth="1"/>
    <col min="3" max="3" width="26.85546875" style="1" customWidth="1"/>
    <col min="4" max="4" width="13.7109375" style="2" customWidth="1"/>
    <col min="5" max="5" width="1.7109375" style="1" customWidth="1"/>
    <col min="6" max="6" width="10.85546875" style="1" bestFit="1" customWidth="1"/>
    <col min="7" max="7" width="14" style="1" customWidth="1"/>
    <col min="8" max="8" width="1.85546875" style="1" customWidth="1"/>
    <col min="9" max="9" width="10.85546875" style="1" bestFit="1" customWidth="1"/>
    <col min="10" max="10" width="13.28515625" style="2" customWidth="1"/>
    <col min="11" max="11" width="1.5703125" style="2" customWidth="1"/>
    <col min="12" max="12" width="2.7109375" style="1" customWidth="1"/>
    <col min="13" max="13" width="13.7109375" style="1" customWidth="1"/>
    <col min="14" max="14" width="11.28515625" style="1" customWidth="1"/>
    <col min="15" max="17" width="7.28515625" style="1" customWidth="1"/>
    <col min="18" max="18" width="2.7109375" style="1" customWidth="1"/>
    <col min="19" max="19" width="13.7109375" style="1" customWidth="1"/>
    <col min="20" max="20" width="9.5703125" style="1" bestFit="1" customWidth="1"/>
    <col min="21" max="23" width="7.28515625" style="1" customWidth="1"/>
    <col min="24" max="16384" width="8.85546875" style="1"/>
  </cols>
  <sheetData>
    <row r="2" spans="2:23" ht="22.15" customHeight="1" x14ac:dyDescent="0.25">
      <c r="B2" s="197" t="s">
        <v>582</v>
      </c>
      <c r="C2" s="197"/>
      <c r="D2" s="197"/>
      <c r="F2" s="196" t="s">
        <v>583</v>
      </c>
      <c r="G2" s="196"/>
      <c r="H2" s="196"/>
      <c r="I2" s="196"/>
      <c r="J2" s="196"/>
      <c r="L2" s="195" t="s">
        <v>599</v>
      </c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</row>
    <row r="3" spans="2:23" ht="11.25" customHeight="1" thickBot="1" x14ac:dyDescent="0.3"/>
    <row r="4" spans="2:23" ht="21" customHeight="1" x14ac:dyDescent="0.25">
      <c r="B4" s="92" t="s">
        <v>485</v>
      </c>
      <c r="C4" s="93"/>
      <c r="D4" s="94" t="s">
        <v>0</v>
      </c>
      <c r="F4" s="200" t="s">
        <v>499</v>
      </c>
      <c r="G4" s="201"/>
      <c r="H4" s="138"/>
      <c r="I4" s="200" t="s">
        <v>523</v>
      </c>
      <c r="J4" s="201"/>
      <c r="K4" s="148"/>
      <c r="L4" s="159"/>
      <c r="M4" s="206" t="s">
        <v>529</v>
      </c>
      <c r="N4" s="206"/>
      <c r="O4" s="206"/>
      <c r="P4" s="206"/>
      <c r="Q4" s="207"/>
      <c r="S4" s="208" t="s">
        <v>556</v>
      </c>
      <c r="T4" s="206"/>
      <c r="U4" s="206"/>
      <c r="V4" s="206"/>
      <c r="W4" s="207"/>
    </row>
    <row r="5" spans="2:23" ht="14.45" customHeight="1" x14ac:dyDescent="0.25">
      <c r="B5" s="95" t="s">
        <v>549</v>
      </c>
      <c r="C5" s="96"/>
      <c r="D5" s="98">
        <v>100000</v>
      </c>
      <c r="F5" s="198"/>
      <c r="G5" s="199"/>
      <c r="H5" s="138"/>
      <c r="I5" s="139"/>
      <c r="J5" s="140"/>
      <c r="K5" s="147"/>
      <c r="L5" s="204" t="s">
        <v>547</v>
      </c>
      <c r="M5" s="96"/>
      <c r="N5" s="120" t="s">
        <v>581</v>
      </c>
      <c r="O5" s="121" t="s">
        <v>497</v>
      </c>
      <c r="P5" s="120" t="s">
        <v>498</v>
      </c>
      <c r="Q5" s="122" t="s">
        <v>530</v>
      </c>
      <c r="S5" s="95"/>
      <c r="T5" s="120" t="s">
        <v>581</v>
      </c>
      <c r="U5" s="118" t="s">
        <v>497</v>
      </c>
      <c r="V5" s="117" t="s">
        <v>498</v>
      </c>
      <c r="W5" s="119" t="s">
        <v>530</v>
      </c>
    </row>
    <row r="6" spans="2:23" x14ac:dyDescent="0.25">
      <c r="B6" s="95" t="s">
        <v>550</v>
      </c>
      <c r="C6" s="96"/>
      <c r="D6" s="98">
        <v>4</v>
      </c>
      <c r="F6" s="141" t="s">
        <v>522</v>
      </c>
      <c r="G6" s="142"/>
      <c r="H6" s="138"/>
      <c r="I6" s="141" t="s">
        <v>522</v>
      </c>
      <c r="J6" s="143"/>
      <c r="K6" s="147"/>
      <c r="L6" s="204"/>
      <c r="M6" s="149" t="s">
        <v>527</v>
      </c>
      <c r="N6" s="123">
        <f>IF(SUM(G7:G11)=0,Table_3_NVNC!Z10,"-")</f>
        <v>123.31662218420004</v>
      </c>
      <c r="O6" s="124">
        <f>IF(SUM(G7:G11)=0,'Table_4_NVC 1'!Z10,"-")</f>
        <v>80.000915083805126</v>
      </c>
      <c r="P6" s="123">
        <f>IF(SUM(G7:G11)=0,'Table_5_NVC 2'!Z10,"-")</f>
        <v>410.3554711945111</v>
      </c>
      <c r="Q6" s="125">
        <f>IF(SUM(G7:G11)=0,'Table_6_NVC 3'!Z10,"-")</f>
        <v>34.06642517870818</v>
      </c>
      <c r="S6" s="114" t="s">
        <v>527</v>
      </c>
      <c r="T6" s="123">
        <f>IF(SUM(J7:J11)=0,Table_7_VNC!Z10,"-")</f>
        <v>93.830151706560798</v>
      </c>
      <c r="U6" s="124">
        <f>IF(SUM(J7:J11)=0,'Table_8_VC 1'!Z10,"-")</f>
        <v>67.64544921340871</v>
      </c>
      <c r="V6" s="123">
        <f>IF(SUM(J7:J11)=0,'Table_9_VC 2'!Z10,"-")</f>
        <v>309.63208896904882</v>
      </c>
      <c r="W6" s="125">
        <f>IF(SUM(J7:J11)=0,'Table_10_VC 3'!Z10,"-")</f>
        <v>23.349174507050538</v>
      </c>
    </row>
    <row r="7" spans="2:23" x14ac:dyDescent="0.25">
      <c r="B7" s="95"/>
      <c r="C7" s="96" t="s">
        <v>486</v>
      </c>
      <c r="D7" s="98">
        <f>1/D6</f>
        <v>0.25</v>
      </c>
      <c r="F7" s="139" t="s">
        <v>503</v>
      </c>
      <c r="G7" s="140">
        <v>0</v>
      </c>
      <c r="H7" s="138"/>
      <c r="I7" s="139" t="s">
        <v>503</v>
      </c>
      <c r="J7" s="140">
        <v>0</v>
      </c>
      <c r="K7" s="147"/>
      <c r="L7" s="204"/>
      <c r="M7" s="150" t="s">
        <v>503</v>
      </c>
      <c r="N7" s="123" t="str">
        <f>IF(G7=1,Table_3_NVNC!Z10,"-")</f>
        <v>-</v>
      </c>
      <c r="O7" s="126" t="str">
        <f>IF(G7=1,'Table_4_NVC 1'!Z10,"-")</f>
        <v>-</v>
      </c>
      <c r="P7" s="127" t="str">
        <f>IF(Table_2_Dashboard!G7=1,'Table_5_NVC 2'!Z10,"-")</f>
        <v>-</v>
      </c>
      <c r="Q7" s="128" t="str">
        <f>IF(G7=1,'Table_6_NVC 3'!Z10,"-")</f>
        <v>-</v>
      </c>
      <c r="S7" s="115" t="s">
        <v>503</v>
      </c>
      <c r="T7" s="123" t="str">
        <f>IF(J7=1,Table_7_VNC!Z10,"-")</f>
        <v>-</v>
      </c>
      <c r="U7" s="126" t="str">
        <f>IF(J7=1,'Table_8_VC 1'!Z10,"-")</f>
        <v>-</v>
      </c>
      <c r="V7" s="127" t="str">
        <f>IF(J7=1,'Table_9_VC 2'!Z10,"-")</f>
        <v>-</v>
      </c>
      <c r="W7" s="125" t="str">
        <f>IF(J7=1,'Table_10_VC 3'!Z10,"-")</f>
        <v>-</v>
      </c>
    </row>
    <row r="8" spans="2:23" x14ac:dyDescent="0.25">
      <c r="B8" s="95" t="s">
        <v>487</v>
      </c>
      <c r="C8" s="96"/>
      <c r="D8" s="98">
        <v>14</v>
      </c>
      <c r="F8" s="139" t="s">
        <v>501</v>
      </c>
      <c r="G8" s="140">
        <v>0</v>
      </c>
      <c r="H8" s="138"/>
      <c r="I8" s="139" t="s">
        <v>501</v>
      </c>
      <c r="J8" s="140">
        <v>0</v>
      </c>
      <c r="K8" s="147"/>
      <c r="L8" s="204"/>
      <c r="M8" s="150" t="s">
        <v>501</v>
      </c>
      <c r="N8" s="123" t="str">
        <f>IF(G8=1,Table_3_NVNC!Z10,"-")</f>
        <v>-</v>
      </c>
      <c r="O8" s="126" t="str">
        <f>IF(G8=1,'Table_4_NVC 1'!Z10,"-")</f>
        <v>-</v>
      </c>
      <c r="P8" s="127" t="str">
        <f>IF(Table_2_Dashboard!G8=1,'Table_5_NVC 2'!Z10,"-")</f>
        <v>-</v>
      </c>
      <c r="Q8" s="128" t="str">
        <f>IF(G8=1,'Table_6_NVC 3'!Z10,"-")</f>
        <v>-</v>
      </c>
      <c r="S8" s="115" t="s">
        <v>501</v>
      </c>
      <c r="T8" s="123" t="str">
        <f>IF(J8=1,Table_7_VNC!Z10,"-")</f>
        <v>-</v>
      </c>
      <c r="U8" s="126" t="str">
        <f>IF(J8=1,'Table_8_VC 1'!Z10,"-")</f>
        <v>-</v>
      </c>
      <c r="V8" s="127" t="str">
        <f>IF(J8=1,'Table_9_VC 2'!Z10,"-")</f>
        <v>-</v>
      </c>
      <c r="W8" s="128" t="str">
        <f>IF(J8=1,'Table_10_VC 3'!Z10,"-")</f>
        <v>-</v>
      </c>
    </row>
    <row r="9" spans="2:23" x14ac:dyDescent="0.25">
      <c r="B9" s="95"/>
      <c r="C9" s="96"/>
      <c r="D9" s="98"/>
      <c r="F9" s="139" t="s">
        <v>504</v>
      </c>
      <c r="G9" s="140">
        <v>0</v>
      </c>
      <c r="H9" s="138"/>
      <c r="I9" s="139" t="s">
        <v>504</v>
      </c>
      <c r="J9" s="140">
        <v>0</v>
      </c>
      <c r="K9" s="147"/>
      <c r="L9" s="204"/>
      <c r="M9" s="150" t="s">
        <v>504</v>
      </c>
      <c r="N9" s="123" t="str">
        <f>IF(G9=1,Table_3_NVNC!Z10,"-")</f>
        <v>-</v>
      </c>
      <c r="O9" s="126" t="str">
        <f>IF(G9=1,'Table_4_NVC 1'!Z10,"-")</f>
        <v>-</v>
      </c>
      <c r="P9" s="127" t="str">
        <f>IF(Table_2_Dashboard!G9=1,'Table_5_NVC 2'!Z10,"-")</f>
        <v>-</v>
      </c>
      <c r="Q9" s="128" t="str">
        <f>IF(G9=1,'Table_6_NVC 3'!Z10,"-")</f>
        <v>-</v>
      </c>
      <c r="S9" s="115" t="s">
        <v>504</v>
      </c>
      <c r="T9" s="123" t="str">
        <f>IF(J9=1,Table_7_VNC!Z10,"-")</f>
        <v>-</v>
      </c>
      <c r="U9" s="126" t="str">
        <f>IF(J9=1,'Table_8_VC 1'!Z10,"-")</f>
        <v>-</v>
      </c>
      <c r="V9" s="127" t="str">
        <f>IF(J9=1,'Table_9_VC 2'!Z10,"-")</f>
        <v>-</v>
      </c>
      <c r="W9" s="128" t="str">
        <f>IF(J9=1,'Table_10_VC 3'!Z10,"-")</f>
        <v>-</v>
      </c>
    </row>
    <row r="10" spans="2:23" x14ac:dyDescent="0.25">
      <c r="B10" s="95"/>
      <c r="C10" s="96" t="s">
        <v>488</v>
      </c>
      <c r="D10" s="98">
        <f>1/D8</f>
        <v>7.1428571428571425E-2</v>
      </c>
      <c r="F10" s="139" t="s">
        <v>505</v>
      </c>
      <c r="G10" s="140">
        <v>0</v>
      </c>
      <c r="H10" s="138"/>
      <c r="I10" s="139" t="s">
        <v>505</v>
      </c>
      <c r="J10" s="140">
        <v>0</v>
      </c>
      <c r="K10" s="147"/>
      <c r="L10" s="205"/>
      <c r="M10" s="153" t="s">
        <v>505</v>
      </c>
      <c r="N10" s="154" t="str">
        <f>IF(G10=1,Table_3_NVNC!Z10,"-")</f>
        <v>-</v>
      </c>
      <c r="O10" s="155" t="str">
        <f>IF(G10=1,'Table_4_NVC 1'!Z10,"-")</f>
        <v>-</v>
      </c>
      <c r="P10" s="156" t="str">
        <f>IF(Table_2_Dashboard!G10=1,'Table_5_NVC 2'!Z10,"-")</f>
        <v>-</v>
      </c>
      <c r="Q10" s="157" t="str">
        <f>IF(G10=1,'Table_6_NVC 3'!Z10,"-")</f>
        <v>-</v>
      </c>
      <c r="S10" s="158" t="s">
        <v>505</v>
      </c>
      <c r="T10" s="154" t="str">
        <f>IF(J10=1,Table_7_VNC!Z10,"-")</f>
        <v>-</v>
      </c>
      <c r="U10" s="155" t="str">
        <f>IF(J10=1,'Table_8_VC 1'!Z10,"-")</f>
        <v>-</v>
      </c>
      <c r="V10" s="156" t="str">
        <f>IF(J10=1,'Table_9_VC 2'!Z10,"-")</f>
        <v>-</v>
      </c>
      <c r="W10" s="157" t="str">
        <f>IF(J10=1,'Table_10_VC 3'!Z10,"-")</f>
        <v>-</v>
      </c>
    </row>
    <row r="11" spans="2:23" x14ac:dyDescent="0.25">
      <c r="B11" s="95" t="s">
        <v>551</v>
      </c>
      <c r="C11" s="96"/>
      <c r="D11" s="98">
        <v>0.18</v>
      </c>
      <c r="F11" s="139" t="s">
        <v>576</v>
      </c>
      <c r="G11" s="140">
        <v>0</v>
      </c>
      <c r="H11" s="138"/>
      <c r="I11" s="139" t="s">
        <v>576</v>
      </c>
      <c r="J11" s="140">
        <v>0</v>
      </c>
      <c r="K11" s="147"/>
      <c r="L11" s="162"/>
      <c r="M11" s="150"/>
      <c r="N11" s="160"/>
      <c r="O11" s="161"/>
      <c r="P11" s="160"/>
      <c r="Q11" s="97"/>
      <c r="S11" s="115"/>
      <c r="T11" s="160"/>
      <c r="U11" s="161"/>
      <c r="V11" s="160"/>
      <c r="W11" s="97"/>
    </row>
    <row r="12" spans="2:23" x14ac:dyDescent="0.25">
      <c r="B12" s="95"/>
      <c r="C12" s="96"/>
      <c r="D12" s="98"/>
      <c r="F12" s="141" t="s">
        <v>500</v>
      </c>
      <c r="G12" s="143"/>
      <c r="H12" s="138"/>
      <c r="I12" s="141" t="s">
        <v>500</v>
      </c>
      <c r="J12" s="143"/>
      <c r="K12" s="147"/>
      <c r="L12" s="202" t="s">
        <v>548</v>
      </c>
      <c r="M12" s="149" t="s">
        <v>528</v>
      </c>
      <c r="N12" s="123">
        <f>IF(SUM(G13:G26)=0,Table_3_NVNC!Z10,"-")</f>
        <v>123.31662218420004</v>
      </c>
      <c r="O12" s="152">
        <f>IF(SUM(G13:G26)=0,'Table_4_NVC 1'!Z10,"-")</f>
        <v>80.000915083805126</v>
      </c>
      <c r="P12" s="123">
        <f>IF(SUM(G13:G26)=0,'Table_5_NVC 2'!Z10,"-")</f>
        <v>410.3554711945111</v>
      </c>
      <c r="Q12" s="125">
        <f>IF(SUM(G13:G26)=0,'Table_6_NVC 3'!Z10,"-")</f>
        <v>34.06642517870818</v>
      </c>
      <c r="S12" s="114" t="s">
        <v>528</v>
      </c>
      <c r="T12" s="123">
        <f>IF(SUM(J13:J26)=0,Table_7_VNC!Z10,"-")</f>
        <v>93.830151706560798</v>
      </c>
      <c r="U12" s="152">
        <f>IF(SUM(J13:J26)=0,'Table_8_VC 1'!Z10,"-")</f>
        <v>67.64544921340871</v>
      </c>
      <c r="V12" s="123">
        <f>IF(SUM(J13:J26)=0,'Table_9_VC 2'!Z10,"-")</f>
        <v>309.63208896904882</v>
      </c>
      <c r="W12" s="125">
        <f>IF(SUM(J13:J26)=0,'Table_10_VC 3'!Z10,"-")</f>
        <v>23.349174507050538</v>
      </c>
    </row>
    <row r="13" spans="2:23" x14ac:dyDescent="0.25">
      <c r="B13" s="99" t="s">
        <v>489</v>
      </c>
      <c r="C13" s="100"/>
      <c r="D13" s="101"/>
      <c r="F13" s="139" t="s">
        <v>508</v>
      </c>
      <c r="G13" s="140">
        <v>0</v>
      </c>
      <c r="H13" s="138"/>
      <c r="I13" s="139" t="s">
        <v>508</v>
      </c>
      <c r="J13" s="140">
        <v>0</v>
      </c>
      <c r="K13" s="147"/>
      <c r="L13" s="202"/>
      <c r="M13" s="150" t="s">
        <v>508</v>
      </c>
      <c r="N13" s="123" t="str">
        <f>IF(G13=1,Table_3_NVNC!Z11,"-")</f>
        <v>-</v>
      </c>
      <c r="O13" s="126" t="str">
        <f>IF(G13=1,'Table_4_NVC 1'!Z11,"-")</f>
        <v>-</v>
      </c>
      <c r="P13" s="127" t="str">
        <f>IF(G13=1,'Table_5_NVC 2'!Z11,"-")</f>
        <v>-</v>
      </c>
      <c r="Q13" s="128" t="str">
        <f>IF(G13=1,'Table_6_NVC 3'!Z11,"-")</f>
        <v>-</v>
      </c>
      <c r="S13" s="115" t="s">
        <v>508</v>
      </c>
      <c r="T13" s="123" t="str">
        <f>IF(J13=1,Table_7_VNC!Z11,"-")</f>
        <v>-</v>
      </c>
      <c r="U13" s="126" t="str">
        <f>IF(J13=1,'Table_8_VC 1'!Z11,"-")</f>
        <v>-</v>
      </c>
      <c r="V13" s="127" t="str">
        <f>IF(J13=1,'Table_9_VC 2'!Z11,"-")</f>
        <v>-</v>
      </c>
      <c r="W13" s="128" t="str">
        <f>IF(J13=1,'Table_10_VC 3'!Z11,"-")</f>
        <v>-</v>
      </c>
    </row>
    <row r="14" spans="2:23" x14ac:dyDescent="0.25">
      <c r="B14" s="95" t="s">
        <v>552</v>
      </c>
      <c r="C14" s="96"/>
      <c r="D14" s="98">
        <v>0.84</v>
      </c>
      <c r="F14" s="139" t="s">
        <v>509</v>
      </c>
      <c r="G14" s="140">
        <v>0</v>
      </c>
      <c r="H14" s="138"/>
      <c r="I14" s="139" t="s">
        <v>509</v>
      </c>
      <c r="J14" s="140">
        <v>0</v>
      </c>
      <c r="K14" s="147"/>
      <c r="L14" s="202"/>
      <c r="M14" s="150" t="s">
        <v>531</v>
      </c>
      <c r="N14" s="127" t="str">
        <f>IF(G14=1,Table_3_NVNC!Z12,"-")</f>
        <v>-</v>
      </c>
      <c r="O14" s="126" t="str">
        <f>IF(G14=1,'Table_4_NVC 1'!Z12,"-")</f>
        <v>-</v>
      </c>
      <c r="P14" s="127" t="str">
        <f>IF(G14=1,'Table_5_NVC 2'!Z12,"-")</f>
        <v>-</v>
      </c>
      <c r="Q14" s="128" t="str">
        <f>IF(G14=1,'Table_6_NVC 3'!Z12,"-")</f>
        <v>-</v>
      </c>
      <c r="S14" s="115" t="s">
        <v>531</v>
      </c>
      <c r="T14" s="131" t="str">
        <f>IF(J14=1,Table_7_VNC!Z12,"-")</f>
        <v>-</v>
      </c>
      <c r="U14" s="132" t="str">
        <f>IF(J14=1,'Table_8_VC 1'!Z12,"-")</f>
        <v>-</v>
      </c>
      <c r="V14" s="131" t="str">
        <f>IF(J14=1,'Table_9_VC 2'!Z12,"-")</f>
        <v>-</v>
      </c>
      <c r="W14" s="136" t="str">
        <f>IF(J14=1,'Table_10_VC 3'!Z12,"-")</f>
        <v>-</v>
      </c>
    </row>
    <row r="15" spans="2:23" x14ac:dyDescent="0.25">
      <c r="B15" s="95" t="s">
        <v>553</v>
      </c>
      <c r="C15" s="96"/>
      <c r="D15" s="98">
        <v>0.28999999999999998</v>
      </c>
      <c r="F15" s="139" t="s">
        <v>510</v>
      </c>
      <c r="G15" s="140">
        <v>0</v>
      </c>
      <c r="H15" s="138"/>
      <c r="I15" s="139" t="s">
        <v>510</v>
      </c>
      <c r="J15" s="140">
        <v>0</v>
      </c>
      <c r="K15" s="147"/>
      <c r="L15" s="202"/>
      <c r="M15" s="150" t="s">
        <v>532</v>
      </c>
      <c r="N15" s="127" t="str">
        <f>IF(G15=1,Table_3_NVNC!Z13,"-")</f>
        <v>-</v>
      </c>
      <c r="O15" s="126" t="str">
        <f>IF(G15=1,'Table_4_NVC 1'!Z13,"-")</f>
        <v>-</v>
      </c>
      <c r="P15" s="127" t="str">
        <f>IF(G15=1,'Table_5_NVC 2'!Z13,"-")</f>
        <v>-</v>
      </c>
      <c r="Q15" s="128" t="str">
        <f>IF(G15=1,'Table_6_NVC 3'!Z13,"-")</f>
        <v>-</v>
      </c>
      <c r="S15" s="115" t="s">
        <v>532</v>
      </c>
      <c r="T15" s="131" t="str">
        <f>IF(J15=1,Table_7_VNC!Z13,"-")</f>
        <v>-</v>
      </c>
      <c r="U15" s="132" t="str">
        <f>IF(J15=1,'Table_8_VC 1'!Z13,"-")</f>
        <v>-</v>
      </c>
      <c r="V15" s="131" t="str">
        <f>IF(J15=1,'Table_9_VC 2'!Z13,"-")</f>
        <v>-</v>
      </c>
      <c r="W15" s="136" t="str">
        <f>IF(J15=1,'Table_10_VC 3'!Z13,"-")</f>
        <v>-</v>
      </c>
    </row>
    <row r="16" spans="2:23" x14ac:dyDescent="0.25">
      <c r="B16" s="95"/>
      <c r="C16" s="96"/>
      <c r="D16" s="102"/>
      <c r="F16" s="139" t="s">
        <v>511</v>
      </c>
      <c r="G16" s="140">
        <v>0</v>
      </c>
      <c r="H16" s="138"/>
      <c r="I16" s="139" t="s">
        <v>511</v>
      </c>
      <c r="J16" s="140">
        <v>0</v>
      </c>
      <c r="K16" s="147"/>
      <c r="L16" s="202"/>
      <c r="M16" s="150" t="s">
        <v>533</v>
      </c>
      <c r="N16" s="127" t="str">
        <f>IF(G16=1,Table_3_NVNC!Z14,"-")</f>
        <v>-</v>
      </c>
      <c r="O16" s="126" t="str">
        <f>IF(G16=1,'Table_4_NVC 1'!Z14,"-")</f>
        <v>-</v>
      </c>
      <c r="P16" s="127" t="str">
        <f>IF(G16=1,'Table_5_NVC 2'!Z14,"-")</f>
        <v>-</v>
      </c>
      <c r="Q16" s="128" t="str">
        <f>IF(G16=1,'Table_6_NVC 3'!Z14,"-")</f>
        <v>-</v>
      </c>
      <c r="S16" s="115" t="s">
        <v>533</v>
      </c>
      <c r="T16" s="131" t="str">
        <f>IF(J16=1,Table_7_VNC!Z14,"-")</f>
        <v>-</v>
      </c>
      <c r="U16" s="132" t="str">
        <f>IF(J16=1,'Table_8_VC 1'!Z14,"-")</f>
        <v>-</v>
      </c>
      <c r="V16" s="131" t="str">
        <f>IF(J16=1,'Table_9_VC 2'!Z14,"-")</f>
        <v>-</v>
      </c>
      <c r="W16" s="136" t="str">
        <f>IF(J16=1,'Table_10_VC 3'!Z14,"-")</f>
        <v>-</v>
      </c>
    </row>
    <row r="17" spans="2:23" x14ac:dyDescent="0.25">
      <c r="B17" s="99" t="s">
        <v>490</v>
      </c>
      <c r="C17" s="103"/>
      <c r="D17" s="104"/>
      <c r="F17" s="139" t="s">
        <v>512</v>
      </c>
      <c r="G17" s="140">
        <v>0</v>
      </c>
      <c r="H17" s="144"/>
      <c r="I17" s="139" t="s">
        <v>512</v>
      </c>
      <c r="J17" s="140">
        <v>0</v>
      </c>
      <c r="K17" s="147"/>
      <c r="L17" s="202"/>
      <c r="M17" s="150" t="s">
        <v>534</v>
      </c>
      <c r="N17" s="127" t="str">
        <f>IF(G17=1,Table_3_NVNC!Z15,"-")</f>
        <v>-</v>
      </c>
      <c r="O17" s="126" t="str">
        <f>IF(G17=1,'Table_4_NVC 1'!Z15,"-")</f>
        <v>-</v>
      </c>
      <c r="P17" s="127" t="str">
        <f>IF(G17=1,'Table_5_NVC 2'!Z15,"-")</f>
        <v>-</v>
      </c>
      <c r="Q17" s="128" t="str">
        <f>IF(G17=1,'Table_6_NVC 3'!Z15,"-")</f>
        <v>-</v>
      </c>
      <c r="S17" s="115" t="s">
        <v>534</v>
      </c>
      <c r="T17" s="131" t="str">
        <f>IF(J17=1,Table_7_VNC!Z15,"-")</f>
        <v>-</v>
      </c>
      <c r="U17" s="132" t="str">
        <f>IF(J17=1,'Table_8_VC 1'!Z15,"-")</f>
        <v>-</v>
      </c>
      <c r="V17" s="131" t="str">
        <f>IF(J17=1,'Table_9_VC 2'!Z15,"-")</f>
        <v>-</v>
      </c>
      <c r="W17" s="136" t="str">
        <f>IF(J17=1,'Table_10_VC 3'!Z15,"-")</f>
        <v>-</v>
      </c>
    </row>
    <row r="18" spans="2:23" x14ac:dyDescent="0.25">
      <c r="B18" s="95" t="s">
        <v>491</v>
      </c>
      <c r="C18" s="105"/>
      <c r="D18" s="106"/>
      <c r="F18" s="139" t="s">
        <v>513</v>
      </c>
      <c r="G18" s="140">
        <v>0</v>
      </c>
      <c r="H18" s="144"/>
      <c r="I18" s="139" t="s">
        <v>513</v>
      </c>
      <c r="J18" s="140">
        <v>0</v>
      </c>
      <c r="K18" s="147"/>
      <c r="L18" s="202"/>
      <c r="M18" s="150" t="s">
        <v>535</v>
      </c>
      <c r="N18" s="127" t="str">
        <f>IF(G18=1,Table_3_NVNC!Z16,"-")</f>
        <v>-</v>
      </c>
      <c r="O18" s="126" t="str">
        <f>IF(G18=1,'Table_4_NVC 1'!Z16,"-")</f>
        <v>-</v>
      </c>
      <c r="P18" s="127" t="str">
        <f>IF(G18=1,'Table_5_NVC 2'!Z16,"-")</f>
        <v>-</v>
      </c>
      <c r="Q18" s="128" t="str">
        <f>IF(G18=1,'Table_6_NVC 3'!Z16,"-")</f>
        <v>-</v>
      </c>
      <c r="S18" s="115" t="s">
        <v>535</v>
      </c>
      <c r="T18" s="131" t="str">
        <f>IF(J18=1,Table_7_VNC!Z16,"-")</f>
        <v>-</v>
      </c>
      <c r="U18" s="132" t="str">
        <f>IF(J18=1,'Table_8_VC 1'!Z16,"-")</f>
        <v>-</v>
      </c>
      <c r="V18" s="131" t="str">
        <f>IF(J18=1,'Table_9_VC 2'!Z16,"-")</f>
        <v>-</v>
      </c>
      <c r="W18" s="136" t="str">
        <f>IF(J18=1,'Table_10_VC 3'!Z16,"-")</f>
        <v>-</v>
      </c>
    </row>
    <row r="19" spans="2:23" x14ac:dyDescent="0.25">
      <c r="B19" s="95"/>
      <c r="C19" s="96" t="s">
        <v>492</v>
      </c>
      <c r="D19" s="107">
        <v>1.9699999999999999E-4</v>
      </c>
      <c r="F19" s="139" t="s">
        <v>514</v>
      </c>
      <c r="G19" s="140">
        <v>0</v>
      </c>
      <c r="H19" s="144"/>
      <c r="I19" s="139" t="s">
        <v>514</v>
      </c>
      <c r="J19" s="140">
        <v>0</v>
      </c>
      <c r="K19" s="147"/>
      <c r="L19" s="202"/>
      <c r="M19" s="150" t="s">
        <v>536</v>
      </c>
      <c r="N19" s="127" t="str">
        <f>IF(G19=1,Table_3_NVNC!Z17,"-")</f>
        <v>-</v>
      </c>
      <c r="O19" s="126" t="str">
        <f>IF(G19=1,'Table_4_NVC 1'!Z17,"-")</f>
        <v>-</v>
      </c>
      <c r="P19" s="127" t="str">
        <f>IF(G19=1,'Table_5_NVC 2'!Z17,"-")</f>
        <v>-</v>
      </c>
      <c r="Q19" s="128" t="str">
        <f>IF(G19=1,'Table_6_NVC 3'!Z17,"-")</f>
        <v>-</v>
      </c>
      <c r="S19" s="115" t="s">
        <v>536</v>
      </c>
      <c r="T19" s="131" t="str">
        <f>IF(J19=1,Table_7_VNC!Z17,"-")</f>
        <v>-</v>
      </c>
      <c r="U19" s="132" t="str">
        <f>IF(J19=1,'Table_8_VC 1'!Z17,"-")</f>
        <v>-</v>
      </c>
      <c r="V19" s="131" t="str">
        <f>IF(J19=1,'Table_9_VC 2'!Z17,"-")</f>
        <v>-</v>
      </c>
      <c r="W19" s="136" t="str">
        <f>IF(J19=1,'Table_10_VC 3'!Z17,"-")</f>
        <v>-</v>
      </c>
    </row>
    <row r="20" spans="2:23" x14ac:dyDescent="0.25">
      <c r="B20" s="95"/>
      <c r="C20" s="96" t="s">
        <v>493</v>
      </c>
      <c r="D20" s="107">
        <v>1.4200000000000001E-4</v>
      </c>
      <c r="F20" s="139" t="s">
        <v>515</v>
      </c>
      <c r="G20" s="140">
        <v>0</v>
      </c>
      <c r="H20" s="144"/>
      <c r="I20" s="139" t="s">
        <v>515</v>
      </c>
      <c r="J20" s="140">
        <v>0</v>
      </c>
      <c r="K20" s="147"/>
      <c r="L20" s="202"/>
      <c r="M20" s="150" t="s">
        <v>537</v>
      </c>
      <c r="N20" s="127" t="str">
        <f>IF(G20=1,Table_3_NVNC!Z18,"-")</f>
        <v>-</v>
      </c>
      <c r="O20" s="126" t="str">
        <f>IF(G20=1,'Table_4_NVC 1'!Z18,"-")</f>
        <v>-</v>
      </c>
      <c r="P20" s="127" t="str">
        <f>IF(G20=1,'Table_5_NVC 2'!Z18,"-")</f>
        <v>-</v>
      </c>
      <c r="Q20" s="128" t="str">
        <f>IF(G20=1,'Table_6_NVC 3'!Z18,"-")</f>
        <v>-</v>
      </c>
      <c r="S20" s="115" t="s">
        <v>537</v>
      </c>
      <c r="T20" s="131" t="str">
        <f>IF(J20=1,Table_7_VNC!Z18,"-")</f>
        <v>-</v>
      </c>
      <c r="U20" s="132" t="str">
        <f>IF(J20=1,'Table_8_VC 1'!Z18,"-")</f>
        <v>-</v>
      </c>
      <c r="V20" s="131" t="str">
        <f>IF(J20=1,'Table_9_VC 2'!Z18,"-")</f>
        <v>-</v>
      </c>
      <c r="W20" s="136" t="str">
        <f>IF(J20=1,'Table_10_VC 3'!Z18,"-")</f>
        <v>-</v>
      </c>
    </row>
    <row r="21" spans="2:23" x14ac:dyDescent="0.25">
      <c r="B21" s="95"/>
      <c r="C21" s="96" t="s">
        <v>494</v>
      </c>
      <c r="D21" s="108">
        <v>6.5099999999999999E-4</v>
      </c>
      <c r="F21" s="139" t="s">
        <v>516</v>
      </c>
      <c r="G21" s="140">
        <v>0</v>
      </c>
      <c r="H21" s="144"/>
      <c r="I21" s="139" t="s">
        <v>516</v>
      </c>
      <c r="J21" s="140">
        <v>0</v>
      </c>
      <c r="K21" s="147"/>
      <c r="L21" s="202"/>
      <c r="M21" s="150" t="s">
        <v>538</v>
      </c>
      <c r="N21" s="127" t="str">
        <f>IF(G21=1,Table_3_NVNC!Z19,"-")</f>
        <v>-</v>
      </c>
      <c r="O21" s="126" t="str">
        <f>IF(G21=1,'Table_4_NVC 1'!Z19,"-")</f>
        <v>-</v>
      </c>
      <c r="P21" s="127" t="str">
        <f>IF(G21=1,'Table_5_NVC 2'!Z19,"-")</f>
        <v>-</v>
      </c>
      <c r="Q21" s="128" t="str">
        <f>IF(G21=1,'Table_6_NVC 3'!Z19,"-")</f>
        <v>-</v>
      </c>
      <c r="S21" s="115" t="s">
        <v>538</v>
      </c>
      <c r="T21" s="131" t="str">
        <f>IF(J21=1,Table_7_VNC!Z19,"-")</f>
        <v>-</v>
      </c>
      <c r="U21" s="132" t="str">
        <f>IF(J21=1,'Table_8_VC 1'!Z19,"-")</f>
        <v>-</v>
      </c>
      <c r="V21" s="131" t="str">
        <f>IF(J21=1,'Table_9_VC 2'!Z19,"-")</f>
        <v>-</v>
      </c>
      <c r="W21" s="136" t="str">
        <f>IF(J21=1,'Table_10_VC 3'!Z19,"-")</f>
        <v>-</v>
      </c>
    </row>
    <row r="22" spans="2:23" x14ac:dyDescent="0.25">
      <c r="B22" s="95"/>
      <c r="C22" s="96" t="s">
        <v>495</v>
      </c>
      <c r="D22" s="107">
        <v>4.8999999999999998E-5</v>
      </c>
      <c r="F22" s="139" t="s">
        <v>517</v>
      </c>
      <c r="G22" s="140">
        <v>0</v>
      </c>
      <c r="H22" s="144"/>
      <c r="I22" s="139" t="s">
        <v>517</v>
      </c>
      <c r="J22" s="140">
        <v>0</v>
      </c>
      <c r="K22" s="147"/>
      <c r="L22" s="202"/>
      <c r="M22" s="150" t="s">
        <v>539</v>
      </c>
      <c r="N22" s="127" t="str">
        <f>IF(G22=1,Table_3_NVNC!Z20,"-")</f>
        <v>-</v>
      </c>
      <c r="O22" s="126" t="str">
        <f>IF(G22=1,'Table_4_NVC 1'!Z20,"-")</f>
        <v>-</v>
      </c>
      <c r="P22" s="127" t="str">
        <f>IF(G22=1,'Table_5_NVC 2'!Z20,"-")</f>
        <v>-</v>
      </c>
      <c r="Q22" s="128" t="str">
        <f>IF(G22=1,'Table_6_NVC 3'!Z20,"-")</f>
        <v>-</v>
      </c>
      <c r="S22" s="115" t="s">
        <v>539</v>
      </c>
      <c r="T22" s="131" t="str">
        <f>IF(J22=1,Table_7_VNC!Z20,"-")</f>
        <v>-</v>
      </c>
      <c r="U22" s="132" t="str">
        <f>IF(J22=1,'Table_8_VC 1'!Z20,"-")</f>
        <v>-</v>
      </c>
      <c r="V22" s="131" t="str">
        <f>IF(J22=1,'Table_9_VC 2'!Z20,"-")</f>
        <v>-</v>
      </c>
      <c r="W22" s="136" t="str">
        <f>IF(J22=1,'Table_10_VC 3'!Z20,"-")</f>
        <v>-</v>
      </c>
    </row>
    <row r="23" spans="2:23" x14ac:dyDescent="0.25">
      <c r="B23" s="95" t="s">
        <v>544</v>
      </c>
      <c r="C23" s="105"/>
      <c r="D23" s="106"/>
      <c r="F23" s="139" t="s">
        <v>518</v>
      </c>
      <c r="G23" s="140">
        <v>0</v>
      </c>
      <c r="H23" s="144"/>
      <c r="I23" s="139" t="s">
        <v>518</v>
      </c>
      <c r="J23" s="140">
        <v>0</v>
      </c>
      <c r="K23" s="147"/>
      <c r="L23" s="202"/>
      <c r="M23" s="150" t="s">
        <v>540</v>
      </c>
      <c r="N23" s="127" t="str">
        <f>IF(G23=1,Table_3_NVNC!Z21,"-")</f>
        <v>-</v>
      </c>
      <c r="O23" s="126" t="str">
        <f>IF(G23=1,'Table_4_NVC 1'!Z21,"-")</f>
        <v>-</v>
      </c>
      <c r="P23" s="127" t="str">
        <f>IF(G23=1,'Table_5_NVC 2'!Z21,"-")</f>
        <v>-</v>
      </c>
      <c r="Q23" s="128" t="str">
        <f>IF(G23=1,'Table_6_NVC 3'!Z21,"-")</f>
        <v>-</v>
      </c>
      <c r="S23" s="115" t="s">
        <v>540</v>
      </c>
      <c r="T23" s="131" t="str">
        <f>IF(J23=1,Table_7_VNC!Z21,"-")</f>
        <v>-</v>
      </c>
      <c r="U23" s="132" t="str">
        <f>IF(J23=1,'Table_8_VC 1'!Z21,"-")</f>
        <v>-</v>
      </c>
      <c r="V23" s="131" t="str">
        <f>IF(J23=1,'Table_9_VC 2'!Z21,"-")</f>
        <v>-</v>
      </c>
      <c r="W23" s="136" t="str">
        <f>IF(J23=1,'Table_10_VC 3'!Z21,"-")</f>
        <v>-</v>
      </c>
    </row>
    <row r="24" spans="2:23" x14ac:dyDescent="0.25">
      <c r="B24" s="95"/>
      <c r="C24" s="96" t="s">
        <v>492</v>
      </c>
      <c r="D24" s="109">
        <f>42.83/100</f>
        <v>0.42829999999999996</v>
      </c>
      <c r="F24" s="139" t="s">
        <v>519</v>
      </c>
      <c r="G24" s="140">
        <v>0</v>
      </c>
      <c r="H24" s="144"/>
      <c r="I24" s="139" t="s">
        <v>519</v>
      </c>
      <c r="J24" s="140">
        <v>0</v>
      </c>
      <c r="K24" s="147"/>
      <c r="L24" s="202"/>
      <c r="M24" s="150" t="s">
        <v>541</v>
      </c>
      <c r="N24" s="127" t="str">
        <f>IF(G24=1,Table_3_NVNC!Z22,"-")</f>
        <v>-</v>
      </c>
      <c r="O24" s="126" t="str">
        <f>IF(G24=1,'Table_4_NVC 1'!Z22,"-")</f>
        <v>-</v>
      </c>
      <c r="P24" s="127" t="str">
        <f>IF(G24=1,'Table_5_NVC 2'!Z22,"-")</f>
        <v>-</v>
      </c>
      <c r="Q24" s="128" t="str">
        <f>IF(G24=1,'Table_6_NVC 3'!Z22,"-")</f>
        <v>-</v>
      </c>
      <c r="S24" s="115" t="s">
        <v>541</v>
      </c>
      <c r="T24" s="131" t="str">
        <f>IF(J24=1,Table_7_VNC!Z22,"-")</f>
        <v>-</v>
      </c>
      <c r="U24" s="132" t="str">
        <f>IF(J24=1,'Table_8_VC 1'!Z22,"-")</f>
        <v>-</v>
      </c>
      <c r="V24" s="131" t="str">
        <f>IF(J24=1,'Table_9_VC 2'!Z22,"-")</f>
        <v>-</v>
      </c>
      <c r="W24" s="136" t="str">
        <f>IF(J24=1,'Table_10_VC 3'!Z22,"-")</f>
        <v>-</v>
      </c>
    </row>
    <row r="25" spans="2:23" x14ac:dyDescent="0.25">
      <c r="B25" s="95"/>
      <c r="C25" s="96" t="s">
        <v>493</v>
      </c>
      <c r="D25" s="110">
        <f>65.81/100</f>
        <v>0.65810000000000002</v>
      </c>
      <c r="F25" s="139" t="s">
        <v>520</v>
      </c>
      <c r="G25" s="140">
        <v>0</v>
      </c>
      <c r="H25" s="144"/>
      <c r="I25" s="139" t="s">
        <v>520</v>
      </c>
      <c r="J25" s="140">
        <v>0</v>
      </c>
      <c r="K25" s="147"/>
      <c r="L25" s="202"/>
      <c r="M25" s="150" t="s">
        <v>542</v>
      </c>
      <c r="N25" s="127" t="str">
        <f>IF(G25=1,Table_3_NVNC!Z23,"-")</f>
        <v>-</v>
      </c>
      <c r="O25" s="126" t="str">
        <f>IF(G25=1,'Table_4_NVC 1'!Z23,"-")</f>
        <v>-</v>
      </c>
      <c r="P25" s="127" t="str">
        <f>IF(G25=1,'Table_5_NVC 2'!Z23,"-")</f>
        <v>-</v>
      </c>
      <c r="Q25" s="128" t="str">
        <f>IF(G25=1,'Table_6_NVC 3'!Z23,"-")</f>
        <v>-</v>
      </c>
      <c r="S25" s="115" t="s">
        <v>542</v>
      </c>
      <c r="T25" s="131" t="str">
        <f>IF(J25=1,Table_7_VNC!Z23,"-")</f>
        <v>-</v>
      </c>
      <c r="U25" s="132" t="str">
        <f>IF(J25=1,'Table_8_VC 1'!Z23,"-")</f>
        <v>-</v>
      </c>
      <c r="V25" s="131" t="str">
        <f>IF(J25=1,'Table_9_VC 2'!Z23,"-")</f>
        <v>-</v>
      </c>
      <c r="W25" s="136" t="str">
        <f>IF(J25=1,'Table_10_VC 3'!Z23,"-")</f>
        <v>-</v>
      </c>
    </row>
    <row r="26" spans="2:23" ht="15.75" thickBot="1" x14ac:dyDescent="0.3">
      <c r="B26" s="95"/>
      <c r="C26" s="96" t="s">
        <v>494</v>
      </c>
      <c r="D26" s="110">
        <f>40.9 /100</f>
        <v>0.40899999999999997</v>
      </c>
      <c r="F26" s="145" t="s">
        <v>521</v>
      </c>
      <c r="G26" s="146">
        <v>0</v>
      </c>
      <c r="H26" s="144"/>
      <c r="I26" s="145" t="s">
        <v>521</v>
      </c>
      <c r="J26" s="146">
        <v>0</v>
      </c>
      <c r="K26" s="147"/>
      <c r="L26" s="203"/>
      <c r="M26" s="151" t="s">
        <v>543</v>
      </c>
      <c r="N26" s="129" t="str">
        <f>IF(G26=1,Table_3_NVNC!Z24,"-")</f>
        <v>-</v>
      </c>
      <c r="O26" s="130" t="str">
        <f>IF(G26=1,'Table_4_NVC 1'!Z24,"-")</f>
        <v>-</v>
      </c>
      <c r="P26" s="129" t="str">
        <f>IF(G26=1,'Table_5_NVC 2'!Z24,"-")</f>
        <v>-</v>
      </c>
      <c r="Q26" s="133" t="str">
        <f>IF(G26=1,'Table_6_NVC 3'!Z24,"-")</f>
        <v>-</v>
      </c>
      <c r="S26" s="116" t="s">
        <v>543</v>
      </c>
      <c r="T26" s="134" t="str">
        <f>IF(J26=1,Table_7_VNC!Z24,"-")</f>
        <v>-</v>
      </c>
      <c r="U26" s="135" t="str">
        <f>IF(J26=1,'Table_8_VC 1'!Z24,"-")</f>
        <v>-</v>
      </c>
      <c r="V26" s="134" t="str">
        <f>IF(J26=1,'Table_9_VC 2'!Z24,"-")</f>
        <v>-</v>
      </c>
      <c r="W26" s="137" t="str">
        <f>IF(J26=1,'Table_10_VC 3'!Z24,"-")</f>
        <v>-</v>
      </c>
    </row>
    <row r="27" spans="2:23" ht="14.45" customHeight="1" x14ac:dyDescent="0.25">
      <c r="B27" s="95"/>
      <c r="C27" s="96" t="s">
        <v>495</v>
      </c>
      <c r="D27" s="109">
        <f>19.15/100</f>
        <v>0.19149999999999998</v>
      </c>
      <c r="F27" s="138" t="s">
        <v>525</v>
      </c>
      <c r="G27" s="147"/>
      <c r="H27" s="144"/>
      <c r="I27" s="138" t="s">
        <v>525</v>
      </c>
      <c r="J27" s="147"/>
      <c r="K27" s="147"/>
      <c r="M27" s="209" t="s">
        <v>585</v>
      </c>
      <c r="N27" s="209"/>
      <c r="O27" s="209"/>
      <c r="P27" s="209"/>
      <c r="Q27" s="209"/>
      <c r="R27" s="209"/>
      <c r="S27" s="209"/>
      <c r="T27" s="209"/>
      <c r="U27" s="209"/>
      <c r="V27" s="209"/>
      <c r="W27" s="209"/>
    </row>
    <row r="28" spans="2:23" x14ac:dyDescent="0.25">
      <c r="B28" s="95"/>
      <c r="C28" s="96"/>
      <c r="D28" s="102"/>
      <c r="F28" s="138" t="s">
        <v>526</v>
      </c>
      <c r="G28" s="147"/>
      <c r="H28" s="144"/>
      <c r="I28" s="138" t="s">
        <v>526</v>
      </c>
      <c r="J28" s="147"/>
      <c r="K28" s="147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09"/>
    </row>
    <row r="29" spans="2:23" x14ac:dyDescent="0.25">
      <c r="B29" s="99" t="s">
        <v>496</v>
      </c>
      <c r="C29" s="103"/>
      <c r="D29" s="104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</row>
    <row r="30" spans="2:23" x14ac:dyDescent="0.25">
      <c r="B30" s="95" t="s">
        <v>554</v>
      </c>
      <c r="C30" s="96"/>
      <c r="D30" s="102">
        <v>0.3</v>
      </c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W30" s="209"/>
    </row>
    <row r="31" spans="2:23" ht="15.75" thickBot="1" x14ac:dyDescent="0.3">
      <c r="B31" s="111" t="s">
        <v>555</v>
      </c>
      <c r="C31" s="112"/>
      <c r="D31" s="113">
        <v>0.7</v>
      </c>
      <c r="M31" s="209"/>
      <c r="N31" s="209"/>
      <c r="O31" s="209"/>
      <c r="P31" s="209"/>
      <c r="Q31" s="209"/>
      <c r="R31" s="209"/>
      <c r="S31" s="209"/>
      <c r="T31" s="209"/>
      <c r="U31" s="209"/>
      <c r="V31" s="209"/>
      <c r="W31" s="209"/>
    </row>
    <row r="32" spans="2:23" x14ac:dyDescent="0.25">
      <c r="M32" s="210"/>
      <c r="N32" s="210"/>
      <c r="O32" s="210"/>
      <c r="P32" s="210"/>
      <c r="Q32" s="210"/>
      <c r="R32" s="210"/>
      <c r="S32" s="210"/>
      <c r="T32" s="210"/>
      <c r="U32" s="210"/>
      <c r="V32" s="210"/>
      <c r="W32" s="210"/>
    </row>
  </sheetData>
  <mergeCells count="11">
    <mergeCell ref="L12:L26"/>
    <mergeCell ref="L5:L10"/>
    <mergeCell ref="M4:Q4"/>
    <mergeCell ref="S4:W4"/>
    <mergeCell ref="M27:W32"/>
    <mergeCell ref="L2:W2"/>
    <mergeCell ref="F2:J2"/>
    <mergeCell ref="B2:D2"/>
    <mergeCell ref="F5:G5"/>
    <mergeCell ref="F4:G4"/>
    <mergeCell ref="I4:J4"/>
  </mergeCells>
  <phoneticPr fontId="1" type="noConversion"/>
  <conditionalFormatting sqref="N6:Q26 T6:W26">
    <cfRule type="containsText" dxfId="0" priority="2" operator="containsText" text="Z">
      <formula>NOT(ISERROR(SEARCH("Z",N6)))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34E759E-0893-4029-A248-4F66ACD7BE82}">
          <x14:formula1>
            <xm:f>'dont delete'!$B$3:$B$4</xm:f>
          </x14:formula1>
          <xm:sqref>G7:G11 G13:G28 J13:K28 J7:K11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6C00-6972-4CBA-886D-979EFBB91540}">
  <dimension ref="A2:B4"/>
  <sheetViews>
    <sheetView workbookViewId="0">
      <selection activeCell="G16" sqref="G16"/>
    </sheetView>
  </sheetViews>
  <sheetFormatPr defaultRowHeight="15" x14ac:dyDescent="0.25"/>
  <cols>
    <col min="1" max="2" width="10.140625" customWidth="1"/>
  </cols>
  <sheetData>
    <row r="2" spans="1:2" x14ac:dyDescent="0.25">
      <c r="A2" t="s">
        <v>506</v>
      </c>
      <c r="B2" t="s">
        <v>507</v>
      </c>
    </row>
    <row r="3" spans="1:2" x14ac:dyDescent="0.25">
      <c r="A3" t="s">
        <v>524</v>
      </c>
      <c r="B3">
        <v>0</v>
      </c>
    </row>
    <row r="4" spans="1:2" x14ac:dyDescent="0.25">
      <c r="A4" t="s">
        <v>502</v>
      </c>
      <c r="B4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8B6E3-892A-4DB9-9680-ADFCB8E5FFA5}">
  <dimension ref="B1:Z27"/>
  <sheetViews>
    <sheetView workbookViewId="0">
      <selection activeCell="N29" sqref="N29"/>
    </sheetView>
  </sheetViews>
  <sheetFormatPr defaultRowHeight="15.75" x14ac:dyDescent="0.25"/>
  <cols>
    <col min="1" max="1" width="1.85546875" style="1" customWidth="1"/>
    <col min="2" max="2" width="4.85546875" style="3" customWidth="1"/>
    <col min="3" max="3" width="11.28515625" style="2" customWidth="1"/>
    <col min="4" max="4" width="2.7109375" style="1" customWidth="1"/>
    <col min="5" max="5" width="6" style="2" bestFit="1" customWidth="1"/>
    <col min="6" max="6" width="10.85546875" style="2" bestFit="1" customWidth="1"/>
    <col min="7" max="7" width="3" style="2" bestFit="1" customWidth="1"/>
    <col min="8" max="8" width="1.42578125" style="2" customWidth="1"/>
    <col min="9" max="9" width="9" style="2" bestFit="1" customWidth="1"/>
    <col min="10" max="10" width="12.140625" style="2" bestFit="1" customWidth="1"/>
    <col min="11" max="11" width="8.85546875" style="1" bestFit="1" customWidth="1"/>
    <col min="12" max="12" width="9.140625" style="1" bestFit="1" customWidth="1"/>
    <col min="13" max="13" width="12.140625" style="1" bestFit="1" customWidth="1"/>
    <col min="14" max="14" width="10.7109375" style="1" bestFit="1" customWidth="1"/>
    <col min="15" max="15" width="14.140625" style="1" bestFit="1" customWidth="1"/>
    <col min="16" max="16" width="6" style="1" bestFit="1" customWidth="1"/>
    <col min="17" max="17" width="8.140625" style="1" bestFit="1" customWidth="1"/>
    <col min="18" max="18" width="10.7109375" style="1" bestFit="1" customWidth="1"/>
    <col min="19" max="19" width="9.85546875" style="1" bestFit="1" customWidth="1"/>
    <col min="20" max="20" width="13.42578125" style="1" bestFit="1" customWidth="1"/>
    <col min="21" max="21" width="15.140625" style="1" bestFit="1" customWidth="1"/>
    <col min="22" max="22" width="5.42578125" style="1" bestFit="1" customWidth="1"/>
    <col min="23" max="23" width="9.28515625" style="1" bestFit="1" customWidth="1"/>
    <col min="24" max="24" width="9.85546875" style="1" bestFit="1" customWidth="1"/>
    <col min="25" max="25" width="6.140625" style="1" bestFit="1" customWidth="1"/>
    <col min="26" max="26" width="8.42578125" style="1" bestFit="1" customWidth="1"/>
    <col min="27" max="16384" width="9.140625" style="1"/>
  </cols>
  <sheetData>
    <row r="1" spans="2:26" ht="6.6" customHeight="1" thickBot="1" x14ac:dyDescent="0.3"/>
    <row r="2" spans="2:26" ht="21.75" x14ac:dyDescent="0.4">
      <c r="B2" s="180" t="s">
        <v>39</v>
      </c>
      <c r="C2" s="181" t="s">
        <v>0</v>
      </c>
      <c r="D2" s="5"/>
      <c r="E2" s="182" t="s">
        <v>469</v>
      </c>
      <c r="F2" s="183" t="s">
        <v>470</v>
      </c>
      <c r="G2" s="184" t="s">
        <v>468</v>
      </c>
      <c r="H2" s="6"/>
      <c r="I2" s="174" t="s">
        <v>586</v>
      </c>
      <c r="J2" s="175" t="s">
        <v>587</v>
      </c>
      <c r="K2" s="176" t="s">
        <v>588</v>
      </c>
      <c r="L2" s="174" t="s">
        <v>589</v>
      </c>
      <c r="M2" s="177" t="s">
        <v>587</v>
      </c>
      <c r="N2" s="177" t="s">
        <v>590</v>
      </c>
      <c r="O2" s="177" t="s">
        <v>591</v>
      </c>
      <c r="P2" s="176" t="s">
        <v>592</v>
      </c>
      <c r="Q2" s="178" t="s">
        <v>593</v>
      </c>
      <c r="R2" s="177" t="s">
        <v>590</v>
      </c>
      <c r="S2" s="177" t="s">
        <v>577</v>
      </c>
      <c r="T2" s="177" t="s">
        <v>594</v>
      </c>
      <c r="U2" s="177" t="s">
        <v>595</v>
      </c>
      <c r="V2" s="176" t="s">
        <v>596</v>
      </c>
      <c r="W2" s="174" t="s">
        <v>597</v>
      </c>
      <c r="X2" s="177" t="s">
        <v>577</v>
      </c>
      <c r="Y2" s="176" t="s">
        <v>598</v>
      </c>
      <c r="Z2" s="179" t="s">
        <v>574</v>
      </c>
    </row>
    <row r="3" spans="2:26" ht="18.75" x14ac:dyDescent="0.3">
      <c r="B3" s="163" t="s">
        <v>24</v>
      </c>
      <c r="C3" s="164">
        <f>Table_2_Dashboard!D5</f>
        <v>100000</v>
      </c>
      <c r="D3" s="8"/>
      <c r="E3" s="9" t="s">
        <v>1</v>
      </c>
      <c r="F3" s="10" t="s">
        <v>2</v>
      </c>
      <c r="G3" s="11">
        <v>1</v>
      </c>
      <c r="H3" s="40"/>
      <c r="I3" s="29">
        <f>C3-L3-Q3-W3</f>
        <v>99982.831253000011</v>
      </c>
      <c r="J3" s="30">
        <f>I3*$C$14*$C$19</f>
        <v>17.165799341264499</v>
      </c>
      <c r="K3" s="31">
        <f>I3-J3</f>
        <v>99965.665453658745</v>
      </c>
      <c r="L3" s="29">
        <f>C3*$C$14*$C$19*0.5</f>
        <v>8.5843734999999999</v>
      </c>
      <c r="M3" s="30">
        <v>0</v>
      </c>
      <c r="N3" s="30">
        <f>L3*$C$6</f>
        <v>2.146093375</v>
      </c>
      <c r="O3" s="32"/>
      <c r="P3" s="31">
        <f>L3+M3-N3-O3</f>
        <v>6.4382801250000004</v>
      </c>
      <c r="Q3" s="29">
        <f>C3*$C$14*$C$19*0.5</f>
        <v>8.5843734999999999</v>
      </c>
      <c r="R3" s="30">
        <v>0</v>
      </c>
      <c r="S3" s="30">
        <f>Q3*$C$8</f>
        <v>0.61316953571428567</v>
      </c>
      <c r="T3" s="32"/>
      <c r="U3" s="30">
        <f>Q3*$C$9*(1-$C$21)</f>
        <v>0.46326258342629989</v>
      </c>
      <c r="V3" s="31">
        <f>Q3+R3-S3-T3-U3</f>
        <v>7.5079413808594149</v>
      </c>
      <c r="W3" s="29">
        <v>0</v>
      </c>
      <c r="X3" s="30">
        <v>0</v>
      </c>
      <c r="Y3" s="165">
        <f>W3+X3</f>
        <v>0</v>
      </c>
      <c r="Z3" s="41">
        <f>P3+V3</f>
        <v>13.946221505859416</v>
      </c>
    </row>
    <row r="4" spans="2:26" ht="18.75" x14ac:dyDescent="0.3">
      <c r="B4" s="163" t="s">
        <v>25</v>
      </c>
      <c r="C4" s="166">
        <f>C14*2</f>
        <v>3.9399999999999998E-4</v>
      </c>
      <c r="D4" s="8"/>
      <c r="E4" s="9" t="s">
        <v>1</v>
      </c>
      <c r="F4" s="10" t="s">
        <v>2</v>
      </c>
      <c r="G4" s="11">
        <v>2</v>
      </c>
      <c r="H4" s="40"/>
      <c r="I4" s="29">
        <f>K3</f>
        <v>99965.665453658745</v>
      </c>
      <c r="J4" s="30">
        <f t="shared" ref="J4:J8" si="0">I4*$C$14*$C$19</f>
        <v>17.162852188605072</v>
      </c>
      <c r="K4" s="31">
        <f>I4-J4</f>
        <v>99948.502601470143</v>
      </c>
      <c r="L4" s="29">
        <f>P3</f>
        <v>6.4382801250000004</v>
      </c>
      <c r="M4" s="30">
        <f>J3</f>
        <v>17.165799341264499</v>
      </c>
      <c r="N4" s="30">
        <f t="shared" ref="N4:N24" si="1">L4*$C$6</f>
        <v>1.6095700312500001</v>
      </c>
      <c r="O4" s="32"/>
      <c r="P4" s="31">
        <f>L4+M4-N4-O4</f>
        <v>21.9945094350145</v>
      </c>
      <c r="Q4" s="29">
        <f>V3</f>
        <v>7.5079413808594149</v>
      </c>
      <c r="R4" s="30">
        <f>N3</f>
        <v>2.146093375</v>
      </c>
      <c r="S4" s="30">
        <f t="shared" ref="S4:S24" si="2">Q4*$C$8</f>
        <v>0.53628152720424394</v>
      </c>
      <c r="T4" s="32"/>
      <c r="U4" s="30">
        <f t="shared" ref="U4:U24" si="3">Q4*$C$9*(1-$C$21)</f>
        <v>0.40517206297118291</v>
      </c>
      <c r="V4" s="31">
        <f t="shared" ref="V4:V24" si="4">Q4+R4-S4-T4-U4</f>
        <v>8.7125811656839893</v>
      </c>
      <c r="W4" s="29">
        <f>Y3</f>
        <v>0</v>
      </c>
      <c r="X4" s="30">
        <f>S3</f>
        <v>0.61316953571428567</v>
      </c>
      <c r="Y4" s="165">
        <f t="shared" ref="Y4:Y24" si="5">W4+X4</f>
        <v>0.61316953571428567</v>
      </c>
      <c r="Z4" s="41">
        <f t="shared" ref="Z4:Z23" si="6">P4+V4</f>
        <v>30.707090600698489</v>
      </c>
    </row>
    <row r="5" spans="2:26" ht="18.75" x14ac:dyDescent="0.3">
      <c r="B5" s="163" t="s">
        <v>28</v>
      </c>
      <c r="C5" s="164">
        <f>Table_2_Dashboard!D6</f>
        <v>4</v>
      </c>
      <c r="D5" s="8"/>
      <c r="E5" s="9" t="s">
        <v>3</v>
      </c>
      <c r="F5" s="10" t="s">
        <v>4</v>
      </c>
      <c r="G5" s="11">
        <v>3</v>
      </c>
      <c r="H5" s="40"/>
      <c r="I5" s="29">
        <f>K4</f>
        <v>99948.502601470143</v>
      </c>
      <c r="J5" s="30">
        <f>I5*$C$14*$C$19</f>
        <v>17.159905541934826</v>
      </c>
      <c r="K5" s="31">
        <f>I5-J5</f>
        <v>99931.342695928208</v>
      </c>
      <c r="L5" s="29">
        <f t="shared" ref="L5:L24" si="7">P4</f>
        <v>21.9945094350145</v>
      </c>
      <c r="M5" s="30">
        <f t="shared" ref="M5:M10" si="8">J4</f>
        <v>17.162852188605072</v>
      </c>
      <c r="N5" s="30">
        <f t="shared" si="1"/>
        <v>5.498627358753625</v>
      </c>
      <c r="O5" s="30">
        <f>L5*(1-$C$10)*Table_2_Dashboard!G7</f>
        <v>0</v>
      </c>
      <c r="P5" s="31">
        <f t="shared" ref="P5:P24" si="9">L5+M5-N5-O5</f>
        <v>33.658734264865949</v>
      </c>
      <c r="Q5" s="29">
        <f t="shared" ref="Q5:Q24" si="10">V4</f>
        <v>8.7125811656839893</v>
      </c>
      <c r="R5" s="30">
        <f t="shared" ref="R5:R24" si="11">N4</f>
        <v>1.6095700312500001</v>
      </c>
      <c r="S5" s="30">
        <f t="shared" si="2"/>
        <v>0.6223272261202849</v>
      </c>
      <c r="T5" s="30">
        <f>Q5*(1-$C$11)*Table_2_Dashboard!G7</f>
        <v>0</v>
      </c>
      <c r="U5" s="30">
        <f t="shared" si="3"/>
        <v>0.47018141267106889</v>
      </c>
      <c r="V5" s="31">
        <f t="shared" si="4"/>
        <v>9.2296425581426345</v>
      </c>
      <c r="W5" s="29">
        <f>Y4</f>
        <v>0.61316953571428567</v>
      </c>
      <c r="X5" s="30">
        <f>S4</f>
        <v>0.53628152720424394</v>
      </c>
      <c r="Y5" s="165">
        <f>W5+X5</f>
        <v>1.1494510629185295</v>
      </c>
      <c r="Z5" s="41">
        <f t="shared" si="6"/>
        <v>42.888376823008585</v>
      </c>
    </row>
    <row r="6" spans="2:26" ht="18.75" x14ac:dyDescent="0.3">
      <c r="B6" s="163" t="s">
        <v>26</v>
      </c>
      <c r="C6" s="167">
        <f>1/C5</f>
        <v>0.25</v>
      </c>
      <c r="D6" s="8"/>
      <c r="E6" s="9" t="s">
        <v>5</v>
      </c>
      <c r="F6" s="10" t="s">
        <v>6</v>
      </c>
      <c r="G6" s="11">
        <v>4</v>
      </c>
      <c r="H6" s="40"/>
      <c r="I6" s="29">
        <f t="shared" ref="I6:I23" si="12">K5</f>
        <v>99931.342695928208</v>
      </c>
      <c r="J6" s="30">
        <f t="shared" si="0"/>
        <v>17.156959401166894</v>
      </c>
      <c r="K6" s="31">
        <f t="shared" ref="K6:K24" si="13">I6-J6</f>
        <v>99914.185736527041</v>
      </c>
      <c r="L6" s="29">
        <f>P5</f>
        <v>33.658734264865949</v>
      </c>
      <c r="M6" s="30">
        <f>J5</f>
        <v>17.159905541934826</v>
      </c>
      <c r="N6" s="30">
        <f>L6*$C$6</f>
        <v>8.4146835662164872</v>
      </c>
      <c r="O6" s="30">
        <f>L6*(1-$C$10)*Table_2_Dashboard!G8</f>
        <v>0</v>
      </c>
      <c r="P6" s="31">
        <f t="shared" si="9"/>
        <v>42.403956240584286</v>
      </c>
      <c r="Q6" s="29">
        <f t="shared" si="10"/>
        <v>9.2296425581426345</v>
      </c>
      <c r="R6" s="30">
        <f t="shared" si="11"/>
        <v>5.498627358753625</v>
      </c>
      <c r="S6" s="30">
        <f t="shared" si="2"/>
        <v>0.65926018272447384</v>
      </c>
      <c r="T6" s="30">
        <f>Q6*(1-$C$11)*Table_2_Dashboard!G8</f>
        <v>0</v>
      </c>
      <c r="U6" s="30">
        <f t="shared" si="3"/>
        <v>0.49808504436421364</v>
      </c>
      <c r="V6" s="31">
        <f t="shared" si="4"/>
        <v>13.570924689807573</v>
      </c>
      <c r="W6" s="29">
        <f t="shared" ref="W6:W23" si="14">Y5</f>
        <v>1.1494510629185295</v>
      </c>
      <c r="X6" s="30">
        <f t="shared" ref="X6:X24" si="15">S5</f>
        <v>0.6223272261202849</v>
      </c>
      <c r="Y6" s="165">
        <f t="shared" si="5"/>
        <v>1.7717782890388145</v>
      </c>
      <c r="Z6" s="41">
        <f t="shared" si="6"/>
        <v>55.974880930391862</v>
      </c>
    </row>
    <row r="7" spans="2:26" ht="18.75" x14ac:dyDescent="0.3">
      <c r="B7" s="163" t="s">
        <v>29</v>
      </c>
      <c r="C7" s="164">
        <f>Table_2_Dashboard!D8</f>
        <v>14</v>
      </c>
      <c r="D7" s="8"/>
      <c r="E7" s="9" t="s">
        <v>5</v>
      </c>
      <c r="F7" s="10" t="s">
        <v>7</v>
      </c>
      <c r="G7" s="11">
        <v>5</v>
      </c>
      <c r="H7" s="40"/>
      <c r="I7" s="29">
        <f t="shared" si="12"/>
        <v>99914.185736527041</v>
      </c>
      <c r="J7" s="30">
        <f t="shared" si="0"/>
        <v>17.154013766214415</v>
      </c>
      <c r="K7" s="31">
        <f t="shared" si="13"/>
        <v>99897.031722760832</v>
      </c>
      <c r="L7" s="29">
        <f t="shared" si="7"/>
        <v>42.403956240584286</v>
      </c>
      <c r="M7" s="30">
        <f t="shared" si="8"/>
        <v>17.156959401166894</v>
      </c>
      <c r="N7" s="30">
        <f t="shared" si="1"/>
        <v>10.600989060146071</v>
      </c>
      <c r="O7" s="30">
        <f>L7*(1-$C$10)*Table_2_Dashboard!G9</f>
        <v>0</v>
      </c>
      <c r="P7" s="31">
        <f t="shared" si="9"/>
        <v>48.95992658160511</v>
      </c>
      <c r="Q7" s="29">
        <f t="shared" si="10"/>
        <v>13.570924689807573</v>
      </c>
      <c r="R7" s="30">
        <f t="shared" si="11"/>
        <v>8.4146835662164872</v>
      </c>
      <c r="S7" s="30">
        <f t="shared" si="2"/>
        <v>0.96935176355768371</v>
      </c>
      <c r="T7" s="30">
        <f>Q7*(1-$C$11)*Table_2_Dashboard!G9</f>
        <v>0</v>
      </c>
      <c r="U7" s="30">
        <f>Q7*$C$9*(1-$C$21)</f>
        <v>0.73236580762521719</v>
      </c>
      <c r="V7" s="31">
        <f t="shared" si="4"/>
        <v>20.283890684841158</v>
      </c>
      <c r="W7" s="29">
        <f t="shared" si="14"/>
        <v>1.7717782890388145</v>
      </c>
      <c r="X7" s="30">
        <f t="shared" si="15"/>
        <v>0.65926018272447384</v>
      </c>
      <c r="Y7" s="165">
        <f t="shared" si="5"/>
        <v>2.4310384717632885</v>
      </c>
      <c r="Z7" s="41">
        <f t="shared" si="6"/>
        <v>69.243817266446271</v>
      </c>
    </row>
    <row r="8" spans="2:26" ht="18.75" x14ac:dyDescent="0.3">
      <c r="B8" s="163" t="s">
        <v>27</v>
      </c>
      <c r="C8" s="167">
        <f>1/C7</f>
        <v>7.1428571428571425E-2</v>
      </c>
      <c r="D8" s="8"/>
      <c r="E8" s="9" t="s">
        <v>467</v>
      </c>
      <c r="F8" s="10" t="s">
        <v>8</v>
      </c>
      <c r="G8" s="11">
        <v>6</v>
      </c>
      <c r="H8" s="40"/>
      <c r="I8" s="29">
        <f>K7</f>
        <v>99897.031722760832</v>
      </c>
      <c r="J8" s="30">
        <f t="shared" si="0"/>
        <v>17.151068636990548</v>
      </c>
      <c r="K8" s="31">
        <f t="shared" si="13"/>
        <v>99879.880654123845</v>
      </c>
      <c r="L8" s="29">
        <f t="shared" si="7"/>
        <v>48.95992658160511</v>
      </c>
      <c r="M8" s="30">
        <f t="shared" si="8"/>
        <v>17.154013766214415</v>
      </c>
      <c r="N8" s="30">
        <f t="shared" si="1"/>
        <v>12.239981645401278</v>
      </c>
      <c r="O8" s="30">
        <f>L8*(1-$C$10)*Table_2_Dashboard!G10</f>
        <v>0</v>
      </c>
      <c r="P8" s="31">
        <f t="shared" si="9"/>
        <v>53.873958702418243</v>
      </c>
      <c r="Q8" s="29">
        <f t="shared" si="10"/>
        <v>20.283890684841158</v>
      </c>
      <c r="R8" s="30">
        <f t="shared" si="11"/>
        <v>10.600989060146071</v>
      </c>
      <c r="S8" s="30">
        <f t="shared" si="2"/>
        <v>1.4488493346315112</v>
      </c>
      <c r="T8" s="30">
        <f>Q8*(1-$C$11)*Table_2_Dashboard!G10</f>
        <v>0</v>
      </c>
      <c r="U8" s="30">
        <f t="shared" si="3"/>
        <v>1.0946363879200005</v>
      </c>
      <c r="V8" s="31">
        <f t="shared" si="4"/>
        <v>28.341394022435718</v>
      </c>
      <c r="W8" s="29">
        <f>Y7</f>
        <v>2.4310384717632885</v>
      </c>
      <c r="X8" s="30">
        <f t="shared" si="15"/>
        <v>0.96935176355768371</v>
      </c>
      <c r="Y8" s="165">
        <f t="shared" si="5"/>
        <v>3.4003902353209723</v>
      </c>
      <c r="Z8" s="41">
        <f t="shared" si="6"/>
        <v>82.215352724853958</v>
      </c>
    </row>
    <row r="9" spans="2:26" ht="18.75" x14ac:dyDescent="0.3">
      <c r="B9" s="163" t="s">
        <v>30</v>
      </c>
      <c r="C9" s="167">
        <f>Table_2_Dashboard!D11</f>
        <v>0.18</v>
      </c>
      <c r="D9" s="8"/>
      <c r="E9" s="9" t="s">
        <v>9</v>
      </c>
      <c r="F9" s="10" t="s">
        <v>10</v>
      </c>
      <c r="G9" s="11">
        <v>7</v>
      </c>
      <c r="H9" s="40"/>
      <c r="I9" s="29">
        <f>K8</f>
        <v>99879.880654123845</v>
      </c>
      <c r="J9" s="30">
        <f>I9*$C$4*$C$19</f>
        <v>34.296248026816933</v>
      </c>
      <c r="K9" s="31">
        <f>I9-J9</f>
        <v>99845.584406097027</v>
      </c>
      <c r="L9" s="29">
        <f>P8</f>
        <v>53.873958702418243</v>
      </c>
      <c r="M9" s="33">
        <f>J8</f>
        <v>17.151068636990548</v>
      </c>
      <c r="N9" s="30">
        <f>L9*$C$6</f>
        <v>13.468489675604561</v>
      </c>
      <c r="O9" s="32"/>
      <c r="P9" s="31">
        <f t="shared" si="9"/>
        <v>57.556537663804235</v>
      </c>
      <c r="Q9" s="29">
        <f t="shared" si="10"/>
        <v>28.341394022435718</v>
      </c>
      <c r="R9" s="30">
        <f t="shared" si="11"/>
        <v>12.239981645401278</v>
      </c>
      <c r="S9" s="30">
        <f t="shared" si="2"/>
        <v>2.0243852873168371</v>
      </c>
      <c r="T9" s="32"/>
      <c r="U9" s="30">
        <f t="shared" si="3"/>
        <v>1.5294660015359609</v>
      </c>
      <c r="V9" s="31">
        <f t="shared" si="4"/>
        <v>37.027524378984197</v>
      </c>
      <c r="W9" s="29">
        <f t="shared" si="14"/>
        <v>3.4003902353209723</v>
      </c>
      <c r="X9" s="30">
        <f t="shared" si="15"/>
        <v>1.4488493346315112</v>
      </c>
      <c r="Y9" s="165">
        <f t="shared" si="5"/>
        <v>4.8492395699524833</v>
      </c>
      <c r="Z9" s="41">
        <f t="shared" si="6"/>
        <v>94.584062042788432</v>
      </c>
    </row>
    <row r="10" spans="2:26" ht="18.75" x14ac:dyDescent="0.3">
      <c r="B10" s="163" t="s">
        <v>31</v>
      </c>
      <c r="C10" s="167">
        <f>Table_2_Dashboard!D14</f>
        <v>0.84</v>
      </c>
      <c r="D10" s="8"/>
      <c r="E10" s="13" t="s">
        <v>382</v>
      </c>
      <c r="F10" s="14" t="s">
        <v>575</v>
      </c>
      <c r="G10" s="15">
        <v>8</v>
      </c>
      <c r="H10" s="40"/>
      <c r="I10" s="29">
        <f t="shared" si="12"/>
        <v>99845.584406097027</v>
      </c>
      <c r="J10" s="32"/>
      <c r="K10" s="31">
        <f t="shared" si="13"/>
        <v>99845.584406097027</v>
      </c>
      <c r="L10" s="29">
        <f t="shared" si="7"/>
        <v>57.556537663804235</v>
      </c>
      <c r="M10" s="33">
        <f t="shared" si="8"/>
        <v>34.296248026816933</v>
      </c>
      <c r="N10" s="30">
        <f t="shared" si="1"/>
        <v>14.389134415951059</v>
      </c>
      <c r="O10" s="30">
        <f>L10*(1-$C$10)*Table_2_Dashboard!G11</f>
        <v>0</v>
      </c>
      <c r="P10" s="31">
        <f>L10+M10-N10-O10</f>
        <v>77.463651274670113</v>
      </c>
      <c r="Q10" s="29">
        <f t="shared" si="10"/>
        <v>37.027524378984197</v>
      </c>
      <c r="R10" s="30">
        <f t="shared" si="11"/>
        <v>13.468489675604561</v>
      </c>
      <c r="S10" s="30">
        <f t="shared" si="2"/>
        <v>2.6448231699274425</v>
      </c>
      <c r="T10" s="30">
        <f>Q10*(1-$C$11)*Table_2_Dashboard!G11</f>
        <v>0</v>
      </c>
      <c r="U10" s="30">
        <f t="shared" si="3"/>
        <v>1.9982199751313847</v>
      </c>
      <c r="V10" s="31">
        <f t="shared" si="4"/>
        <v>45.85297090952993</v>
      </c>
      <c r="W10" s="29">
        <f t="shared" si="14"/>
        <v>4.8492395699524833</v>
      </c>
      <c r="X10" s="30">
        <f t="shared" si="15"/>
        <v>2.0243852873168371</v>
      </c>
      <c r="Y10" s="165">
        <f t="shared" si="5"/>
        <v>6.8736248572693199</v>
      </c>
      <c r="Z10" s="41">
        <f>P10+V10</f>
        <v>123.31662218420004</v>
      </c>
    </row>
    <row r="11" spans="2:26" ht="18.75" x14ac:dyDescent="0.3">
      <c r="B11" s="163" t="s">
        <v>32</v>
      </c>
      <c r="C11" s="167">
        <f>Table_2_Dashboard!D15</f>
        <v>0.28999999999999998</v>
      </c>
      <c r="D11" s="8"/>
      <c r="E11" s="9" t="s">
        <v>383</v>
      </c>
      <c r="F11" s="10" t="s">
        <v>11</v>
      </c>
      <c r="G11" s="11">
        <v>9</v>
      </c>
      <c r="H11" s="40"/>
      <c r="I11" s="29">
        <f t="shared" si="12"/>
        <v>99845.584406097027</v>
      </c>
      <c r="J11" s="32"/>
      <c r="K11" s="31">
        <f t="shared" si="13"/>
        <v>99845.584406097027</v>
      </c>
      <c r="L11" s="29">
        <f>P10</f>
        <v>77.463651274670113</v>
      </c>
      <c r="M11" s="34"/>
      <c r="N11" s="30">
        <f t="shared" si="1"/>
        <v>19.365912818667528</v>
      </c>
      <c r="O11" s="30">
        <f>L11*(1-$C$10)*Table_2_Dashboard!G13</f>
        <v>0</v>
      </c>
      <c r="P11" s="31">
        <f t="shared" si="9"/>
        <v>58.097738456002588</v>
      </c>
      <c r="Q11" s="29">
        <f>V10</f>
        <v>45.85297090952993</v>
      </c>
      <c r="R11" s="30">
        <f t="shared" si="11"/>
        <v>14.389134415951059</v>
      </c>
      <c r="S11" s="30">
        <f t="shared" si="2"/>
        <v>3.2752122078235661</v>
      </c>
      <c r="T11" s="30">
        <f>Q11*(1-$C$11)*Table_2_Dashboard!G13</f>
        <v>0</v>
      </c>
      <c r="U11" s="30">
        <f t="shared" si="3"/>
        <v>2.4744922575095094</v>
      </c>
      <c r="V11" s="31">
        <f t="shared" si="4"/>
        <v>54.492400860147917</v>
      </c>
      <c r="W11" s="29">
        <f t="shared" si="14"/>
        <v>6.8736248572693199</v>
      </c>
      <c r="X11" s="30">
        <f>S10</f>
        <v>2.6448231699274425</v>
      </c>
      <c r="Y11" s="165">
        <f t="shared" si="5"/>
        <v>9.5184480271967615</v>
      </c>
      <c r="Z11" s="41">
        <f t="shared" si="6"/>
        <v>112.5901393161505</v>
      </c>
    </row>
    <row r="12" spans="2:26" ht="16.5" x14ac:dyDescent="0.3">
      <c r="B12" s="168"/>
      <c r="C12" s="169"/>
      <c r="D12" s="8"/>
      <c r="E12" s="9" t="s">
        <v>384</v>
      </c>
      <c r="F12" s="10" t="s">
        <v>12</v>
      </c>
      <c r="G12" s="11">
        <v>10</v>
      </c>
      <c r="H12" s="40"/>
      <c r="I12" s="29">
        <f t="shared" si="12"/>
        <v>99845.584406097027</v>
      </c>
      <c r="J12" s="32"/>
      <c r="K12" s="31">
        <f t="shared" si="13"/>
        <v>99845.584406097027</v>
      </c>
      <c r="L12" s="29">
        <f t="shared" si="7"/>
        <v>58.097738456002588</v>
      </c>
      <c r="M12" s="34"/>
      <c r="N12" s="30">
        <f t="shared" si="1"/>
        <v>14.524434614000647</v>
      </c>
      <c r="O12" s="30">
        <f>L12*(1-$C$10)*Table_2_Dashboard!G14</f>
        <v>0</v>
      </c>
      <c r="P12" s="31">
        <f t="shared" si="9"/>
        <v>43.573303842001941</v>
      </c>
      <c r="Q12" s="29">
        <f t="shared" si="10"/>
        <v>54.492400860147917</v>
      </c>
      <c r="R12" s="30">
        <f t="shared" si="11"/>
        <v>19.365912818667528</v>
      </c>
      <c r="S12" s="30">
        <f t="shared" si="2"/>
        <v>3.8923143471534223</v>
      </c>
      <c r="T12" s="30">
        <f>Q12*(1-$C$11)*Table_2_Dashboard!G14</f>
        <v>0</v>
      </c>
      <c r="U12" s="30">
        <f t="shared" si="3"/>
        <v>2.9407260063385698</v>
      </c>
      <c r="V12" s="31">
        <f t="shared" si="4"/>
        <v>67.025273325323468</v>
      </c>
      <c r="W12" s="29">
        <f t="shared" si="14"/>
        <v>9.5184480271967615</v>
      </c>
      <c r="X12" s="30">
        <f t="shared" si="15"/>
        <v>3.2752122078235661</v>
      </c>
      <c r="Y12" s="165">
        <f>W12+X12</f>
        <v>12.793660235020328</v>
      </c>
      <c r="Z12" s="41">
        <f t="shared" si="6"/>
        <v>110.5985771673254</v>
      </c>
    </row>
    <row r="13" spans="2:26" ht="16.5" x14ac:dyDescent="0.3">
      <c r="B13" s="185" t="s">
        <v>40</v>
      </c>
      <c r="C13" s="186" t="s">
        <v>0</v>
      </c>
      <c r="D13" s="8"/>
      <c r="E13" s="9" t="s">
        <v>385</v>
      </c>
      <c r="F13" s="10" t="s">
        <v>13</v>
      </c>
      <c r="G13" s="11">
        <v>11</v>
      </c>
      <c r="H13" s="40"/>
      <c r="I13" s="29">
        <f t="shared" si="12"/>
        <v>99845.584406097027</v>
      </c>
      <c r="J13" s="32"/>
      <c r="K13" s="31">
        <f t="shared" si="13"/>
        <v>99845.584406097027</v>
      </c>
      <c r="L13" s="29">
        <f t="shared" si="7"/>
        <v>43.573303842001941</v>
      </c>
      <c r="M13" s="34"/>
      <c r="N13" s="30">
        <f t="shared" si="1"/>
        <v>10.893325960500485</v>
      </c>
      <c r="O13" s="30">
        <f>L13*(1-$C$10)*Table_2_Dashboard!G15</f>
        <v>0</v>
      </c>
      <c r="P13" s="31">
        <f t="shared" si="9"/>
        <v>32.679977881501458</v>
      </c>
      <c r="Q13" s="29">
        <f t="shared" si="10"/>
        <v>67.025273325323468</v>
      </c>
      <c r="R13" s="30">
        <f t="shared" si="11"/>
        <v>14.524434614000647</v>
      </c>
      <c r="S13" s="30">
        <f t="shared" si="2"/>
        <v>4.7875195232373899</v>
      </c>
      <c r="T13" s="30">
        <f>Q13*(1-$C$11)*Table_2_Dashboard!G15</f>
        <v>0</v>
      </c>
      <c r="U13" s="30">
        <f>Q13*$C$9*(1-$C$21)</f>
        <v>3.6170724952197397</v>
      </c>
      <c r="V13" s="31">
        <f t="shared" si="4"/>
        <v>73.145115920866985</v>
      </c>
      <c r="W13" s="29">
        <f>Y12</f>
        <v>12.793660235020328</v>
      </c>
      <c r="X13" s="30">
        <f t="shared" si="15"/>
        <v>3.8923143471534223</v>
      </c>
      <c r="Y13" s="165">
        <f>W13+X13</f>
        <v>16.685974582173749</v>
      </c>
      <c r="Z13" s="41">
        <f t="shared" si="6"/>
        <v>105.82509380236844</v>
      </c>
    </row>
    <row r="14" spans="2:26" ht="18.75" x14ac:dyDescent="0.3">
      <c r="B14" s="163" t="s">
        <v>33</v>
      </c>
      <c r="C14" s="169">
        <f>Table_2_Dashboard!D19</f>
        <v>1.9699999999999999E-4</v>
      </c>
      <c r="D14" s="8"/>
      <c r="E14" s="9" t="s">
        <v>386</v>
      </c>
      <c r="F14" s="10" t="s">
        <v>14</v>
      </c>
      <c r="G14" s="11">
        <v>12</v>
      </c>
      <c r="H14" s="40"/>
      <c r="I14" s="29">
        <f t="shared" si="12"/>
        <v>99845.584406097027</v>
      </c>
      <c r="J14" s="32"/>
      <c r="K14" s="31">
        <f t="shared" si="13"/>
        <v>99845.584406097027</v>
      </c>
      <c r="L14" s="29">
        <f t="shared" si="7"/>
        <v>32.679977881501458</v>
      </c>
      <c r="M14" s="34"/>
      <c r="N14" s="30">
        <f t="shared" si="1"/>
        <v>8.1699944703753644</v>
      </c>
      <c r="O14" s="30">
        <f>L14*(1-$C$10)*Table_2_Dashboard!G16</f>
        <v>0</v>
      </c>
      <c r="P14" s="31">
        <f t="shared" si="9"/>
        <v>24.509983411126093</v>
      </c>
      <c r="Q14" s="29">
        <f t="shared" si="10"/>
        <v>73.145115920866985</v>
      </c>
      <c r="R14" s="30">
        <f t="shared" si="11"/>
        <v>10.893325960500485</v>
      </c>
      <c r="S14" s="30">
        <f t="shared" si="2"/>
        <v>5.2246511372047841</v>
      </c>
      <c r="T14" s="30">
        <f>Q14*(1-$C$11)*Table_2_Dashboard!G16</f>
        <v>0</v>
      </c>
      <c r="U14" s="30">
        <f t="shared" si="3"/>
        <v>3.9473346967623222</v>
      </c>
      <c r="V14" s="31">
        <f t="shared" si="4"/>
        <v>74.866456047400362</v>
      </c>
      <c r="W14" s="29">
        <f t="shared" si="14"/>
        <v>16.685974582173749</v>
      </c>
      <c r="X14" s="30">
        <f t="shared" si="15"/>
        <v>4.7875195232373899</v>
      </c>
      <c r="Y14" s="165">
        <f t="shared" si="5"/>
        <v>21.473494105411138</v>
      </c>
      <c r="Z14" s="41">
        <f t="shared" si="6"/>
        <v>99.376439458526448</v>
      </c>
    </row>
    <row r="15" spans="2:26" ht="18.75" x14ac:dyDescent="0.3">
      <c r="B15" s="163" t="s">
        <v>34</v>
      </c>
      <c r="C15" s="170">
        <f>Table_2_Dashboard!D24</f>
        <v>0.42829999999999996</v>
      </c>
      <c r="D15" s="8"/>
      <c r="E15" s="9" t="s">
        <v>387</v>
      </c>
      <c r="F15" s="10" t="s">
        <v>15</v>
      </c>
      <c r="G15" s="11">
        <v>13</v>
      </c>
      <c r="H15" s="40"/>
      <c r="I15" s="29">
        <f t="shared" si="12"/>
        <v>99845.584406097027</v>
      </c>
      <c r="J15" s="32"/>
      <c r="K15" s="31">
        <f t="shared" si="13"/>
        <v>99845.584406097027</v>
      </c>
      <c r="L15" s="29">
        <f t="shared" si="7"/>
        <v>24.509983411126093</v>
      </c>
      <c r="M15" s="34"/>
      <c r="N15" s="30">
        <f t="shared" si="1"/>
        <v>6.1274958527815233</v>
      </c>
      <c r="O15" s="30">
        <f>L15*(1-$C$10)*Table_2_Dashboard!G17</f>
        <v>0</v>
      </c>
      <c r="P15" s="31">
        <f t="shared" si="9"/>
        <v>18.382487558344572</v>
      </c>
      <c r="Q15" s="29">
        <f t="shared" si="10"/>
        <v>74.866456047400362</v>
      </c>
      <c r="R15" s="30">
        <f t="shared" si="11"/>
        <v>8.1699944703753644</v>
      </c>
      <c r="S15" s="30">
        <f t="shared" si="2"/>
        <v>5.3476040033857402</v>
      </c>
      <c r="T15" s="30">
        <f>Q15*(1-$C$11)*Table_2_Dashboard!G17</f>
        <v>0</v>
      </c>
      <c r="U15" s="30">
        <f t="shared" si="3"/>
        <v>4.0402281937627968</v>
      </c>
      <c r="V15" s="31">
        <f t="shared" si="4"/>
        <v>73.648618320627193</v>
      </c>
      <c r="W15" s="29">
        <f t="shared" si="14"/>
        <v>21.473494105411138</v>
      </c>
      <c r="X15" s="30">
        <f t="shared" si="15"/>
        <v>5.2246511372047841</v>
      </c>
      <c r="Y15" s="165">
        <f t="shared" si="5"/>
        <v>26.698145242615922</v>
      </c>
      <c r="Z15" s="41">
        <f t="shared" si="6"/>
        <v>92.031105878971772</v>
      </c>
    </row>
    <row r="16" spans="2:26" ht="16.5" x14ac:dyDescent="0.3">
      <c r="B16" s="168"/>
      <c r="C16" s="169"/>
      <c r="D16" s="8"/>
      <c r="E16" s="9" t="s">
        <v>388</v>
      </c>
      <c r="F16" s="10" t="s">
        <v>16</v>
      </c>
      <c r="G16" s="11">
        <v>14</v>
      </c>
      <c r="H16" s="40"/>
      <c r="I16" s="29">
        <f t="shared" si="12"/>
        <v>99845.584406097027</v>
      </c>
      <c r="J16" s="32"/>
      <c r="K16" s="31">
        <f t="shared" si="13"/>
        <v>99845.584406097027</v>
      </c>
      <c r="L16" s="29">
        <f t="shared" si="7"/>
        <v>18.382487558344572</v>
      </c>
      <c r="M16" s="34"/>
      <c r="N16" s="30">
        <f t="shared" si="1"/>
        <v>4.5956218895861429</v>
      </c>
      <c r="O16" s="30">
        <f>L16*(1-$C$10)*Table_2_Dashboard!G18</f>
        <v>0</v>
      </c>
      <c r="P16" s="31">
        <f t="shared" si="9"/>
        <v>13.786865668758429</v>
      </c>
      <c r="Q16" s="29">
        <f t="shared" si="10"/>
        <v>73.648618320627193</v>
      </c>
      <c r="R16" s="30">
        <f t="shared" si="11"/>
        <v>6.1274958527815233</v>
      </c>
      <c r="S16" s="30">
        <f t="shared" si="2"/>
        <v>5.2606155943305133</v>
      </c>
      <c r="T16" s="30">
        <f>Q16*(1-$C$11)*Table_2_Dashboard!G18</f>
        <v>0</v>
      </c>
      <c r="U16" s="30">
        <f t="shared" si="3"/>
        <v>3.9745066065673016</v>
      </c>
      <c r="V16" s="31">
        <f t="shared" si="4"/>
        <v>70.540991972510895</v>
      </c>
      <c r="W16" s="29">
        <f t="shared" si="14"/>
        <v>26.698145242615922</v>
      </c>
      <c r="X16" s="30">
        <f>S15</f>
        <v>5.3476040033857402</v>
      </c>
      <c r="Y16" s="165">
        <f t="shared" si="5"/>
        <v>32.045749246001662</v>
      </c>
      <c r="Z16" s="41">
        <f t="shared" si="6"/>
        <v>84.327857641269318</v>
      </c>
    </row>
    <row r="17" spans="2:26" ht="16.5" x14ac:dyDescent="0.3">
      <c r="B17" s="185" t="s">
        <v>41</v>
      </c>
      <c r="C17" s="186" t="s">
        <v>0</v>
      </c>
      <c r="D17" s="8"/>
      <c r="E17" s="9" t="s">
        <v>389</v>
      </c>
      <c r="F17" s="10" t="s">
        <v>17</v>
      </c>
      <c r="G17" s="11">
        <v>15</v>
      </c>
      <c r="H17" s="40"/>
      <c r="I17" s="29">
        <f t="shared" si="12"/>
        <v>99845.584406097027</v>
      </c>
      <c r="J17" s="32"/>
      <c r="K17" s="31">
        <f t="shared" si="13"/>
        <v>99845.584406097027</v>
      </c>
      <c r="L17" s="29">
        <f t="shared" si="7"/>
        <v>13.786865668758429</v>
      </c>
      <c r="M17" s="34"/>
      <c r="N17" s="30">
        <f t="shared" si="1"/>
        <v>3.4467164171896072</v>
      </c>
      <c r="O17" s="30">
        <f>L17*(1-$C$10)*Table_2_Dashboard!G19</f>
        <v>0</v>
      </c>
      <c r="P17" s="31">
        <f t="shared" si="9"/>
        <v>10.340149251568821</v>
      </c>
      <c r="Q17" s="29">
        <f t="shared" si="10"/>
        <v>70.540991972510895</v>
      </c>
      <c r="R17" s="30">
        <f t="shared" si="11"/>
        <v>4.5956218895861429</v>
      </c>
      <c r="S17" s="30">
        <f t="shared" si="2"/>
        <v>5.0386422837507778</v>
      </c>
      <c r="T17" s="30">
        <f>Q17*(1-$C$11)*Table_2_Dashboard!G19</f>
        <v>0</v>
      </c>
      <c r="U17" s="30">
        <f t="shared" si="3"/>
        <v>3.8068010645901271</v>
      </c>
      <c r="V17" s="31">
        <f t="shared" si="4"/>
        <v>66.291170513756128</v>
      </c>
      <c r="W17" s="29">
        <f t="shared" si="14"/>
        <v>32.045749246001662</v>
      </c>
      <c r="X17" s="30">
        <f t="shared" si="15"/>
        <v>5.2606155943305133</v>
      </c>
      <c r="Y17" s="165">
        <f>W17+X17</f>
        <v>37.306364840332179</v>
      </c>
      <c r="Z17" s="41">
        <f t="shared" si="6"/>
        <v>76.631319765324946</v>
      </c>
    </row>
    <row r="18" spans="2:26" ht="18.75" x14ac:dyDescent="0.3">
      <c r="B18" s="163" t="s">
        <v>35</v>
      </c>
      <c r="C18" s="169">
        <f>Table_2_Dashboard!D30</f>
        <v>0.3</v>
      </c>
      <c r="D18" s="8"/>
      <c r="E18" s="9" t="s">
        <v>390</v>
      </c>
      <c r="F18" s="10" t="s">
        <v>18</v>
      </c>
      <c r="G18" s="11">
        <v>16</v>
      </c>
      <c r="H18" s="40"/>
      <c r="I18" s="29">
        <f t="shared" si="12"/>
        <v>99845.584406097027</v>
      </c>
      <c r="J18" s="32"/>
      <c r="K18" s="31">
        <f t="shared" si="13"/>
        <v>99845.584406097027</v>
      </c>
      <c r="L18" s="29">
        <f t="shared" si="7"/>
        <v>10.340149251568821</v>
      </c>
      <c r="M18" s="34"/>
      <c r="N18" s="30">
        <f t="shared" si="1"/>
        <v>2.5850373128922053</v>
      </c>
      <c r="O18" s="30">
        <f>L18*(1-$C$10)*Table_2_Dashboard!G20</f>
        <v>0</v>
      </c>
      <c r="P18" s="31">
        <f t="shared" si="9"/>
        <v>7.7551119386766159</v>
      </c>
      <c r="Q18" s="29">
        <f t="shared" si="10"/>
        <v>66.291170513756128</v>
      </c>
      <c r="R18" s="30">
        <f t="shared" si="11"/>
        <v>3.4467164171896072</v>
      </c>
      <c r="S18" s="30">
        <f t="shared" si="2"/>
        <v>4.7350836081254375</v>
      </c>
      <c r="T18" s="30">
        <f>Q18*(1-$C$11)*Table_2_Dashboard!G20</f>
        <v>0</v>
      </c>
      <c r="U18" s="30">
        <f t="shared" si="3"/>
        <v>3.5774560497112593</v>
      </c>
      <c r="V18" s="31">
        <f t="shared" si="4"/>
        <v>61.42534727310904</v>
      </c>
      <c r="W18" s="29">
        <f>Y17</f>
        <v>37.306364840332179</v>
      </c>
      <c r="X18" s="30">
        <f>S17</f>
        <v>5.0386422837507778</v>
      </c>
      <c r="Y18" s="165">
        <f>W18+X18</f>
        <v>42.345007124082954</v>
      </c>
      <c r="Z18" s="41">
        <f t="shared" si="6"/>
        <v>69.18045921178566</v>
      </c>
    </row>
    <row r="19" spans="2:26" ht="18.75" x14ac:dyDescent="0.3">
      <c r="B19" s="163" t="s">
        <v>36</v>
      </c>
      <c r="C19" s="169">
        <f>(((C15)*(1-C18))+(1-C15))</f>
        <v>0.87151000000000001</v>
      </c>
      <c r="D19" s="8"/>
      <c r="E19" s="9" t="s">
        <v>391</v>
      </c>
      <c r="F19" s="10" t="s">
        <v>19</v>
      </c>
      <c r="G19" s="11">
        <v>17</v>
      </c>
      <c r="H19" s="40"/>
      <c r="I19" s="29">
        <f t="shared" si="12"/>
        <v>99845.584406097027</v>
      </c>
      <c r="J19" s="32"/>
      <c r="K19" s="31">
        <f t="shared" si="13"/>
        <v>99845.584406097027</v>
      </c>
      <c r="L19" s="29">
        <f t="shared" si="7"/>
        <v>7.7551119386766159</v>
      </c>
      <c r="M19" s="34"/>
      <c r="N19" s="30">
        <f t="shared" si="1"/>
        <v>1.938777984669154</v>
      </c>
      <c r="O19" s="30">
        <f>L19*(1-$C$10)*Table_2_Dashboard!G21</f>
        <v>0</v>
      </c>
      <c r="P19" s="31">
        <f t="shared" si="9"/>
        <v>5.8163339540074617</v>
      </c>
      <c r="Q19" s="29">
        <f t="shared" si="10"/>
        <v>61.42534727310904</v>
      </c>
      <c r="R19" s="30">
        <f t="shared" si="11"/>
        <v>2.5850373128922053</v>
      </c>
      <c r="S19" s="30">
        <f t="shared" si="2"/>
        <v>4.3875248052220739</v>
      </c>
      <c r="T19" s="30">
        <f>Q19*(1-$C$11)*Table_2_Dashboard!G21</f>
        <v>0</v>
      </c>
      <c r="U19" s="30">
        <f t="shared" si="3"/>
        <v>3.3148680058711464</v>
      </c>
      <c r="V19" s="31">
        <f t="shared" si="4"/>
        <v>56.307991774908032</v>
      </c>
      <c r="W19" s="29">
        <f t="shared" si="14"/>
        <v>42.345007124082954</v>
      </c>
      <c r="X19" s="30">
        <f t="shared" si="15"/>
        <v>4.7350836081254375</v>
      </c>
      <c r="Y19" s="165">
        <f t="shared" si="5"/>
        <v>47.08009073220839</v>
      </c>
      <c r="Z19" s="41">
        <f t="shared" si="6"/>
        <v>62.124325728915494</v>
      </c>
    </row>
    <row r="20" spans="2:26" ht="18.75" x14ac:dyDescent="0.3">
      <c r="B20" s="163" t="s">
        <v>37</v>
      </c>
      <c r="C20" s="169">
        <f>Table_2_Dashboard!D31</f>
        <v>0.7</v>
      </c>
      <c r="D20" s="8"/>
      <c r="E20" s="9" t="s">
        <v>392</v>
      </c>
      <c r="F20" s="10" t="s">
        <v>20</v>
      </c>
      <c r="G20" s="11">
        <v>18</v>
      </c>
      <c r="H20" s="40"/>
      <c r="I20" s="29">
        <f t="shared" si="12"/>
        <v>99845.584406097027</v>
      </c>
      <c r="J20" s="32"/>
      <c r="K20" s="31">
        <f t="shared" si="13"/>
        <v>99845.584406097027</v>
      </c>
      <c r="L20" s="29">
        <f t="shared" si="7"/>
        <v>5.8163339540074617</v>
      </c>
      <c r="M20" s="34"/>
      <c r="N20" s="30">
        <f t="shared" si="1"/>
        <v>1.4540834885018654</v>
      </c>
      <c r="O20" s="30">
        <f>L20*(1-$C$10)*Table_2_Dashboard!G22</f>
        <v>0</v>
      </c>
      <c r="P20" s="31">
        <f t="shared" si="9"/>
        <v>4.3622504655055963</v>
      </c>
      <c r="Q20" s="29">
        <f t="shared" si="10"/>
        <v>56.307991774908032</v>
      </c>
      <c r="R20" s="30">
        <f t="shared" si="11"/>
        <v>1.938777984669154</v>
      </c>
      <c r="S20" s="30">
        <f t="shared" si="2"/>
        <v>4.0219994124934306</v>
      </c>
      <c r="T20" s="30">
        <f>Q20*(1-$C$11)*Table_2_Dashboard!G22</f>
        <v>0</v>
      </c>
      <c r="U20" s="30">
        <f t="shared" si="3"/>
        <v>3.0387058225263308</v>
      </c>
      <c r="V20" s="31">
        <f t="shared" si="4"/>
        <v>51.186064524557423</v>
      </c>
      <c r="W20" s="29">
        <f t="shared" si="14"/>
        <v>47.08009073220839</v>
      </c>
      <c r="X20" s="30">
        <f t="shared" si="15"/>
        <v>4.3875248052220739</v>
      </c>
      <c r="Y20" s="165">
        <f t="shared" si="5"/>
        <v>51.467615537430461</v>
      </c>
      <c r="Z20" s="41">
        <f t="shared" si="6"/>
        <v>55.54831499006302</v>
      </c>
    </row>
    <row r="21" spans="2:26" ht="18.75" x14ac:dyDescent="0.3">
      <c r="B21" s="163" t="s">
        <v>38</v>
      </c>
      <c r="C21" s="102">
        <f>(((C15)*(1-C20))+(1-C15))</f>
        <v>0.70019000000000009</v>
      </c>
      <c r="D21" s="8"/>
      <c r="E21" s="9" t="s">
        <v>393</v>
      </c>
      <c r="F21" s="10" t="s">
        <v>21</v>
      </c>
      <c r="G21" s="11">
        <v>19</v>
      </c>
      <c r="H21" s="40"/>
      <c r="I21" s="29">
        <f t="shared" si="12"/>
        <v>99845.584406097027</v>
      </c>
      <c r="J21" s="32"/>
      <c r="K21" s="31">
        <f t="shared" si="13"/>
        <v>99845.584406097027</v>
      </c>
      <c r="L21" s="29">
        <f t="shared" si="7"/>
        <v>4.3622504655055963</v>
      </c>
      <c r="M21" s="34"/>
      <c r="N21" s="30">
        <f t="shared" si="1"/>
        <v>1.0905626163763991</v>
      </c>
      <c r="O21" s="30">
        <f>L21*(1-$C$10)*Table_2_Dashboard!G23</f>
        <v>0</v>
      </c>
      <c r="P21" s="31">
        <f t="shared" si="9"/>
        <v>3.2716878491291972</v>
      </c>
      <c r="Q21" s="29">
        <f t="shared" si="10"/>
        <v>51.186064524557423</v>
      </c>
      <c r="R21" s="30">
        <f t="shared" si="11"/>
        <v>1.4540834885018654</v>
      </c>
      <c r="S21" s="30">
        <f t="shared" si="2"/>
        <v>3.6561474660398159</v>
      </c>
      <c r="T21" s="30">
        <f>Q21*(1-$C$11)*Table_2_Dashboard!G23</f>
        <v>0</v>
      </c>
      <c r="U21" s="30">
        <f t="shared" si="3"/>
        <v>2.76229692091936</v>
      </c>
      <c r="V21" s="31">
        <f t="shared" si="4"/>
        <v>46.221703626100108</v>
      </c>
      <c r="W21" s="29">
        <f t="shared" si="14"/>
        <v>51.467615537430461</v>
      </c>
      <c r="X21" s="30">
        <f t="shared" si="15"/>
        <v>4.0219994124934306</v>
      </c>
      <c r="Y21" s="165">
        <f t="shared" si="5"/>
        <v>55.48961494992389</v>
      </c>
      <c r="Z21" s="41">
        <f t="shared" si="6"/>
        <v>49.493391475229302</v>
      </c>
    </row>
    <row r="22" spans="2:26" ht="16.5" x14ac:dyDescent="0.3">
      <c r="B22" s="168"/>
      <c r="C22" s="171"/>
      <c r="D22" s="8"/>
      <c r="E22" s="9" t="s">
        <v>394</v>
      </c>
      <c r="F22" s="10" t="s">
        <v>22</v>
      </c>
      <c r="G22" s="11">
        <v>20</v>
      </c>
      <c r="H22" s="40"/>
      <c r="I22" s="29">
        <f t="shared" si="12"/>
        <v>99845.584406097027</v>
      </c>
      <c r="J22" s="32"/>
      <c r="K22" s="31">
        <f t="shared" si="13"/>
        <v>99845.584406097027</v>
      </c>
      <c r="L22" s="29">
        <f t="shared" si="7"/>
        <v>3.2716878491291972</v>
      </c>
      <c r="M22" s="34"/>
      <c r="N22" s="30">
        <f t="shared" si="1"/>
        <v>0.8179219622822993</v>
      </c>
      <c r="O22" s="30">
        <f>L22*(1-$C$10)*Table_2_Dashboard!G24</f>
        <v>0</v>
      </c>
      <c r="P22" s="31">
        <f t="shared" si="9"/>
        <v>2.4537658868468979</v>
      </c>
      <c r="Q22" s="29">
        <f t="shared" si="10"/>
        <v>46.221703626100108</v>
      </c>
      <c r="R22" s="30">
        <f t="shared" si="11"/>
        <v>1.0905626163763991</v>
      </c>
      <c r="S22" s="30">
        <f t="shared" si="2"/>
        <v>3.3015502590071506</v>
      </c>
      <c r="T22" s="30">
        <f>Q22*(1-$C$11)*Table_2_Dashboard!G24</f>
        <v>0</v>
      </c>
      <c r="U22" s="30">
        <f t="shared" si="3"/>
        <v>2.4943912135453927</v>
      </c>
      <c r="V22" s="31">
        <f t="shared" si="4"/>
        <v>41.516324769923969</v>
      </c>
      <c r="W22" s="29">
        <f t="shared" si="14"/>
        <v>55.48961494992389</v>
      </c>
      <c r="X22" s="30">
        <f t="shared" si="15"/>
        <v>3.6561474660398159</v>
      </c>
      <c r="Y22" s="165">
        <f t="shared" si="5"/>
        <v>59.145762415963709</v>
      </c>
      <c r="Z22" s="41">
        <f t="shared" si="6"/>
        <v>43.970090656770864</v>
      </c>
    </row>
    <row r="23" spans="2:26" ht="16.5" x14ac:dyDescent="0.3">
      <c r="B23" s="168"/>
      <c r="C23" s="171"/>
      <c r="D23" s="8"/>
      <c r="E23" s="9" t="s">
        <v>395</v>
      </c>
      <c r="F23" s="10" t="s">
        <v>13</v>
      </c>
      <c r="G23" s="11">
        <v>21</v>
      </c>
      <c r="H23" s="40"/>
      <c r="I23" s="29">
        <f t="shared" si="12"/>
        <v>99845.584406097027</v>
      </c>
      <c r="J23" s="32"/>
      <c r="K23" s="31">
        <f t="shared" si="13"/>
        <v>99845.584406097027</v>
      </c>
      <c r="L23" s="29">
        <f t="shared" si="7"/>
        <v>2.4537658868468979</v>
      </c>
      <c r="M23" s="34"/>
      <c r="N23" s="30">
        <f t="shared" si="1"/>
        <v>0.61344147171172447</v>
      </c>
      <c r="O23" s="30">
        <f>L23*(1-$C$10)*Table_2_Dashboard!G25</f>
        <v>0</v>
      </c>
      <c r="P23" s="31">
        <f t="shared" si="9"/>
        <v>1.8403244151351734</v>
      </c>
      <c r="Q23" s="29">
        <f t="shared" si="10"/>
        <v>41.516324769923969</v>
      </c>
      <c r="R23" s="30">
        <f t="shared" si="11"/>
        <v>0.8179219622822993</v>
      </c>
      <c r="S23" s="30">
        <f t="shared" si="2"/>
        <v>2.9654517692802833</v>
      </c>
      <c r="T23" s="30">
        <f>Q23*(1-$C$11)*Table_2_Dashboard!G25</f>
        <v>0</v>
      </c>
      <c r="U23" s="30">
        <f t="shared" si="3"/>
        <v>2.2404616792687619</v>
      </c>
      <c r="V23" s="31">
        <f t="shared" si="4"/>
        <v>37.12833328365722</v>
      </c>
      <c r="W23" s="29">
        <f t="shared" si="14"/>
        <v>59.145762415963709</v>
      </c>
      <c r="X23" s="30">
        <f t="shared" si="15"/>
        <v>3.3015502590071506</v>
      </c>
      <c r="Y23" s="165">
        <f t="shared" si="5"/>
        <v>62.44731267497086</v>
      </c>
      <c r="Z23" s="41">
        <f t="shared" si="6"/>
        <v>38.968657698792391</v>
      </c>
    </row>
    <row r="24" spans="2:26" ht="17.25" thickBot="1" x14ac:dyDescent="0.35">
      <c r="B24" s="172"/>
      <c r="C24" s="173"/>
      <c r="D24" s="8"/>
      <c r="E24" s="20" t="s">
        <v>396</v>
      </c>
      <c r="F24" s="21" t="s">
        <v>23</v>
      </c>
      <c r="G24" s="22">
        <v>22</v>
      </c>
      <c r="H24" s="40"/>
      <c r="I24" s="35">
        <f>K23</f>
        <v>99845.584406097027</v>
      </c>
      <c r="J24" s="36"/>
      <c r="K24" s="37">
        <f t="shared" si="13"/>
        <v>99845.584406097027</v>
      </c>
      <c r="L24" s="35">
        <f t="shared" si="7"/>
        <v>1.8403244151351734</v>
      </c>
      <c r="M24" s="36"/>
      <c r="N24" s="38">
        <f t="shared" si="1"/>
        <v>0.46008110378379335</v>
      </c>
      <c r="O24" s="38">
        <f>L24*(1-$C$10)*Table_2_Dashboard!G26</f>
        <v>0</v>
      </c>
      <c r="P24" s="37">
        <f t="shared" si="9"/>
        <v>1.3802433113513801</v>
      </c>
      <c r="Q24" s="29">
        <f t="shared" si="10"/>
        <v>37.12833328365722</v>
      </c>
      <c r="R24" s="38">
        <f t="shared" si="11"/>
        <v>0.61344147171172447</v>
      </c>
      <c r="S24" s="38">
        <f t="shared" si="2"/>
        <v>2.6520238059755155</v>
      </c>
      <c r="T24" s="38">
        <f>Q24*(1-$C$11)*Table_2_Dashboard!G26</f>
        <v>0</v>
      </c>
      <c r="U24" s="38">
        <f t="shared" si="3"/>
        <v>2.0036602083191881</v>
      </c>
      <c r="V24" s="37">
        <f t="shared" si="4"/>
        <v>33.086090741074237</v>
      </c>
      <c r="W24" s="29">
        <f>Y23</f>
        <v>62.44731267497086</v>
      </c>
      <c r="X24" s="30">
        <f t="shared" si="15"/>
        <v>2.9654517692802833</v>
      </c>
      <c r="Y24" s="165">
        <f t="shared" si="5"/>
        <v>65.412764444251138</v>
      </c>
      <c r="Z24" s="42">
        <f>P24+V24</f>
        <v>34.466334052425616</v>
      </c>
    </row>
    <row r="25" spans="2:26" ht="4.9000000000000004" customHeight="1" thickBot="1" x14ac:dyDescent="0.35">
      <c r="B25" s="23"/>
      <c r="C25" s="24"/>
      <c r="D25" s="8"/>
      <c r="E25" s="12"/>
      <c r="F25" s="12"/>
      <c r="G25" s="12"/>
      <c r="H25" s="12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2:26" ht="16.149999999999999" customHeight="1" thickBot="1" x14ac:dyDescent="0.35">
      <c r="B26" s="189">
        <v>1</v>
      </c>
      <c r="C26" s="191"/>
      <c r="D26" s="6"/>
      <c r="E26" s="189">
        <v>2</v>
      </c>
      <c r="F26" s="190"/>
      <c r="G26" s="191"/>
      <c r="H26" s="6"/>
      <c r="I26" s="189">
        <v>3</v>
      </c>
      <c r="J26" s="190"/>
      <c r="K26" s="191"/>
      <c r="L26" s="189">
        <v>4</v>
      </c>
      <c r="M26" s="190"/>
      <c r="N26" s="190"/>
      <c r="O26" s="190"/>
      <c r="P26" s="191"/>
      <c r="Q26" s="189">
        <v>5</v>
      </c>
      <c r="R26" s="190"/>
      <c r="S26" s="190"/>
      <c r="T26" s="190"/>
      <c r="U26" s="190"/>
      <c r="V26" s="191"/>
      <c r="W26" s="189">
        <v>6</v>
      </c>
      <c r="X26" s="190"/>
      <c r="Y26" s="191"/>
      <c r="Z26" s="26">
        <v>7</v>
      </c>
    </row>
    <row r="27" spans="2:26" ht="34.9" customHeight="1" x14ac:dyDescent="0.25"/>
  </sheetData>
  <mergeCells count="6">
    <mergeCell ref="W26:Y26"/>
    <mergeCell ref="B26:C26"/>
    <mergeCell ref="E26:G26"/>
    <mergeCell ref="I26:K26"/>
    <mergeCell ref="L26:P26"/>
    <mergeCell ref="Q26:V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BFD8-9C4F-47CF-97DA-65E8109DA0FD}">
  <dimension ref="B1:Z27"/>
  <sheetViews>
    <sheetView workbookViewId="0">
      <selection sqref="A1:XFD1048576"/>
    </sheetView>
  </sheetViews>
  <sheetFormatPr defaultRowHeight="15.75" x14ac:dyDescent="0.25"/>
  <cols>
    <col min="1" max="1" width="1.85546875" style="1" customWidth="1"/>
    <col min="2" max="2" width="4.85546875" style="3" customWidth="1"/>
    <col min="3" max="3" width="11.28515625" style="2" customWidth="1"/>
    <col min="4" max="4" width="2.7109375" style="1" customWidth="1"/>
    <col min="5" max="5" width="6" style="2" bestFit="1" customWidth="1"/>
    <col min="6" max="6" width="10.85546875" style="2" bestFit="1" customWidth="1"/>
    <col min="7" max="7" width="3" style="2" bestFit="1" customWidth="1"/>
    <col min="8" max="8" width="1.42578125" style="2" customWidth="1"/>
    <col min="9" max="9" width="9" style="2" bestFit="1" customWidth="1"/>
    <col min="10" max="10" width="12.140625" style="2" bestFit="1" customWidth="1"/>
    <col min="11" max="11" width="8.85546875" style="1" bestFit="1" customWidth="1"/>
    <col min="12" max="12" width="9.140625" style="1" bestFit="1" customWidth="1"/>
    <col min="13" max="13" width="12.140625" style="1" bestFit="1" customWidth="1"/>
    <col min="14" max="14" width="10.7109375" style="1" bestFit="1" customWidth="1"/>
    <col min="15" max="15" width="14.140625" style="1" bestFit="1" customWidth="1"/>
    <col min="16" max="16" width="6" style="1" bestFit="1" customWidth="1"/>
    <col min="17" max="17" width="8.140625" style="1" bestFit="1" customWidth="1"/>
    <col min="18" max="18" width="10.7109375" style="1" bestFit="1" customWidth="1"/>
    <col min="19" max="19" width="9.85546875" style="1" bestFit="1" customWidth="1"/>
    <col min="20" max="20" width="13.42578125" style="1" bestFit="1" customWidth="1"/>
    <col min="21" max="21" width="15.140625" style="1" bestFit="1" customWidth="1"/>
    <col min="22" max="22" width="5.42578125" style="1" bestFit="1" customWidth="1"/>
    <col min="23" max="23" width="9.28515625" style="1" bestFit="1" customWidth="1"/>
    <col min="24" max="24" width="9.85546875" style="1" bestFit="1" customWidth="1"/>
    <col min="25" max="25" width="6.140625" style="1" bestFit="1" customWidth="1"/>
    <col min="26" max="26" width="8.42578125" style="1" bestFit="1" customWidth="1"/>
    <col min="27" max="16384" width="9.140625" style="1"/>
  </cols>
  <sheetData>
    <row r="1" spans="2:26" ht="6.6" customHeight="1" thickBot="1" x14ac:dyDescent="0.3"/>
    <row r="2" spans="2:26" ht="21.75" x14ac:dyDescent="0.4">
      <c r="B2" s="180" t="s">
        <v>39</v>
      </c>
      <c r="C2" s="181" t="s">
        <v>0</v>
      </c>
      <c r="D2" s="5"/>
      <c r="E2" s="182" t="s">
        <v>469</v>
      </c>
      <c r="F2" s="183" t="s">
        <v>470</v>
      </c>
      <c r="G2" s="184" t="s">
        <v>468</v>
      </c>
      <c r="H2" s="6"/>
      <c r="I2" s="174" t="s">
        <v>586</v>
      </c>
      <c r="J2" s="175" t="s">
        <v>587</v>
      </c>
      <c r="K2" s="176" t="s">
        <v>588</v>
      </c>
      <c r="L2" s="174" t="s">
        <v>589</v>
      </c>
      <c r="M2" s="177" t="s">
        <v>587</v>
      </c>
      <c r="N2" s="177" t="s">
        <v>590</v>
      </c>
      <c r="O2" s="177" t="s">
        <v>591</v>
      </c>
      <c r="P2" s="176" t="s">
        <v>592</v>
      </c>
      <c r="Q2" s="178" t="s">
        <v>593</v>
      </c>
      <c r="R2" s="177" t="s">
        <v>590</v>
      </c>
      <c r="S2" s="177" t="s">
        <v>577</v>
      </c>
      <c r="T2" s="177" t="s">
        <v>594</v>
      </c>
      <c r="U2" s="177" t="s">
        <v>595</v>
      </c>
      <c r="V2" s="176" t="s">
        <v>596</v>
      </c>
      <c r="W2" s="174" t="s">
        <v>597</v>
      </c>
      <c r="X2" s="177" t="s">
        <v>577</v>
      </c>
      <c r="Y2" s="176" t="s">
        <v>598</v>
      </c>
      <c r="Z2" s="179" t="s">
        <v>574</v>
      </c>
    </row>
    <row r="3" spans="2:26" ht="18.75" x14ac:dyDescent="0.3">
      <c r="B3" s="163" t="s">
        <v>24</v>
      </c>
      <c r="C3" s="164">
        <f>Table_2_Dashboard!D5</f>
        <v>100000</v>
      </c>
      <c r="D3" s="8"/>
      <c r="E3" s="9" t="s">
        <v>1</v>
      </c>
      <c r="F3" s="10" t="s">
        <v>2</v>
      </c>
      <c r="G3" s="11">
        <v>1</v>
      </c>
      <c r="H3" s="40"/>
      <c r="I3" s="29">
        <f>C3-L3-Q3-W3</f>
        <v>99988.603506000014</v>
      </c>
      <c r="J3" s="30">
        <f>I3*$C$14*$C$19</f>
        <v>11.395195199245082</v>
      </c>
      <c r="K3" s="31">
        <f>I3-J3</f>
        <v>99977.208310800765</v>
      </c>
      <c r="L3" s="29">
        <f>C3*$C$14*$C$19*0.5</f>
        <v>5.6982470000000003</v>
      </c>
      <c r="M3" s="30">
        <v>0</v>
      </c>
      <c r="N3" s="30">
        <f>L3*$C$6</f>
        <v>1.4245617500000001</v>
      </c>
      <c r="O3" s="32"/>
      <c r="P3" s="31">
        <f>L3+M3-N3-O3</f>
        <v>4.2736852499999998</v>
      </c>
      <c r="Q3" s="29">
        <f>C3*$C$14*$C$19*0.5</f>
        <v>5.6982470000000003</v>
      </c>
      <c r="R3" s="30">
        <v>0</v>
      </c>
      <c r="S3" s="30">
        <f>Q3*$C$8</f>
        <v>0.40701764285714287</v>
      </c>
      <c r="T3" s="32"/>
      <c r="U3" s="30">
        <f>Q3*$C$9*(1-$C$21)</f>
        <v>0.47250206018819996</v>
      </c>
      <c r="V3" s="31">
        <f>Q3+R3-S3-T3-U3</f>
        <v>4.8187272969546573</v>
      </c>
      <c r="W3" s="29">
        <v>0</v>
      </c>
      <c r="X3" s="30">
        <v>0</v>
      </c>
      <c r="Y3" s="165">
        <f>W3+X3</f>
        <v>0</v>
      </c>
      <c r="Z3" s="41">
        <f>P3+V3</f>
        <v>9.0924125469546571</v>
      </c>
    </row>
    <row r="4" spans="2:26" ht="18.75" x14ac:dyDescent="0.3">
      <c r="B4" s="163" t="s">
        <v>25</v>
      </c>
      <c r="C4" s="166">
        <f>C14*2</f>
        <v>2.8400000000000002E-4</v>
      </c>
      <c r="D4" s="8"/>
      <c r="E4" s="9" t="s">
        <v>1</v>
      </c>
      <c r="F4" s="10" t="s">
        <v>2</v>
      </c>
      <c r="G4" s="11">
        <v>2</v>
      </c>
      <c r="H4" s="40"/>
      <c r="I4" s="29">
        <f>K3</f>
        <v>99977.208310800765</v>
      </c>
      <c r="J4" s="30">
        <f t="shared" ref="J4:J8" si="0">I4*$C$14*$C$19</f>
        <v>11.393896546507911</v>
      </c>
      <c r="K4" s="31">
        <f t="shared" ref="K4:K24" si="1">I4-J4</f>
        <v>99965.814414254259</v>
      </c>
      <c r="L4" s="29">
        <f>P3</f>
        <v>4.2736852499999998</v>
      </c>
      <c r="M4" s="30">
        <f>J3</f>
        <v>11.395195199245082</v>
      </c>
      <c r="N4" s="30">
        <f t="shared" ref="N4:N24" si="2">L4*$C$6</f>
        <v>1.0684213124999999</v>
      </c>
      <c r="O4" s="32"/>
      <c r="P4" s="31">
        <f>L4+M4-N4-O4</f>
        <v>14.600459136745082</v>
      </c>
      <c r="Q4" s="29">
        <f>V3</f>
        <v>4.8187272969546573</v>
      </c>
      <c r="R4" s="30">
        <f>N3</f>
        <v>1.4245617500000001</v>
      </c>
      <c r="S4" s="30">
        <f t="shared" ref="S4:S24" si="3">Q4*$C$8</f>
        <v>0.34419480692533266</v>
      </c>
      <c r="T4" s="32"/>
      <c r="U4" s="30">
        <f t="shared" ref="U4:U24" si="4">Q4*$C$9*(1-$C$21)</f>
        <v>0.39957175869985834</v>
      </c>
      <c r="V4" s="31">
        <f t="shared" ref="V4:V24" si="5">Q4+R4-S4-T4-U4</f>
        <v>5.4995224813294667</v>
      </c>
      <c r="W4" s="29">
        <f>Y3</f>
        <v>0</v>
      </c>
      <c r="X4" s="30">
        <f>S3</f>
        <v>0.40701764285714287</v>
      </c>
      <c r="Y4" s="165">
        <f t="shared" ref="Y4:Y24" si="6">W4+X4</f>
        <v>0.40701764285714287</v>
      </c>
      <c r="Z4" s="41">
        <f t="shared" ref="Z4:Z24" si="7">P4+V4</f>
        <v>20.099981618074548</v>
      </c>
    </row>
    <row r="5" spans="2:26" ht="18.75" x14ac:dyDescent="0.3">
      <c r="B5" s="163" t="s">
        <v>28</v>
      </c>
      <c r="C5" s="164">
        <f>Table_2_Dashboard!D6</f>
        <v>4</v>
      </c>
      <c r="D5" s="8"/>
      <c r="E5" s="9" t="s">
        <v>3</v>
      </c>
      <c r="F5" s="10" t="s">
        <v>4</v>
      </c>
      <c r="G5" s="11">
        <v>3</v>
      </c>
      <c r="H5" s="40"/>
      <c r="I5" s="29">
        <f>K4</f>
        <v>99965.814414254259</v>
      </c>
      <c r="J5" s="30">
        <f t="shared" si="0"/>
        <v>11.392598041771622</v>
      </c>
      <c r="K5" s="31">
        <f t="shared" si="1"/>
        <v>99954.421816212489</v>
      </c>
      <c r="L5" s="29">
        <f t="shared" ref="L5:L24" si="8">P4</f>
        <v>14.600459136745082</v>
      </c>
      <c r="M5" s="30">
        <f t="shared" ref="M5:M10" si="9">J4</f>
        <v>11.393896546507911</v>
      </c>
      <c r="N5" s="30">
        <f t="shared" si="2"/>
        <v>3.6501147841862704</v>
      </c>
      <c r="O5" s="30">
        <f>L5*(1-$C$10)*Table_2_Dashboard!G7</f>
        <v>0</v>
      </c>
      <c r="P5" s="31">
        <f t="shared" ref="P5:P24" si="10">L5+M5-N5-O5</f>
        <v>22.344240899066719</v>
      </c>
      <c r="Q5" s="29">
        <f t="shared" ref="Q5:Q23" si="11">V4</f>
        <v>5.4995224813294667</v>
      </c>
      <c r="R5" s="30">
        <f t="shared" ref="R5:R24" si="12">N4</f>
        <v>1.0684213124999999</v>
      </c>
      <c r="S5" s="30">
        <f t="shared" si="3"/>
        <v>0.39282303438067617</v>
      </c>
      <c r="T5" s="30">
        <f>Q5*(1-$C$11)*Table_2_Dashboard!G7</f>
        <v>0</v>
      </c>
      <c r="U5" s="30">
        <f t="shared" si="4"/>
        <v>0.45602370386532814</v>
      </c>
      <c r="V5" s="31">
        <f t="shared" si="5"/>
        <v>5.7190970555834628</v>
      </c>
      <c r="W5" s="29">
        <f t="shared" ref="W5:W24" si="13">Y4</f>
        <v>0.40701764285714287</v>
      </c>
      <c r="X5" s="30">
        <f t="shared" ref="X5:X24" si="14">S4</f>
        <v>0.34419480692533266</v>
      </c>
      <c r="Y5" s="165">
        <f>W5+X5</f>
        <v>0.75121244978247548</v>
      </c>
      <c r="Z5" s="41">
        <f t="shared" si="7"/>
        <v>28.06333795465018</v>
      </c>
    </row>
    <row r="6" spans="2:26" ht="18.75" x14ac:dyDescent="0.3">
      <c r="B6" s="163" t="s">
        <v>26</v>
      </c>
      <c r="C6" s="167">
        <f>1/C5</f>
        <v>0.25</v>
      </c>
      <c r="D6" s="8"/>
      <c r="E6" s="9" t="s">
        <v>5</v>
      </c>
      <c r="F6" s="10" t="s">
        <v>6</v>
      </c>
      <c r="G6" s="11">
        <v>4</v>
      </c>
      <c r="H6" s="40"/>
      <c r="I6" s="29">
        <f t="shared" ref="I6:I23" si="15">K5</f>
        <v>99954.421816212489</v>
      </c>
      <c r="J6" s="30">
        <f t="shared" si="0"/>
        <v>11.391299685019348</v>
      </c>
      <c r="K6" s="31">
        <f t="shared" si="1"/>
        <v>99943.030516527477</v>
      </c>
      <c r="L6" s="29">
        <f t="shared" si="8"/>
        <v>22.344240899066719</v>
      </c>
      <c r="M6" s="30">
        <f t="shared" si="9"/>
        <v>11.392598041771622</v>
      </c>
      <c r="N6" s="30">
        <f t="shared" si="2"/>
        <v>5.5860602247666797</v>
      </c>
      <c r="O6" s="30">
        <f>L6*(1-$C$10)*Table_2_Dashboard!G8</f>
        <v>0</v>
      </c>
      <c r="P6" s="31">
        <f t="shared" si="10"/>
        <v>28.15077871607166</v>
      </c>
      <c r="Q6" s="29">
        <f t="shared" si="11"/>
        <v>5.7190970555834628</v>
      </c>
      <c r="R6" s="30">
        <f t="shared" si="12"/>
        <v>3.6501147841862704</v>
      </c>
      <c r="S6" s="30">
        <f t="shared" si="3"/>
        <v>0.40850693254167592</v>
      </c>
      <c r="T6" s="30">
        <f>Q6*(1-$C$11)*Table_2_Dashboard!G8</f>
        <v>0</v>
      </c>
      <c r="U6" s="30">
        <f t="shared" si="4"/>
        <v>0.47423095930721409</v>
      </c>
      <c r="V6" s="31">
        <f t="shared" si="5"/>
        <v>8.4864739479208424</v>
      </c>
      <c r="W6" s="29">
        <f>Y5</f>
        <v>0.75121244978247548</v>
      </c>
      <c r="X6" s="30">
        <f t="shared" si="14"/>
        <v>0.39282303438067617</v>
      </c>
      <c r="Y6" s="165">
        <f t="shared" si="6"/>
        <v>1.1440354841631517</v>
      </c>
      <c r="Z6" s="41">
        <f t="shared" si="7"/>
        <v>36.637252663992498</v>
      </c>
    </row>
    <row r="7" spans="2:26" ht="18.75" x14ac:dyDescent="0.3">
      <c r="B7" s="163" t="s">
        <v>29</v>
      </c>
      <c r="C7" s="164">
        <f>Table_2_Dashboard!D8</f>
        <v>14</v>
      </c>
      <c r="D7" s="8"/>
      <c r="E7" s="9" t="s">
        <v>5</v>
      </c>
      <c r="F7" s="10" t="s">
        <v>7</v>
      </c>
      <c r="G7" s="11">
        <v>5</v>
      </c>
      <c r="H7" s="40"/>
      <c r="I7" s="29">
        <f t="shared" si="15"/>
        <v>99943.030516527477</v>
      </c>
      <c r="J7" s="30">
        <f t="shared" si="0"/>
        <v>11.390001476234223</v>
      </c>
      <c r="K7" s="31">
        <f t="shared" si="1"/>
        <v>99931.640515051244</v>
      </c>
      <c r="L7" s="29">
        <f t="shared" si="8"/>
        <v>28.15077871607166</v>
      </c>
      <c r="M7" s="30">
        <f t="shared" si="9"/>
        <v>11.391299685019348</v>
      </c>
      <c r="N7" s="30">
        <f t="shared" si="2"/>
        <v>7.0376946790179149</v>
      </c>
      <c r="O7" s="30">
        <f>L7*(1-$C$10)*Table_2_Dashboard!G9</f>
        <v>0</v>
      </c>
      <c r="P7" s="31">
        <f t="shared" si="10"/>
        <v>32.504383722073086</v>
      </c>
      <c r="Q7" s="29">
        <f t="shared" si="11"/>
        <v>8.4864739479208424</v>
      </c>
      <c r="R7" s="30">
        <f t="shared" si="12"/>
        <v>5.5860602247666797</v>
      </c>
      <c r="S7" s="30">
        <f t="shared" si="3"/>
        <v>0.60617671056577438</v>
      </c>
      <c r="T7" s="30">
        <f>Q7*(1-$C$11)*Table_2_Dashboard!G9</f>
        <v>0</v>
      </c>
      <c r="U7" s="30">
        <f>Q7*$C$9*(1-$C$21)</f>
        <v>0.70370351164596501</v>
      </c>
      <c r="V7" s="31">
        <f t="shared" si="5"/>
        <v>12.762653950475782</v>
      </c>
      <c r="W7" s="29">
        <f t="shared" si="13"/>
        <v>1.1440354841631517</v>
      </c>
      <c r="X7" s="30">
        <f t="shared" si="14"/>
        <v>0.40850693254167592</v>
      </c>
      <c r="Y7" s="165">
        <f t="shared" si="6"/>
        <v>1.5525424167048276</v>
      </c>
      <c r="Z7" s="41">
        <f t="shared" si="7"/>
        <v>45.267037672548867</v>
      </c>
    </row>
    <row r="8" spans="2:26" ht="18.75" x14ac:dyDescent="0.3">
      <c r="B8" s="163" t="s">
        <v>27</v>
      </c>
      <c r="C8" s="167">
        <f>1/C7</f>
        <v>7.1428571428571425E-2</v>
      </c>
      <c r="D8" s="8"/>
      <c r="E8" s="9" t="s">
        <v>467</v>
      </c>
      <c r="F8" s="10" t="s">
        <v>8</v>
      </c>
      <c r="G8" s="11">
        <v>6</v>
      </c>
      <c r="H8" s="40"/>
      <c r="I8" s="29">
        <f t="shared" si="15"/>
        <v>99931.640515051244</v>
      </c>
      <c r="J8" s="30">
        <f t="shared" si="0"/>
        <v>11.388703415399384</v>
      </c>
      <c r="K8" s="31">
        <f t="shared" si="1"/>
        <v>99920.251811635841</v>
      </c>
      <c r="L8" s="29">
        <f t="shared" si="8"/>
        <v>32.504383722073086</v>
      </c>
      <c r="M8" s="30">
        <f t="shared" si="9"/>
        <v>11.390001476234223</v>
      </c>
      <c r="N8" s="30">
        <f t="shared" si="2"/>
        <v>8.1260959305182716</v>
      </c>
      <c r="O8" s="30">
        <f>L8*(1-$C$10)*Table_2_Dashboard!G10</f>
        <v>0</v>
      </c>
      <c r="P8" s="31">
        <f>L8+M8-N8-O8</f>
        <v>35.768289267789044</v>
      </c>
      <c r="Q8" s="29">
        <f t="shared" si="11"/>
        <v>12.762653950475782</v>
      </c>
      <c r="R8" s="30">
        <f t="shared" si="12"/>
        <v>7.0376946790179149</v>
      </c>
      <c r="S8" s="30">
        <f t="shared" si="3"/>
        <v>0.91161813931969871</v>
      </c>
      <c r="T8" s="30">
        <f>Q8*(1-$C$11)*Table_2_Dashboard!G10</f>
        <v>0</v>
      </c>
      <c r="U8" s="30">
        <f t="shared" si="4"/>
        <v>1.0582869231658223</v>
      </c>
      <c r="V8" s="31">
        <f>Q8+R8-S8-T8-U8</f>
        <v>17.830443567008174</v>
      </c>
      <c r="W8" s="29">
        <f t="shared" si="13"/>
        <v>1.5525424167048276</v>
      </c>
      <c r="X8" s="30">
        <f t="shared" si="14"/>
        <v>0.60617671056577438</v>
      </c>
      <c r="Y8" s="165">
        <f t="shared" si="6"/>
        <v>2.1587191272706021</v>
      </c>
      <c r="Z8" s="41">
        <f t="shared" si="7"/>
        <v>53.598732834797218</v>
      </c>
    </row>
    <row r="9" spans="2:26" ht="18.75" x14ac:dyDescent="0.3">
      <c r="B9" s="163" t="s">
        <v>30</v>
      </c>
      <c r="C9" s="167">
        <f>Table_2_Dashboard!D11</f>
        <v>0.18</v>
      </c>
      <c r="D9" s="8"/>
      <c r="E9" s="9" t="s">
        <v>9</v>
      </c>
      <c r="F9" s="10" t="s">
        <v>10</v>
      </c>
      <c r="G9" s="11">
        <v>7</v>
      </c>
      <c r="H9" s="40"/>
      <c r="I9" s="29">
        <f t="shared" si="15"/>
        <v>99920.251811635841</v>
      </c>
      <c r="J9" s="30">
        <f>I9*$C$4*$C$19</f>
        <v>22.774811004995943</v>
      </c>
      <c r="K9" s="31">
        <f t="shared" si="1"/>
        <v>99897.477000630839</v>
      </c>
      <c r="L9" s="29">
        <f t="shared" si="8"/>
        <v>35.768289267789044</v>
      </c>
      <c r="M9" s="33">
        <f t="shared" si="9"/>
        <v>11.388703415399384</v>
      </c>
      <c r="N9" s="30">
        <f t="shared" si="2"/>
        <v>8.9420723169472609</v>
      </c>
      <c r="O9" s="32"/>
      <c r="P9" s="31">
        <f t="shared" si="10"/>
        <v>38.214920366241167</v>
      </c>
      <c r="Q9" s="29">
        <f t="shared" si="11"/>
        <v>17.830443567008174</v>
      </c>
      <c r="R9" s="30">
        <f t="shared" si="12"/>
        <v>8.1260959305182716</v>
      </c>
      <c r="S9" s="30">
        <f t="shared" si="3"/>
        <v>1.2736031119291553</v>
      </c>
      <c r="T9" s="32"/>
      <c r="U9" s="30">
        <f t="shared" si="4"/>
        <v>1.478511078842458</v>
      </c>
      <c r="V9" s="31">
        <f t="shared" si="5"/>
        <v>23.204425306754832</v>
      </c>
      <c r="W9" s="29">
        <f t="shared" si="13"/>
        <v>2.1587191272706021</v>
      </c>
      <c r="X9" s="30">
        <f t="shared" si="14"/>
        <v>0.91161813931969871</v>
      </c>
      <c r="Y9" s="165">
        <f t="shared" si="6"/>
        <v>3.0703372665903008</v>
      </c>
      <c r="Z9" s="41">
        <f t="shared" si="7"/>
        <v>61.419345672996002</v>
      </c>
    </row>
    <row r="10" spans="2:26" ht="18.75" x14ac:dyDescent="0.3">
      <c r="B10" s="163" t="s">
        <v>31</v>
      </c>
      <c r="C10" s="167">
        <f>Table_2_Dashboard!D14</f>
        <v>0.84</v>
      </c>
      <c r="D10" s="8"/>
      <c r="E10" s="13" t="s">
        <v>382</v>
      </c>
      <c r="F10" s="14" t="s">
        <v>575</v>
      </c>
      <c r="G10" s="15">
        <v>8</v>
      </c>
      <c r="H10" s="40"/>
      <c r="I10" s="29">
        <f t="shared" si="15"/>
        <v>99897.477000630839</v>
      </c>
      <c r="J10" s="32"/>
      <c r="K10" s="31">
        <f t="shared" si="1"/>
        <v>99897.477000630839</v>
      </c>
      <c r="L10" s="29">
        <f t="shared" si="8"/>
        <v>38.214920366241167</v>
      </c>
      <c r="M10" s="33">
        <f t="shared" si="9"/>
        <v>22.774811004995943</v>
      </c>
      <c r="N10" s="30">
        <f t="shared" si="2"/>
        <v>9.5537300915602916</v>
      </c>
      <c r="O10" s="30">
        <f>L10*(1-$C$10)*Table_2_Dashboard!G11</f>
        <v>0</v>
      </c>
      <c r="P10" s="31">
        <f>L10+M10-N10-O10</f>
        <v>51.436001279676823</v>
      </c>
      <c r="Q10" s="29">
        <f t="shared" si="11"/>
        <v>23.204425306754832</v>
      </c>
      <c r="R10" s="30">
        <f t="shared" si="12"/>
        <v>8.9420723169472609</v>
      </c>
      <c r="S10" s="30">
        <f t="shared" si="3"/>
        <v>1.6574589504824879</v>
      </c>
      <c r="T10" s="30">
        <f>Q10*(1-$C$11)*Table_2_Dashboard!G11</f>
        <v>0</v>
      </c>
      <c r="U10" s="30">
        <f t="shared" si="4"/>
        <v>1.9241248690912947</v>
      </c>
      <c r="V10" s="31">
        <f t="shared" si="5"/>
        <v>28.564913804128306</v>
      </c>
      <c r="W10" s="29">
        <f t="shared" si="13"/>
        <v>3.0703372665903008</v>
      </c>
      <c r="X10" s="30">
        <f t="shared" si="14"/>
        <v>1.2736031119291553</v>
      </c>
      <c r="Y10" s="165">
        <f t="shared" si="6"/>
        <v>4.3439403785194557</v>
      </c>
      <c r="Z10" s="41">
        <f t="shared" si="7"/>
        <v>80.000915083805126</v>
      </c>
    </row>
    <row r="11" spans="2:26" ht="18.75" x14ac:dyDescent="0.3">
      <c r="B11" s="163" t="s">
        <v>32</v>
      </c>
      <c r="C11" s="167">
        <f>Table_2_Dashboard!D15</f>
        <v>0.28999999999999998</v>
      </c>
      <c r="D11" s="8"/>
      <c r="E11" s="9" t="s">
        <v>383</v>
      </c>
      <c r="F11" s="10" t="s">
        <v>11</v>
      </c>
      <c r="G11" s="11">
        <v>9</v>
      </c>
      <c r="H11" s="40"/>
      <c r="I11" s="29">
        <f t="shared" si="15"/>
        <v>99897.477000630839</v>
      </c>
      <c r="J11" s="32"/>
      <c r="K11" s="31">
        <f t="shared" si="1"/>
        <v>99897.477000630839</v>
      </c>
      <c r="L11" s="29">
        <f>P10</f>
        <v>51.436001279676823</v>
      </c>
      <c r="M11" s="34"/>
      <c r="N11" s="30">
        <f t="shared" si="2"/>
        <v>12.859000319919206</v>
      </c>
      <c r="O11" s="30">
        <f>L11*(1-$C$10)*Table_2_Dashboard!G13</f>
        <v>0</v>
      </c>
      <c r="P11" s="31">
        <f t="shared" si="10"/>
        <v>38.577000959757619</v>
      </c>
      <c r="Q11" s="29">
        <f t="shared" si="11"/>
        <v>28.564913804128306</v>
      </c>
      <c r="R11" s="30">
        <f t="shared" si="12"/>
        <v>9.5537300915602916</v>
      </c>
      <c r="S11" s="30">
        <f t="shared" si="3"/>
        <v>2.0403509860091646</v>
      </c>
      <c r="T11" s="30">
        <f>Q11*(1-$C$11)*Table_2_Dashboard!G13</f>
        <v>0</v>
      </c>
      <c r="U11" s="30">
        <f t="shared" si="4"/>
        <v>2.3686197915866019</v>
      </c>
      <c r="V11" s="31">
        <f>Q11+R11-S11-T11-U11</f>
        <v>33.70967311809283</v>
      </c>
      <c r="W11" s="29">
        <f t="shared" si="13"/>
        <v>4.3439403785194557</v>
      </c>
      <c r="X11" s="30">
        <f t="shared" si="14"/>
        <v>1.6574589504824879</v>
      </c>
      <c r="Y11" s="165">
        <f t="shared" si="6"/>
        <v>6.0013993290019432</v>
      </c>
      <c r="Z11" s="41">
        <f t="shared" si="7"/>
        <v>72.286674077850449</v>
      </c>
    </row>
    <row r="12" spans="2:26" ht="16.5" x14ac:dyDescent="0.3">
      <c r="B12" s="168"/>
      <c r="C12" s="169"/>
      <c r="D12" s="8"/>
      <c r="E12" s="9" t="s">
        <v>384</v>
      </c>
      <c r="F12" s="10" t="s">
        <v>12</v>
      </c>
      <c r="G12" s="11">
        <v>10</v>
      </c>
      <c r="H12" s="40"/>
      <c r="I12" s="29">
        <f t="shared" si="15"/>
        <v>99897.477000630839</v>
      </c>
      <c r="J12" s="32"/>
      <c r="K12" s="31">
        <f t="shared" si="1"/>
        <v>99897.477000630839</v>
      </c>
      <c r="L12" s="29">
        <f t="shared" si="8"/>
        <v>38.577000959757619</v>
      </c>
      <c r="M12" s="34"/>
      <c r="N12" s="30">
        <f t="shared" si="2"/>
        <v>9.6442502399394048</v>
      </c>
      <c r="O12" s="30">
        <f>L12*(1-$C$10)*Table_2_Dashboard!G14</f>
        <v>0</v>
      </c>
      <c r="P12" s="31">
        <f t="shared" si="10"/>
        <v>28.932750719818216</v>
      </c>
      <c r="Q12" s="29">
        <f t="shared" si="11"/>
        <v>33.70967311809283</v>
      </c>
      <c r="R12" s="30">
        <f t="shared" si="12"/>
        <v>12.859000319919206</v>
      </c>
      <c r="S12" s="30">
        <f t="shared" si="3"/>
        <v>2.4078337941494876</v>
      </c>
      <c r="T12" s="30">
        <f>Q12*(1-$C$11)*Table_2_Dashboard!G14</f>
        <v>0</v>
      </c>
      <c r="U12" s="30">
        <f t="shared" si="4"/>
        <v>2.7952263207561283</v>
      </c>
      <c r="V12" s="31">
        <f t="shared" si="5"/>
        <v>41.365613323106416</v>
      </c>
      <c r="W12" s="29">
        <f t="shared" si="13"/>
        <v>6.0013993290019432</v>
      </c>
      <c r="X12" s="30">
        <f t="shared" si="14"/>
        <v>2.0403509860091646</v>
      </c>
      <c r="Y12" s="165">
        <f t="shared" si="6"/>
        <v>8.0417503150111074</v>
      </c>
      <c r="Z12" s="41">
        <f t="shared" si="7"/>
        <v>70.298364042924632</v>
      </c>
    </row>
    <row r="13" spans="2:26" ht="16.5" x14ac:dyDescent="0.3">
      <c r="B13" s="185" t="s">
        <v>40</v>
      </c>
      <c r="C13" s="186" t="s">
        <v>0</v>
      </c>
      <c r="D13" s="8"/>
      <c r="E13" s="9" t="s">
        <v>385</v>
      </c>
      <c r="F13" s="10" t="s">
        <v>13</v>
      </c>
      <c r="G13" s="11">
        <v>11</v>
      </c>
      <c r="H13" s="40"/>
      <c r="I13" s="29">
        <f t="shared" si="15"/>
        <v>99897.477000630839</v>
      </c>
      <c r="J13" s="32"/>
      <c r="K13" s="31">
        <f t="shared" si="1"/>
        <v>99897.477000630839</v>
      </c>
      <c r="L13" s="29">
        <f t="shared" si="8"/>
        <v>28.932750719818216</v>
      </c>
      <c r="M13" s="34"/>
      <c r="N13" s="30">
        <f t="shared" si="2"/>
        <v>7.233187679954554</v>
      </c>
      <c r="O13" s="30">
        <f>L13*(1-$C$10)*Table_2_Dashboard!G15</f>
        <v>0</v>
      </c>
      <c r="P13" s="31">
        <f t="shared" si="10"/>
        <v>21.699563039863662</v>
      </c>
      <c r="Q13" s="29">
        <f t="shared" si="11"/>
        <v>41.365613323106416</v>
      </c>
      <c r="R13" s="30">
        <f t="shared" si="12"/>
        <v>9.6442502399394048</v>
      </c>
      <c r="S13" s="30">
        <f t="shared" si="3"/>
        <v>2.9546866659361726</v>
      </c>
      <c r="T13" s="30">
        <f>Q13*(1-$C$11)*Table_2_Dashboard!G15</f>
        <v>0</v>
      </c>
      <c r="U13" s="30">
        <f t="shared" si="4"/>
        <v>3.4300614761199779</v>
      </c>
      <c r="V13" s="31">
        <f t="shared" si="5"/>
        <v>44.625115420989665</v>
      </c>
      <c r="W13" s="29">
        <f t="shared" si="13"/>
        <v>8.0417503150111074</v>
      </c>
      <c r="X13" s="30">
        <f t="shared" si="14"/>
        <v>2.4078337941494876</v>
      </c>
      <c r="Y13" s="165">
        <f t="shared" si="6"/>
        <v>10.449584109160595</v>
      </c>
      <c r="Z13" s="41">
        <f t="shared" si="7"/>
        <v>66.324678460853335</v>
      </c>
    </row>
    <row r="14" spans="2:26" ht="18.75" x14ac:dyDescent="0.3">
      <c r="B14" s="163" t="s">
        <v>33</v>
      </c>
      <c r="C14" s="169">
        <f>Table_2_Dashboard!D20</f>
        <v>1.4200000000000001E-4</v>
      </c>
      <c r="D14" s="8"/>
      <c r="E14" s="9" t="s">
        <v>386</v>
      </c>
      <c r="F14" s="10" t="s">
        <v>14</v>
      </c>
      <c r="G14" s="11">
        <v>12</v>
      </c>
      <c r="H14" s="40"/>
      <c r="I14" s="29">
        <f t="shared" si="15"/>
        <v>99897.477000630839</v>
      </c>
      <c r="J14" s="32"/>
      <c r="K14" s="31">
        <f t="shared" si="1"/>
        <v>99897.477000630839</v>
      </c>
      <c r="L14" s="29">
        <f t="shared" si="8"/>
        <v>21.699563039863662</v>
      </c>
      <c r="M14" s="34"/>
      <c r="N14" s="30">
        <f t="shared" si="2"/>
        <v>5.4248907599659155</v>
      </c>
      <c r="O14" s="30">
        <f>L14*(1-$C$10)*Table_2_Dashboard!G16</f>
        <v>0</v>
      </c>
      <c r="P14" s="31">
        <f t="shared" si="10"/>
        <v>16.274672279897747</v>
      </c>
      <c r="Q14" s="29">
        <f t="shared" si="11"/>
        <v>44.625115420989665</v>
      </c>
      <c r="R14" s="30">
        <f t="shared" si="12"/>
        <v>7.233187679954554</v>
      </c>
      <c r="S14" s="30">
        <f t="shared" si="3"/>
        <v>3.1875082443564047</v>
      </c>
      <c r="T14" s="30">
        <f>Q14*(1-$C$11)*Table_2_Dashboard!G16</f>
        <v>0</v>
      </c>
      <c r="U14" s="30">
        <f t="shared" si="4"/>
        <v>3.7003413457777161</v>
      </c>
      <c r="V14" s="31">
        <f t="shared" si="5"/>
        <v>44.970453510810103</v>
      </c>
      <c r="W14" s="29">
        <f t="shared" si="13"/>
        <v>10.449584109160595</v>
      </c>
      <c r="X14" s="30">
        <f t="shared" si="14"/>
        <v>2.9546866659361726</v>
      </c>
      <c r="Y14" s="165">
        <f t="shared" si="6"/>
        <v>13.404270775096768</v>
      </c>
      <c r="Z14" s="41">
        <f t="shared" si="7"/>
        <v>61.245125790707846</v>
      </c>
    </row>
    <row r="15" spans="2:26" ht="18.75" x14ac:dyDescent="0.3">
      <c r="B15" s="163" t="s">
        <v>34</v>
      </c>
      <c r="C15" s="170">
        <f>Table_2_Dashboard!D25</f>
        <v>0.65810000000000002</v>
      </c>
      <c r="D15" s="8"/>
      <c r="E15" s="9" t="s">
        <v>387</v>
      </c>
      <c r="F15" s="10" t="s">
        <v>15</v>
      </c>
      <c r="G15" s="11">
        <v>13</v>
      </c>
      <c r="H15" s="40"/>
      <c r="I15" s="29">
        <f t="shared" si="15"/>
        <v>99897.477000630839</v>
      </c>
      <c r="J15" s="32"/>
      <c r="K15" s="31">
        <f t="shared" si="1"/>
        <v>99897.477000630839</v>
      </c>
      <c r="L15" s="29">
        <f t="shared" si="8"/>
        <v>16.274672279897747</v>
      </c>
      <c r="M15" s="34"/>
      <c r="N15" s="30">
        <f t="shared" si="2"/>
        <v>4.0686680699744366</v>
      </c>
      <c r="O15" s="30">
        <f>L15*(1-$C$10)*Table_2_Dashboard!G17</f>
        <v>0</v>
      </c>
      <c r="P15" s="31">
        <f t="shared" si="10"/>
        <v>12.206004209923311</v>
      </c>
      <c r="Q15" s="29">
        <f t="shared" si="11"/>
        <v>44.970453510810103</v>
      </c>
      <c r="R15" s="30">
        <f t="shared" si="12"/>
        <v>5.4248907599659155</v>
      </c>
      <c r="S15" s="30">
        <f t="shared" si="3"/>
        <v>3.2121752507721499</v>
      </c>
      <c r="T15" s="30">
        <f>Q15*(1-$C$11)*Table_2_Dashboard!G17</f>
        <v>0</v>
      </c>
      <c r="U15" s="30">
        <f t="shared" si="4"/>
        <v>3.7289769873884802</v>
      </c>
      <c r="V15" s="31">
        <f t="shared" si="5"/>
        <v>43.454192032615396</v>
      </c>
      <c r="W15" s="29">
        <f t="shared" si="13"/>
        <v>13.404270775096768</v>
      </c>
      <c r="X15" s="30">
        <f t="shared" si="14"/>
        <v>3.1875082443564047</v>
      </c>
      <c r="Y15" s="165">
        <f t="shared" si="6"/>
        <v>16.59177901945317</v>
      </c>
      <c r="Z15" s="41">
        <f t="shared" si="7"/>
        <v>55.660196242538703</v>
      </c>
    </row>
    <row r="16" spans="2:26" ht="16.5" x14ac:dyDescent="0.3">
      <c r="B16" s="168"/>
      <c r="C16" s="169"/>
      <c r="D16" s="8"/>
      <c r="E16" s="9" t="s">
        <v>388</v>
      </c>
      <c r="F16" s="10" t="s">
        <v>16</v>
      </c>
      <c r="G16" s="11">
        <v>14</v>
      </c>
      <c r="H16" s="40"/>
      <c r="I16" s="29">
        <f t="shared" si="15"/>
        <v>99897.477000630839</v>
      </c>
      <c r="J16" s="32"/>
      <c r="K16" s="31">
        <f t="shared" si="1"/>
        <v>99897.477000630839</v>
      </c>
      <c r="L16" s="29">
        <f t="shared" si="8"/>
        <v>12.206004209923311</v>
      </c>
      <c r="M16" s="34"/>
      <c r="N16" s="30">
        <f t="shared" si="2"/>
        <v>3.0515010524808277</v>
      </c>
      <c r="O16" s="30">
        <f>L16*(1-$C$10)*Table_2_Dashboard!G18</f>
        <v>0</v>
      </c>
      <c r="P16" s="31">
        <f t="shared" si="10"/>
        <v>9.154503157442484</v>
      </c>
      <c r="Q16" s="29">
        <f t="shared" si="11"/>
        <v>43.454192032615396</v>
      </c>
      <c r="R16" s="30">
        <f t="shared" si="12"/>
        <v>4.0686680699744366</v>
      </c>
      <c r="S16" s="30">
        <f t="shared" si="3"/>
        <v>3.1038708594725279</v>
      </c>
      <c r="T16" s="30">
        <f>Q16*(1-$C$11)*Table_2_Dashboard!G18</f>
        <v>0</v>
      </c>
      <c r="U16" s="30">
        <f t="shared" si="4"/>
        <v>3.6032476758596883</v>
      </c>
      <c r="V16" s="31">
        <f t="shared" si="5"/>
        <v>40.815741567257611</v>
      </c>
      <c r="W16" s="29">
        <f t="shared" si="13"/>
        <v>16.59177901945317</v>
      </c>
      <c r="X16" s="30">
        <f t="shared" si="14"/>
        <v>3.2121752507721499</v>
      </c>
      <c r="Y16" s="165">
        <f t="shared" si="6"/>
        <v>19.803954270225319</v>
      </c>
      <c r="Z16" s="41">
        <f t="shared" si="7"/>
        <v>49.970244724700095</v>
      </c>
    </row>
    <row r="17" spans="2:26" ht="16.5" x14ac:dyDescent="0.3">
      <c r="B17" s="185" t="s">
        <v>41</v>
      </c>
      <c r="C17" s="186" t="s">
        <v>0</v>
      </c>
      <c r="D17" s="8"/>
      <c r="E17" s="9" t="s">
        <v>389</v>
      </c>
      <c r="F17" s="10" t="s">
        <v>17</v>
      </c>
      <c r="G17" s="11">
        <v>15</v>
      </c>
      <c r="H17" s="40"/>
      <c r="I17" s="29">
        <f t="shared" si="15"/>
        <v>99897.477000630839</v>
      </c>
      <c r="J17" s="32"/>
      <c r="K17" s="31">
        <f t="shared" si="1"/>
        <v>99897.477000630839</v>
      </c>
      <c r="L17" s="29">
        <f t="shared" si="8"/>
        <v>9.154503157442484</v>
      </c>
      <c r="M17" s="34"/>
      <c r="N17" s="30">
        <f t="shared" si="2"/>
        <v>2.288625789360621</v>
      </c>
      <c r="O17" s="30">
        <f>L17*(1-$C$10)*Table_2_Dashboard!G19</f>
        <v>0</v>
      </c>
      <c r="P17" s="31">
        <f t="shared" si="10"/>
        <v>6.865877368081863</v>
      </c>
      <c r="Q17" s="29">
        <f t="shared" si="11"/>
        <v>40.815741567257611</v>
      </c>
      <c r="R17" s="30">
        <f t="shared" si="12"/>
        <v>3.0515010524808277</v>
      </c>
      <c r="S17" s="30">
        <f t="shared" si="3"/>
        <v>2.9154101119469722</v>
      </c>
      <c r="T17" s="30">
        <f>Q17*(1-$C$11)*Table_2_Dashboard!G19</f>
        <v>0</v>
      </c>
      <c r="U17" s="30">
        <f t="shared" si="4"/>
        <v>3.3844657802019413</v>
      </c>
      <c r="V17" s="31">
        <f t="shared" si="5"/>
        <v>37.567366727589523</v>
      </c>
      <c r="W17" s="29">
        <f>Y16</f>
        <v>19.803954270225319</v>
      </c>
      <c r="X17" s="30">
        <f t="shared" si="14"/>
        <v>3.1038708594725279</v>
      </c>
      <c r="Y17" s="165">
        <f t="shared" si="6"/>
        <v>22.907825129697848</v>
      </c>
      <c r="Z17" s="41">
        <f t="shared" si="7"/>
        <v>44.433244095671384</v>
      </c>
    </row>
    <row r="18" spans="2:26" ht="18.75" x14ac:dyDescent="0.3">
      <c r="B18" s="163" t="s">
        <v>35</v>
      </c>
      <c r="C18" s="169">
        <f>Table_2_Dashboard!D30</f>
        <v>0.3</v>
      </c>
      <c r="D18" s="8"/>
      <c r="E18" s="9" t="s">
        <v>390</v>
      </c>
      <c r="F18" s="10" t="s">
        <v>18</v>
      </c>
      <c r="G18" s="11">
        <v>16</v>
      </c>
      <c r="H18" s="40"/>
      <c r="I18" s="29">
        <f t="shared" si="15"/>
        <v>99897.477000630839</v>
      </c>
      <c r="J18" s="32"/>
      <c r="K18" s="31">
        <f t="shared" si="1"/>
        <v>99897.477000630839</v>
      </c>
      <c r="L18" s="29">
        <f t="shared" si="8"/>
        <v>6.865877368081863</v>
      </c>
      <c r="M18" s="34"/>
      <c r="N18" s="30">
        <f t="shared" si="2"/>
        <v>1.7164693420204657</v>
      </c>
      <c r="O18" s="30">
        <f>L18*(1-$C$10)*Table_2_Dashboard!G20</f>
        <v>0</v>
      </c>
      <c r="P18" s="31">
        <f t="shared" si="10"/>
        <v>5.1494080260613977</v>
      </c>
      <c r="Q18" s="29">
        <f t="shared" si="11"/>
        <v>37.567366727589523</v>
      </c>
      <c r="R18" s="30">
        <f t="shared" si="12"/>
        <v>2.288625789360621</v>
      </c>
      <c r="S18" s="30">
        <f t="shared" si="3"/>
        <v>2.6833833376849658</v>
      </c>
      <c r="T18" s="30">
        <f>Q18*(1-$C$11)*Table_2_Dashboard!G20</f>
        <v>0</v>
      </c>
      <c r="U18" s="30">
        <f t="shared" si="4"/>
        <v>3.1151085894717596</v>
      </c>
      <c r="V18" s="31">
        <f t="shared" si="5"/>
        <v>34.05750058979342</v>
      </c>
      <c r="W18" s="29">
        <f t="shared" si="13"/>
        <v>22.907825129697848</v>
      </c>
      <c r="X18" s="30">
        <f t="shared" si="14"/>
        <v>2.9154101119469722</v>
      </c>
      <c r="Y18" s="165">
        <f t="shared" si="6"/>
        <v>25.82323524164482</v>
      </c>
      <c r="Z18" s="41">
        <f t="shared" si="7"/>
        <v>39.206908615854815</v>
      </c>
    </row>
    <row r="19" spans="2:26" ht="18.75" x14ac:dyDescent="0.3">
      <c r="B19" s="163" t="s">
        <v>36</v>
      </c>
      <c r="C19" s="169">
        <f>(((C15)*(1-C18))+(1-C15))</f>
        <v>0.80257000000000001</v>
      </c>
      <c r="D19" s="8"/>
      <c r="E19" s="9" t="s">
        <v>391</v>
      </c>
      <c r="F19" s="10" t="s">
        <v>19</v>
      </c>
      <c r="G19" s="11">
        <v>17</v>
      </c>
      <c r="H19" s="40"/>
      <c r="I19" s="29">
        <f t="shared" si="15"/>
        <v>99897.477000630839</v>
      </c>
      <c r="J19" s="32"/>
      <c r="K19" s="31">
        <f t="shared" si="1"/>
        <v>99897.477000630839</v>
      </c>
      <c r="L19" s="29">
        <f t="shared" si="8"/>
        <v>5.1494080260613977</v>
      </c>
      <c r="M19" s="34"/>
      <c r="N19" s="30">
        <f t="shared" si="2"/>
        <v>1.2873520065153494</v>
      </c>
      <c r="O19" s="30">
        <f>L19*(1-$C$10)*Table_2_Dashboard!G21</f>
        <v>0</v>
      </c>
      <c r="P19" s="31">
        <f t="shared" si="10"/>
        <v>3.8620560195460483</v>
      </c>
      <c r="Q19" s="29">
        <f t="shared" si="11"/>
        <v>34.05750058979342</v>
      </c>
      <c r="R19" s="30">
        <f t="shared" si="12"/>
        <v>1.7164693420204657</v>
      </c>
      <c r="S19" s="30">
        <f t="shared" si="3"/>
        <v>2.4326786135566727</v>
      </c>
      <c r="T19" s="30">
        <f>Q19*(1-$C$11)*Table_2_Dashboard!G21</f>
        <v>0</v>
      </c>
      <c r="U19" s="30">
        <f t="shared" si="4"/>
        <v>2.8240683834060243</v>
      </c>
      <c r="V19" s="31">
        <f t="shared" si="5"/>
        <v>30.517222934851187</v>
      </c>
      <c r="W19" s="29">
        <f t="shared" si="13"/>
        <v>25.82323524164482</v>
      </c>
      <c r="X19" s="30">
        <f t="shared" si="14"/>
        <v>2.6833833376849658</v>
      </c>
      <c r="Y19" s="165">
        <f t="shared" si="6"/>
        <v>28.506618579329785</v>
      </c>
      <c r="Z19" s="41">
        <f t="shared" si="7"/>
        <v>34.379278954397236</v>
      </c>
    </row>
    <row r="20" spans="2:26" ht="18.75" x14ac:dyDescent="0.3">
      <c r="B20" s="163" t="s">
        <v>37</v>
      </c>
      <c r="C20" s="169">
        <f>Table_2_Dashboard!D31</f>
        <v>0.7</v>
      </c>
      <c r="D20" s="8"/>
      <c r="E20" s="9" t="s">
        <v>392</v>
      </c>
      <c r="F20" s="10" t="s">
        <v>20</v>
      </c>
      <c r="G20" s="11">
        <v>18</v>
      </c>
      <c r="H20" s="40"/>
      <c r="I20" s="29">
        <f t="shared" si="15"/>
        <v>99897.477000630839</v>
      </c>
      <c r="J20" s="32"/>
      <c r="K20" s="31">
        <f t="shared" si="1"/>
        <v>99897.477000630839</v>
      </c>
      <c r="L20" s="29">
        <f t="shared" si="8"/>
        <v>3.8620560195460483</v>
      </c>
      <c r="M20" s="34"/>
      <c r="N20" s="30">
        <f t="shared" si="2"/>
        <v>0.96551400488651207</v>
      </c>
      <c r="O20" s="30">
        <f>L20*(1-$C$10)*Table_2_Dashboard!G22</f>
        <v>0</v>
      </c>
      <c r="P20" s="31">
        <f t="shared" si="10"/>
        <v>2.896542014659536</v>
      </c>
      <c r="Q20" s="29">
        <f t="shared" si="11"/>
        <v>30.517222934851187</v>
      </c>
      <c r="R20" s="30">
        <f t="shared" si="12"/>
        <v>1.2873520065153494</v>
      </c>
      <c r="S20" s="30">
        <f t="shared" si="3"/>
        <v>2.179801638203656</v>
      </c>
      <c r="T20" s="30">
        <f>Q20*(1-$C$11)*Table_2_Dashboard!G22</f>
        <v>0</v>
      </c>
      <c r="U20" s="30">
        <f t="shared" si="4"/>
        <v>2.5305064360916214</v>
      </c>
      <c r="V20" s="31">
        <f t="shared" si="5"/>
        <v>27.094266867071259</v>
      </c>
      <c r="W20" s="29">
        <f t="shared" si="13"/>
        <v>28.506618579329785</v>
      </c>
      <c r="X20" s="30">
        <f t="shared" si="14"/>
        <v>2.4326786135566727</v>
      </c>
      <c r="Y20" s="165">
        <f t="shared" si="6"/>
        <v>30.939297192886457</v>
      </c>
      <c r="Z20" s="41">
        <f t="shared" si="7"/>
        <v>29.990808881730793</v>
      </c>
    </row>
    <row r="21" spans="2:26" ht="18.75" x14ac:dyDescent="0.3">
      <c r="B21" s="163" t="s">
        <v>38</v>
      </c>
      <c r="C21" s="102">
        <f>(((C15)*(1-C20))+(1-C15))</f>
        <v>0.53932999999999998</v>
      </c>
      <c r="D21" s="8"/>
      <c r="E21" s="9" t="s">
        <v>393</v>
      </c>
      <c r="F21" s="10" t="s">
        <v>21</v>
      </c>
      <c r="G21" s="11">
        <v>19</v>
      </c>
      <c r="H21" s="40"/>
      <c r="I21" s="29">
        <f t="shared" si="15"/>
        <v>99897.477000630839</v>
      </c>
      <c r="J21" s="32"/>
      <c r="K21" s="31">
        <f t="shared" si="1"/>
        <v>99897.477000630839</v>
      </c>
      <c r="L21" s="29">
        <f t="shared" si="8"/>
        <v>2.896542014659536</v>
      </c>
      <c r="M21" s="34"/>
      <c r="N21" s="30">
        <f t="shared" si="2"/>
        <v>0.72413550366488399</v>
      </c>
      <c r="O21" s="30">
        <f>L21*(1-$C$10)*Table_2_Dashboard!G23</f>
        <v>0</v>
      </c>
      <c r="P21" s="31">
        <f t="shared" si="10"/>
        <v>2.172406510994652</v>
      </c>
      <c r="Q21" s="29">
        <f t="shared" si="11"/>
        <v>27.094266867071259</v>
      </c>
      <c r="R21" s="30">
        <f t="shared" si="12"/>
        <v>0.96551400488651207</v>
      </c>
      <c r="S21" s="30">
        <f t="shared" si="3"/>
        <v>1.9353047762193756</v>
      </c>
      <c r="T21" s="30">
        <f>Q21*(1-$C$11)*Table_2_Dashboard!G23</f>
        <v>0</v>
      </c>
      <c r="U21" s="30">
        <f t="shared" si="4"/>
        <v>2.2466728651776688</v>
      </c>
      <c r="V21" s="31">
        <f t="shared" si="5"/>
        <v>23.877803230560726</v>
      </c>
      <c r="W21" s="29">
        <f t="shared" si="13"/>
        <v>30.939297192886457</v>
      </c>
      <c r="X21" s="30">
        <f t="shared" si="14"/>
        <v>2.179801638203656</v>
      </c>
      <c r="Y21" s="165">
        <f t="shared" si="6"/>
        <v>33.119098831090113</v>
      </c>
      <c r="Z21" s="41">
        <f>P21+V21</f>
        <v>26.050209741555378</v>
      </c>
    </row>
    <row r="22" spans="2:26" ht="16.5" x14ac:dyDescent="0.3">
      <c r="B22" s="168"/>
      <c r="C22" s="171"/>
      <c r="D22" s="8"/>
      <c r="E22" s="9" t="s">
        <v>394</v>
      </c>
      <c r="F22" s="10" t="s">
        <v>22</v>
      </c>
      <c r="G22" s="11">
        <v>20</v>
      </c>
      <c r="H22" s="40"/>
      <c r="I22" s="29">
        <f t="shared" si="15"/>
        <v>99897.477000630839</v>
      </c>
      <c r="J22" s="32"/>
      <c r="K22" s="31">
        <f t="shared" si="1"/>
        <v>99897.477000630839</v>
      </c>
      <c r="L22" s="29">
        <f t="shared" si="8"/>
        <v>2.172406510994652</v>
      </c>
      <c r="M22" s="34"/>
      <c r="N22" s="30">
        <f t="shared" si="2"/>
        <v>0.543101627748663</v>
      </c>
      <c r="O22" s="30">
        <f>L22*(1-$C$10)*Table_2_Dashboard!G24</f>
        <v>0</v>
      </c>
      <c r="P22" s="31">
        <f t="shared" si="10"/>
        <v>1.6293048832459891</v>
      </c>
      <c r="Q22" s="29">
        <f t="shared" si="11"/>
        <v>23.877803230560726</v>
      </c>
      <c r="R22" s="30">
        <f t="shared" si="12"/>
        <v>0.72413550366488399</v>
      </c>
      <c r="S22" s="30">
        <f t="shared" si="3"/>
        <v>1.7055573736114804</v>
      </c>
      <c r="T22" s="30">
        <f>Q22*(1-$C$11)*Table_2_Dashboard!G24</f>
        <v>0</v>
      </c>
      <c r="U22" s="30">
        <f t="shared" si="4"/>
        <v>1.9799617705600339</v>
      </c>
      <c r="V22" s="31">
        <f t="shared" si="5"/>
        <v>20.916419590054094</v>
      </c>
      <c r="W22" s="29">
        <f t="shared" si="13"/>
        <v>33.119098831090113</v>
      </c>
      <c r="X22" s="30">
        <f t="shared" si="14"/>
        <v>1.9353047762193756</v>
      </c>
      <c r="Y22" s="165">
        <f t="shared" si="6"/>
        <v>35.054403607309489</v>
      </c>
      <c r="Z22" s="41">
        <f t="shared" si="7"/>
        <v>22.545724473300083</v>
      </c>
    </row>
    <row r="23" spans="2:26" ht="16.5" x14ac:dyDescent="0.3">
      <c r="B23" s="168"/>
      <c r="C23" s="171"/>
      <c r="D23" s="8"/>
      <c r="E23" s="9" t="s">
        <v>395</v>
      </c>
      <c r="F23" s="10" t="s">
        <v>13</v>
      </c>
      <c r="G23" s="11">
        <v>21</v>
      </c>
      <c r="H23" s="40"/>
      <c r="I23" s="29">
        <f t="shared" si="15"/>
        <v>99897.477000630839</v>
      </c>
      <c r="J23" s="32"/>
      <c r="K23" s="31">
        <f t="shared" si="1"/>
        <v>99897.477000630839</v>
      </c>
      <c r="L23" s="29">
        <f t="shared" si="8"/>
        <v>1.6293048832459891</v>
      </c>
      <c r="M23" s="34"/>
      <c r="N23" s="30">
        <f t="shared" si="2"/>
        <v>0.40732622081149727</v>
      </c>
      <c r="O23" s="30">
        <f>L23*(1-$C$10)*Table_2_Dashboard!G25</f>
        <v>0</v>
      </c>
      <c r="P23" s="31">
        <f t="shared" si="10"/>
        <v>1.2219786624344917</v>
      </c>
      <c r="Q23" s="29">
        <f t="shared" si="11"/>
        <v>20.916419590054094</v>
      </c>
      <c r="R23" s="30">
        <f t="shared" si="12"/>
        <v>0.543101627748663</v>
      </c>
      <c r="S23" s="30">
        <f t="shared" si="3"/>
        <v>1.4940299707181495</v>
      </c>
      <c r="T23" s="30">
        <f>Q23*(1-$C$11)*Table_2_Dashboard!G25</f>
        <v>0</v>
      </c>
      <c r="U23" s="30">
        <f t="shared" si="4"/>
        <v>1.7344020622590395</v>
      </c>
      <c r="V23" s="31">
        <f t="shared" si="5"/>
        <v>18.231089184825567</v>
      </c>
      <c r="W23" s="29">
        <f t="shared" si="13"/>
        <v>35.054403607309489</v>
      </c>
      <c r="X23" s="30">
        <f t="shared" si="14"/>
        <v>1.7055573736114804</v>
      </c>
      <c r="Y23" s="165">
        <f>W23+X23</f>
        <v>36.759960980920972</v>
      </c>
      <c r="Z23" s="41">
        <f t="shared" si="7"/>
        <v>19.453067847260058</v>
      </c>
    </row>
    <row r="24" spans="2:26" ht="17.25" thickBot="1" x14ac:dyDescent="0.35">
      <c r="B24" s="172"/>
      <c r="C24" s="173"/>
      <c r="D24" s="8"/>
      <c r="E24" s="20" t="s">
        <v>396</v>
      </c>
      <c r="F24" s="21" t="s">
        <v>23</v>
      </c>
      <c r="G24" s="22">
        <v>22</v>
      </c>
      <c r="H24" s="40"/>
      <c r="I24" s="35">
        <f>K23</f>
        <v>99897.477000630839</v>
      </c>
      <c r="J24" s="36"/>
      <c r="K24" s="37">
        <f t="shared" si="1"/>
        <v>99897.477000630839</v>
      </c>
      <c r="L24" s="35">
        <f t="shared" si="8"/>
        <v>1.2219786624344917</v>
      </c>
      <c r="M24" s="36"/>
      <c r="N24" s="38">
        <f t="shared" si="2"/>
        <v>0.30549466560862293</v>
      </c>
      <c r="O24" s="38">
        <f>L24*(1-$C$10)*Table_2_Dashboard!G26</f>
        <v>0</v>
      </c>
      <c r="P24" s="37">
        <f t="shared" si="10"/>
        <v>0.91648399682586879</v>
      </c>
      <c r="Q24" s="29">
        <f>V23</f>
        <v>18.231089184825567</v>
      </c>
      <c r="R24" s="38">
        <f t="shared" si="12"/>
        <v>0.40732622081149727</v>
      </c>
      <c r="S24" s="38">
        <f t="shared" si="3"/>
        <v>1.3022206560589691</v>
      </c>
      <c r="T24" s="38">
        <f>Q24*(1-$C$11)*Table_2_Dashboard!G26</f>
        <v>0</v>
      </c>
      <c r="U24" s="38">
        <f t="shared" si="4"/>
        <v>1.5117328538592469</v>
      </c>
      <c r="V24" s="37">
        <f t="shared" si="5"/>
        <v>15.824461895718851</v>
      </c>
      <c r="W24" s="29">
        <f t="shared" si="13"/>
        <v>36.759960980920972</v>
      </c>
      <c r="X24" s="30">
        <f t="shared" si="14"/>
        <v>1.4940299707181495</v>
      </c>
      <c r="Y24" s="165">
        <f t="shared" si="6"/>
        <v>38.253990951639125</v>
      </c>
      <c r="Z24" s="42">
        <f t="shared" si="7"/>
        <v>16.740945892544719</v>
      </c>
    </row>
    <row r="25" spans="2:26" ht="4.9000000000000004" customHeight="1" thickBot="1" x14ac:dyDescent="0.35">
      <c r="B25" s="23"/>
      <c r="C25" s="24"/>
      <c r="D25" s="8"/>
      <c r="E25" s="12"/>
      <c r="F25" s="12"/>
      <c r="G25" s="12"/>
      <c r="H25" s="12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2:26" ht="16.149999999999999" customHeight="1" thickBot="1" x14ac:dyDescent="0.35">
      <c r="B26" s="189">
        <v>1</v>
      </c>
      <c r="C26" s="191"/>
      <c r="D26" s="6"/>
      <c r="E26" s="189">
        <v>2</v>
      </c>
      <c r="F26" s="190"/>
      <c r="G26" s="191"/>
      <c r="H26" s="6"/>
      <c r="I26" s="189">
        <v>3</v>
      </c>
      <c r="J26" s="190"/>
      <c r="K26" s="191"/>
      <c r="L26" s="189">
        <v>4</v>
      </c>
      <c r="M26" s="190"/>
      <c r="N26" s="190"/>
      <c r="O26" s="190"/>
      <c r="P26" s="191"/>
      <c r="Q26" s="189">
        <v>5</v>
      </c>
      <c r="R26" s="190"/>
      <c r="S26" s="190"/>
      <c r="T26" s="190"/>
      <c r="U26" s="190"/>
      <c r="V26" s="191"/>
      <c r="W26" s="189">
        <v>6</v>
      </c>
      <c r="X26" s="190"/>
      <c r="Y26" s="191"/>
      <c r="Z26" s="26">
        <v>7</v>
      </c>
    </row>
    <row r="27" spans="2:26" ht="34.9" customHeight="1" x14ac:dyDescent="0.25"/>
  </sheetData>
  <mergeCells count="6">
    <mergeCell ref="W26:Y26"/>
    <mergeCell ref="B26:C26"/>
    <mergeCell ref="E26:G26"/>
    <mergeCell ref="I26:K26"/>
    <mergeCell ref="L26:P26"/>
    <mergeCell ref="Q26:V2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6FD36-53F2-4BFC-A724-47C45E815FE5}">
  <dimension ref="B1:Z27"/>
  <sheetViews>
    <sheetView workbookViewId="0">
      <selection sqref="A1:XFD1048576"/>
    </sheetView>
  </sheetViews>
  <sheetFormatPr defaultRowHeight="15.75" x14ac:dyDescent="0.25"/>
  <cols>
    <col min="1" max="1" width="1.85546875" style="1" customWidth="1"/>
    <col min="2" max="2" width="5.42578125" style="3" bestFit="1" customWidth="1"/>
    <col min="3" max="3" width="10.140625" style="2" bestFit="1" customWidth="1"/>
    <col min="4" max="4" width="2.7109375" style="1" customWidth="1"/>
    <col min="5" max="5" width="6.42578125" style="2" bestFit="1" customWidth="1"/>
    <col min="6" max="6" width="11.28515625" style="2" bestFit="1" customWidth="1"/>
    <col min="7" max="7" width="3" style="2" bestFit="1" customWidth="1"/>
    <col min="8" max="8" width="1.42578125" style="2" customWidth="1"/>
    <col min="9" max="9" width="9" style="2" bestFit="1" customWidth="1"/>
    <col min="10" max="10" width="12.140625" style="2" bestFit="1" customWidth="1"/>
    <col min="11" max="11" width="8.85546875" style="1" bestFit="1" customWidth="1"/>
    <col min="12" max="12" width="9.140625" style="1" bestFit="1" customWidth="1"/>
    <col min="13" max="13" width="12.140625" style="1" bestFit="1" customWidth="1"/>
    <col min="14" max="14" width="10.7109375" style="1" bestFit="1" customWidth="1"/>
    <col min="15" max="15" width="14.140625" style="1" bestFit="1" customWidth="1"/>
    <col min="16" max="16" width="6.42578125" style="1" bestFit="1" customWidth="1"/>
    <col min="17" max="17" width="8.140625" style="1" bestFit="1" customWidth="1"/>
    <col min="18" max="18" width="10.7109375" style="1" bestFit="1" customWidth="1"/>
    <col min="19" max="19" width="9.85546875" style="1" bestFit="1" customWidth="1"/>
    <col min="20" max="20" width="13.42578125" style="1" bestFit="1" customWidth="1"/>
    <col min="21" max="21" width="15.140625" style="1" bestFit="1" customWidth="1"/>
    <col min="22" max="22" width="6.42578125" style="1" bestFit="1" customWidth="1"/>
    <col min="23" max="23" width="9.28515625" style="1" bestFit="1" customWidth="1"/>
    <col min="24" max="24" width="9.85546875" style="1" bestFit="1" customWidth="1"/>
    <col min="25" max="25" width="6.42578125" style="1" bestFit="1" customWidth="1"/>
    <col min="26" max="26" width="8.42578125" style="1" bestFit="1" customWidth="1"/>
    <col min="27" max="16384" width="9.140625" style="1"/>
  </cols>
  <sheetData>
    <row r="1" spans="2:26" ht="6.6" customHeight="1" thickBot="1" x14ac:dyDescent="0.3"/>
    <row r="2" spans="2:26" ht="21.75" x14ac:dyDescent="0.4">
      <c r="B2" s="180" t="s">
        <v>39</v>
      </c>
      <c r="C2" s="181" t="s">
        <v>0</v>
      </c>
      <c r="D2" s="5"/>
      <c r="E2" s="182" t="s">
        <v>469</v>
      </c>
      <c r="F2" s="183" t="s">
        <v>470</v>
      </c>
      <c r="G2" s="184" t="s">
        <v>468</v>
      </c>
      <c r="H2" s="6"/>
      <c r="I2" s="174" t="s">
        <v>586</v>
      </c>
      <c r="J2" s="175" t="s">
        <v>587</v>
      </c>
      <c r="K2" s="176" t="s">
        <v>588</v>
      </c>
      <c r="L2" s="174" t="s">
        <v>589</v>
      </c>
      <c r="M2" s="177" t="s">
        <v>587</v>
      </c>
      <c r="N2" s="177" t="s">
        <v>590</v>
      </c>
      <c r="O2" s="177" t="s">
        <v>591</v>
      </c>
      <c r="P2" s="176" t="s">
        <v>592</v>
      </c>
      <c r="Q2" s="178" t="s">
        <v>593</v>
      </c>
      <c r="R2" s="177" t="s">
        <v>590</v>
      </c>
      <c r="S2" s="177" t="s">
        <v>577</v>
      </c>
      <c r="T2" s="177" t="s">
        <v>594</v>
      </c>
      <c r="U2" s="177" t="s">
        <v>595</v>
      </c>
      <c r="V2" s="176" t="s">
        <v>596</v>
      </c>
      <c r="W2" s="174" t="s">
        <v>597</v>
      </c>
      <c r="X2" s="177" t="s">
        <v>577</v>
      </c>
      <c r="Y2" s="176" t="s">
        <v>598</v>
      </c>
      <c r="Z2" s="179" t="s">
        <v>574</v>
      </c>
    </row>
    <row r="3" spans="2:26" ht="18.75" x14ac:dyDescent="0.3">
      <c r="B3" s="163" t="s">
        <v>24</v>
      </c>
      <c r="C3" s="164">
        <f>Table_2_Dashboard!D5</f>
        <v>100000</v>
      </c>
      <c r="D3" s="8"/>
      <c r="E3" s="9" t="s">
        <v>1</v>
      </c>
      <c r="F3" s="10" t="s">
        <v>2</v>
      </c>
      <c r="G3" s="11">
        <v>1</v>
      </c>
      <c r="H3" s="40"/>
      <c r="I3" s="29">
        <f>C3-L3-Q3-W3</f>
        <v>99942.887770000001</v>
      </c>
      <c r="J3" s="30">
        <f>I3*$C$14*$C$19</f>
        <v>57.079611931844262</v>
      </c>
      <c r="K3" s="31">
        <f>I3-J3</f>
        <v>99885.808158068161</v>
      </c>
      <c r="L3" s="29">
        <f>C3*$C$14*$C$19*0.5</f>
        <v>28.556114999999995</v>
      </c>
      <c r="M3" s="30">
        <v>0</v>
      </c>
      <c r="N3" s="30">
        <f>L3*$C$6</f>
        <v>7.1390287499999987</v>
      </c>
      <c r="O3" s="32"/>
      <c r="P3" s="31">
        <f>L3+M3-N3-O3</f>
        <v>21.417086249999997</v>
      </c>
      <c r="Q3" s="29">
        <f>C3*$C$14*$C$19*0.5</f>
        <v>28.556114999999995</v>
      </c>
      <c r="R3" s="30">
        <v>0</v>
      </c>
      <c r="S3" s="30">
        <f>Q3*$C$8</f>
        <v>2.0397224999999994</v>
      </c>
      <c r="T3" s="32"/>
      <c r="U3" s="30">
        <f>Q3*$C$9*(1-$C$21)</f>
        <v>1.4716108304099997</v>
      </c>
      <c r="V3" s="31">
        <f>Q3+R3-S3-T3-U3</f>
        <v>25.044781669589995</v>
      </c>
      <c r="W3" s="29">
        <v>0</v>
      </c>
      <c r="X3" s="30">
        <v>0</v>
      </c>
      <c r="Y3" s="165">
        <f>W3+X3</f>
        <v>0</v>
      </c>
      <c r="Z3" s="41">
        <f>P3+V3</f>
        <v>46.461867919589992</v>
      </c>
    </row>
    <row r="4" spans="2:26" ht="18.75" x14ac:dyDescent="0.3">
      <c r="B4" s="163" t="s">
        <v>25</v>
      </c>
      <c r="C4" s="166">
        <f>C14*2</f>
        <v>1.302E-3</v>
      </c>
      <c r="D4" s="8"/>
      <c r="E4" s="9" t="s">
        <v>1</v>
      </c>
      <c r="F4" s="10" t="s">
        <v>2</v>
      </c>
      <c r="G4" s="11">
        <v>2</v>
      </c>
      <c r="H4" s="40"/>
      <c r="I4" s="29">
        <f>K3</f>
        <v>99885.808158068161</v>
      </c>
      <c r="J4" s="30">
        <f t="shared" ref="J4:J8" si="0">I4*$C$14*$C$19</f>
        <v>57.047012492594654</v>
      </c>
      <c r="K4" s="31">
        <f t="shared" ref="K4:K24" si="1">I4-J4</f>
        <v>99828.761145575569</v>
      </c>
      <c r="L4" s="29">
        <f>P3</f>
        <v>21.417086249999997</v>
      </c>
      <c r="M4" s="30">
        <f>J3</f>
        <v>57.079611931844262</v>
      </c>
      <c r="N4" s="30">
        <f t="shared" ref="N4:N24" si="2">L4*$C$6</f>
        <v>5.3542715624999992</v>
      </c>
      <c r="O4" s="32"/>
      <c r="P4" s="31">
        <f>L4+M4-N4-O4</f>
        <v>73.142426619344263</v>
      </c>
      <c r="Q4" s="29">
        <f>V3</f>
        <v>25.044781669589995</v>
      </c>
      <c r="R4" s="30">
        <f>N3</f>
        <v>7.1390287499999987</v>
      </c>
      <c r="S4" s="30">
        <f t="shared" ref="S4:S24" si="3">Q4*$C$8</f>
        <v>1.7889129763992853</v>
      </c>
      <c r="T4" s="32"/>
      <c r="U4" s="30">
        <f t="shared" ref="U4:U24" si="4">Q4*$C$9*(1-$C$21)</f>
        <v>1.2906577785606508</v>
      </c>
      <c r="V4" s="31">
        <f t="shared" ref="V4:V24" si="5">Q4+R4-S4-T4-U4</f>
        <v>29.104239664630061</v>
      </c>
      <c r="W4" s="29">
        <f>Y3</f>
        <v>0</v>
      </c>
      <c r="X4" s="30">
        <f>S3</f>
        <v>2.0397224999999994</v>
      </c>
      <c r="Y4" s="165">
        <f t="shared" ref="Y4:Y24" si="6">W4+X4</f>
        <v>2.0397224999999994</v>
      </c>
      <c r="Z4" s="41">
        <f t="shared" ref="Z4:Z24" si="7">P4+V4</f>
        <v>102.24666628397432</v>
      </c>
    </row>
    <row r="5" spans="2:26" ht="18.75" x14ac:dyDescent="0.3">
      <c r="B5" s="163" t="s">
        <v>28</v>
      </c>
      <c r="C5" s="164">
        <f>Table_2_Dashboard!D6</f>
        <v>4</v>
      </c>
      <c r="D5" s="8"/>
      <c r="E5" s="9" t="s">
        <v>3</v>
      </c>
      <c r="F5" s="10" t="s">
        <v>4</v>
      </c>
      <c r="G5" s="11">
        <v>3</v>
      </c>
      <c r="H5" s="40"/>
      <c r="I5" s="29">
        <f>K4</f>
        <v>99828.761145575569</v>
      </c>
      <c r="J5" s="30">
        <f t="shared" si="0"/>
        <v>57.014431671611746</v>
      </c>
      <c r="K5" s="31">
        <f t="shared" si="1"/>
        <v>99771.746713903951</v>
      </c>
      <c r="L5" s="29">
        <f t="shared" ref="L5:L24" si="8">P4</f>
        <v>73.142426619344263</v>
      </c>
      <c r="M5" s="30">
        <f t="shared" ref="M5:M10" si="9">J4</f>
        <v>57.047012492594654</v>
      </c>
      <c r="N5" s="30">
        <f t="shared" si="2"/>
        <v>18.285606654836066</v>
      </c>
      <c r="O5" s="30">
        <f>L5*(1-$C$10)*Table_2_Dashboard!G7</f>
        <v>0</v>
      </c>
      <c r="P5" s="31">
        <f t="shared" ref="P5:P24" si="10">L5+M5-N5-O5</f>
        <v>111.90383245710285</v>
      </c>
      <c r="Q5" s="29">
        <f t="shared" ref="Q5:Q24" si="11">V4</f>
        <v>29.104239664630061</v>
      </c>
      <c r="R5" s="30">
        <f t="shared" ref="R5:R24" si="12">N4</f>
        <v>5.3542715624999992</v>
      </c>
      <c r="S5" s="30">
        <f t="shared" si="3"/>
        <v>2.0788742617592901</v>
      </c>
      <c r="T5" s="30">
        <f>Q5*(1-$C$11)*Table_2_Dashboard!G7</f>
        <v>0</v>
      </c>
      <c r="U5" s="30">
        <f t="shared" si="4"/>
        <v>1.4998578868770456</v>
      </c>
      <c r="V5" s="31">
        <f t="shared" si="5"/>
        <v>30.879779078493726</v>
      </c>
      <c r="W5" s="29">
        <f t="shared" ref="W5:W24" si="13">Y4</f>
        <v>2.0397224999999994</v>
      </c>
      <c r="X5" s="30">
        <f t="shared" ref="X5:X24" si="14">S4</f>
        <v>1.7889129763992853</v>
      </c>
      <c r="Y5" s="165">
        <f>W5+X5</f>
        <v>3.8286354763992847</v>
      </c>
      <c r="Z5" s="41">
        <f t="shared" si="7"/>
        <v>142.78361153559658</v>
      </c>
    </row>
    <row r="6" spans="2:26" ht="18.75" x14ac:dyDescent="0.3">
      <c r="B6" s="163" t="s">
        <v>26</v>
      </c>
      <c r="C6" s="167">
        <f>1/C5</f>
        <v>0.25</v>
      </c>
      <c r="D6" s="8"/>
      <c r="E6" s="9" t="s">
        <v>5</v>
      </c>
      <c r="F6" s="10" t="s">
        <v>6</v>
      </c>
      <c r="G6" s="11">
        <v>4</v>
      </c>
      <c r="H6" s="40"/>
      <c r="I6" s="29">
        <f t="shared" ref="I6:I23" si="15">K5</f>
        <v>99771.746713903951</v>
      </c>
      <c r="J6" s="30">
        <f t="shared" si="0"/>
        <v>56.981869458262267</v>
      </c>
      <c r="K6" s="31">
        <f t="shared" si="1"/>
        <v>99714.764844445686</v>
      </c>
      <c r="L6" s="29">
        <f t="shared" si="8"/>
        <v>111.90383245710285</v>
      </c>
      <c r="M6" s="30">
        <f t="shared" si="9"/>
        <v>57.014431671611746</v>
      </c>
      <c r="N6" s="30">
        <f t="shared" si="2"/>
        <v>27.975958114275713</v>
      </c>
      <c r="O6" s="30">
        <f>L6*(1-$C$10)*Table_2_Dashboard!G8</f>
        <v>0</v>
      </c>
      <c r="P6" s="31">
        <f t="shared" si="10"/>
        <v>140.94230601443888</v>
      </c>
      <c r="Q6" s="29">
        <f t="shared" si="11"/>
        <v>30.879779078493726</v>
      </c>
      <c r="R6" s="30">
        <f t="shared" si="12"/>
        <v>18.285606654836066</v>
      </c>
      <c r="S6" s="30">
        <f t="shared" si="3"/>
        <v>2.2056985056066947</v>
      </c>
      <c r="T6" s="30">
        <f>Q6*(1-$C$11)*Table_2_Dashboard!G8</f>
        <v>0</v>
      </c>
      <c r="U6" s="30">
        <f t="shared" si="4"/>
        <v>1.5913585350310957</v>
      </c>
      <c r="V6" s="31">
        <f t="shared" si="5"/>
        <v>45.368328692691996</v>
      </c>
      <c r="W6" s="29">
        <f t="shared" si="13"/>
        <v>3.8286354763992847</v>
      </c>
      <c r="X6" s="30">
        <f t="shared" si="14"/>
        <v>2.0788742617592901</v>
      </c>
      <c r="Y6" s="165">
        <f t="shared" si="6"/>
        <v>5.9075097381585753</v>
      </c>
      <c r="Z6" s="41">
        <f t="shared" si="7"/>
        <v>186.31063470713087</v>
      </c>
    </row>
    <row r="7" spans="2:26" ht="18.75" x14ac:dyDescent="0.3">
      <c r="B7" s="163" t="s">
        <v>29</v>
      </c>
      <c r="C7" s="164">
        <f>Table_2_Dashboard!D8</f>
        <v>14</v>
      </c>
      <c r="D7" s="8"/>
      <c r="E7" s="9" t="s">
        <v>5</v>
      </c>
      <c r="F7" s="10" t="s">
        <v>7</v>
      </c>
      <c r="G7" s="11">
        <v>5</v>
      </c>
      <c r="H7" s="40"/>
      <c r="I7" s="29">
        <f t="shared" si="15"/>
        <v>99714.764844445686</v>
      </c>
      <c r="J7" s="30">
        <f t="shared" si="0"/>
        <v>56.949325841918956</v>
      </c>
      <c r="K7" s="31">
        <f t="shared" si="1"/>
        <v>99657.815518603762</v>
      </c>
      <c r="L7" s="29">
        <f t="shared" si="8"/>
        <v>140.94230601443888</v>
      </c>
      <c r="M7" s="30">
        <f t="shared" si="9"/>
        <v>56.981869458262267</v>
      </c>
      <c r="N7" s="30">
        <f t="shared" si="2"/>
        <v>35.235576503609721</v>
      </c>
      <c r="O7" s="30">
        <f>L7*(1-$C$10)*Table_2_Dashboard!G9</f>
        <v>0</v>
      </c>
      <c r="P7" s="31">
        <f t="shared" si="10"/>
        <v>162.68859896909146</v>
      </c>
      <c r="Q7" s="29">
        <f t="shared" si="11"/>
        <v>45.368328692691996</v>
      </c>
      <c r="R7" s="30">
        <f t="shared" si="12"/>
        <v>27.975958114275713</v>
      </c>
      <c r="S7" s="30">
        <f t="shared" si="3"/>
        <v>3.2405949066208568</v>
      </c>
      <c r="T7" s="30">
        <f>Q7*(1-$C$11)*Table_2_Dashboard!G9</f>
        <v>0</v>
      </c>
      <c r="U7" s="30">
        <f>Q7*$C$9*(1-$C$21)</f>
        <v>2.3380114508491894</v>
      </c>
      <c r="V7" s="31">
        <f t="shared" si="5"/>
        <v>67.765680449497665</v>
      </c>
      <c r="W7" s="29">
        <f t="shared" si="13"/>
        <v>5.9075097381585753</v>
      </c>
      <c r="X7" s="30">
        <f t="shared" si="14"/>
        <v>2.2056985056066947</v>
      </c>
      <c r="Y7" s="165">
        <f t="shared" si="6"/>
        <v>8.1132082437652695</v>
      </c>
      <c r="Z7" s="41">
        <f t="shared" si="7"/>
        <v>230.45427941858912</v>
      </c>
    </row>
    <row r="8" spans="2:26" ht="18.75" x14ac:dyDescent="0.3">
      <c r="B8" s="163" t="s">
        <v>27</v>
      </c>
      <c r="C8" s="167">
        <f>1/C7</f>
        <v>7.1428571428571425E-2</v>
      </c>
      <c r="D8" s="8"/>
      <c r="E8" s="9" t="s">
        <v>467</v>
      </c>
      <c r="F8" s="10" t="s">
        <v>8</v>
      </c>
      <c r="G8" s="11">
        <v>6</v>
      </c>
      <c r="H8" s="40"/>
      <c r="I8" s="29">
        <f t="shared" si="15"/>
        <v>99657.815518603762</v>
      </c>
      <c r="J8" s="30">
        <f t="shared" si="0"/>
        <v>56.916800811960663</v>
      </c>
      <c r="K8" s="31">
        <f t="shared" si="1"/>
        <v>99600.898717791802</v>
      </c>
      <c r="L8" s="29">
        <f t="shared" si="8"/>
        <v>162.68859896909146</v>
      </c>
      <c r="M8" s="30">
        <f t="shared" si="9"/>
        <v>56.949325841918956</v>
      </c>
      <c r="N8" s="30">
        <f t="shared" si="2"/>
        <v>40.672149742272865</v>
      </c>
      <c r="O8" s="30">
        <f>L8*(1-$C$10)*Table_2_Dashboard!G10</f>
        <v>0</v>
      </c>
      <c r="P8" s="31">
        <f t="shared" si="10"/>
        <v>178.96577506873754</v>
      </c>
      <c r="Q8" s="29">
        <f t="shared" si="11"/>
        <v>67.765680449497665</v>
      </c>
      <c r="R8" s="30">
        <f t="shared" si="12"/>
        <v>35.235576503609721</v>
      </c>
      <c r="S8" s="30">
        <f t="shared" si="3"/>
        <v>4.8404057463926904</v>
      </c>
      <c r="T8" s="30">
        <f>Q8*(1-$C$11)*Table_2_Dashboard!G10</f>
        <v>0</v>
      </c>
      <c r="U8" s="30">
        <f t="shared" si="4"/>
        <v>3.4922365762844123</v>
      </c>
      <c r="V8" s="31">
        <f t="shared" si="5"/>
        <v>94.668614630430284</v>
      </c>
      <c r="W8" s="29">
        <f t="shared" si="13"/>
        <v>8.1132082437652695</v>
      </c>
      <c r="X8" s="30">
        <f t="shared" si="14"/>
        <v>3.2405949066208568</v>
      </c>
      <c r="Y8" s="165">
        <f t="shared" si="6"/>
        <v>11.353803150386126</v>
      </c>
      <c r="Z8" s="41">
        <f t="shared" si="7"/>
        <v>273.63438969916785</v>
      </c>
    </row>
    <row r="9" spans="2:26" ht="18.75" x14ac:dyDescent="0.3">
      <c r="B9" s="163" t="s">
        <v>30</v>
      </c>
      <c r="C9" s="167">
        <f>Table_2_Dashboard!D11</f>
        <v>0.18</v>
      </c>
      <c r="D9" s="8"/>
      <c r="E9" s="9" t="s">
        <v>9</v>
      </c>
      <c r="F9" s="10" t="s">
        <v>10</v>
      </c>
      <c r="G9" s="11">
        <v>7</v>
      </c>
      <c r="H9" s="40"/>
      <c r="I9" s="29">
        <f t="shared" si="15"/>
        <v>99600.898717791802</v>
      </c>
      <c r="J9" s="30">
        <f>I9*$C$4*$C$19</f>
        <v>113.76858871554461</v>
      </c>
      <c r="K9" s="31">
        <f>I9-J9</f>
        <v>99487.130129076264</v>
      </c>
      <c r="L9" s="29">
        <f t="shared" si="8"/>
        <v>178.96577506873754</v>
      </c>
      <c r="M9" s="33">
        <f t="shared" si="9"/>
        <v>56.916800811960663</v>
      </c>
      <c r="N9" s="30">
        <f t="shared" si="2"/>
        <v>44.741443767184386</v>
      </c>
      <c r="O9" s="32"/>
      <c r="P9" s="31">
        <f t="shared" si="10"/>
        <v>191.14113211351381</v>
      </c>
      <c r="Q9" s="29">
        <f t="shared" si="11"/>
        <v>94.668614630430284</v>
      </c>
      <c r="R9" s="30">
        <f t="shared" si="12"/>
        <v>40.672149742272865</v>
      </c>
      <c r="S9" s="30">
        <f t="shared" si="3"/>
        <v>6.7620439021735912</v>
      </c>
      <c r="T9" s="32"/>
      <c r="U9" s="30">
        <f t="shared" si="4"/>
        <v>4.8786523863645943</v>
      </c>
      <c r="V9" s="31">
        <f t="shared" si="5"/>
        <v>123.70006808416497</v>
      </c>
      <c r="W9" s="29">
        <f t="shared" si="13"/>
        <v>11.353803150386126</v>
      </c>
      <c r="X9" s="30">
        <f t="shared" si="14"/>
        <v>4.8404057463926904</v>
      </c>
      <c r="Y9" s="165">
        <f t="shared" si="6"/>
        <v>16.194208896778818</v>
      </c>
      <c r="Z9" s="41">
        <f t="shared" si="7"/>
        <v>314.84120019767875</v>
      </c>
    </row>
    <row r="10" spans="2:26" ht="18.75" x14ac:dyDescent="0.3">
      <c r="B10" s="163" t="s">
        <v>31</v>
      </c>
      <c r="C10" s="167">
        <f>Table_2_Dashboard!D14</f>
        <v>0.84</v>
      </c>
      <c r="D10" s="8"/>
      <c r="E10" s="13" t="s">
        <v>382</v>
      </c>
      <c r="F10" s="14" t="s">
        <v>575</v>
      </c>
      <c r="G10" s="15">
        <v>8</v>
      </c>
      <c r="H10" s="40"/>
      <c r="I10" s="29">
        <f t="shared" si="15"/>
        <v>99487.130129076264</v>
      </c>
      <c r="J10" s="32"/>
      <c r="K10" s="31">
        <f t="shared" si="1"/>
        <v>99487.130129076264</v>
      </c>
      <c r="L10" s="29">
        <f t="shared" si="8"/>
        <v>191.14113211351381</v>
      </c>
      <c r="M10" s="33">
        <f t="shared" si="9"/>
        <v>113.76858871554461</v>
      </c>
      <c r="N10" s="30">
        <f t="shared" si="2"/>
        <v>47.785283028378451</v>
      </c>
      <c r="O10" s="30">
        <f>L10*(1-$C$10)*Table_2_Dashboard!G11</f>
        <v>0</v>
      </c>
      <c r="P10" s="31">
        <f>L10+M10-N10-O10</f>
        <v>257.12443780067997</v>
      </c>
      <c r="Q10" s="29">
        <f t="shared" si="11"/>
        <v>123.70006808416497</v>
      </c>
      <c r="R10" s="30">
        <f t="shared" si="12"/>
        <v>44.741443767184386</v>
      </c>
      <c r="S10" s="30">
        <f t="shared" si="3"/>
        <v>8.8357191488689253</v>
      </c>
      <c r="T10" s="30">
        <f>Q10*(1-$C$11)*Table_2_Dashboard!G11</f>
        <v>0</v>
      </c>
      <c r="U10" s="30">
        <f t="shared" si="4"/>
        <v>6.3747593086493568</v>
      </c>
      <c r="V10" s="31">
        <f t="shared" si="5"/>
        <v>153.2310333938311</v>
      </c>
      <c r="W10" s="29">
        <f t="shared" si="13"/>
        <v>16.194208896778818</v>
      </c>
      <c r="X10" s="30">
        <f t="shared" si="14"/>
        <v>6.7620439021735912</v>
      </c>
      <c r="Y10" s="165">
        <f t="shared" si="6"/>
        <v>22.956252798952409</v>
      </c>
      <c r="Z10" s="41">
        <f t="shared" si="7"/>
        <v>410.3554711945111</v>
      </c>
    </row>
    <row r="11" spans="2:26" ht="18.75" x14ac:dyDescent="0.3">
      <c r="B11" s="163" t="s">
        <v>32</v>
      </c>
      <c r="C11" s="167">
        <f>Table_2_Dashboard!D15</f>
        <v>0.28999999999999998</v>
      </c>
      <c r="D11" s="8"/>
      <c r="E11" s="9" t="s">
        <v>383</v>
      </c>
      <c r="F11" s="10" t="s">
        <v>11</v>
      </c>
      <c r="G11" s="11">
        <v>9</v>
      </c>
      <c r="H11" s="40"/>
      <c r="I11" s="29">
        <f t="shared" si="15"/>
        <v>99487.130129076264</v>
      </c>
      <c r="J11" s="32"/>
      <c r="K11" s="31">
        <f t="shared" si="1"/>
        <v>99487.130129076264</v>
      </c>
      <c r="L11" s="29">
        <f>P10</f>
        <v>257.12443780067997</v>
      </c>
      <c r="M11" s="34"/>
      <c r="N11" s="30">
        <f t="shared" si="2"/>
        <v>64.281109450169993</v>
      </c>
      <c r="O11" s="30">
        <f>L11*(1-$C$10)*Table_2_Dashboard!G13</f>
        <v>0</v>
      </c>
      <c r="P11" s="31">
        <f>L11+M11-N11-O11</f>
        <v>192.84332835050998</v>
      </c>
      <c r="Q11" s="29">
        <f t="shared" si="11"/>
        <v>153.2310333938311</v>
      </c>
      <c r="R11" s="30">
        <f t="shared" si="12"/>
        <v>47.785283028378451</v>
      </c>
      <c r="S11" s="30">
        <f t="shared" si="3"/>
        <v>10.945073813845077</v>
      </c>
      <c r="T11" s="30">
        <f>Q11*(1-$C$11)*Table_2_Dashboard!G13</f>
        <v>0</v>
      </c>
      <c r="U11" s="30">
        <f t="shared" si="4"/>
        <v>7.8966080749176921</v>
      </c>
      <c r="V11" s="31">
        <f t="shared" si="5"/>
        <v>182.17463453344678</v>
      </c>
      <c r="W11" s="29">
        <f t="shared" si="13"/>
        <v>22.956252798952409</v>
      </c>
      <c r="X11" s="30">
        <f t="shared" si="14"/>
        <v>8.8357191488689253</v>
      </c>
      <c r="Y11" s="165">
        <f t="shared" si="6"/>
        <v>31.791971947821335</v>
      </c>
      <c r="Z11" s="41">
        <f t="shared" si="7"/>
        <v>375.01796288395678</v>
      </c>
    </row>
    <row r="12" spans="2:26" ht="16.5" x14ac:dyDescent="0.3">
      <c r="B12" s="168"/>
      <c r="C12" s="169"/>
      <c r="D12" s="8"/>
      <c r="E12" s="9" t="s">
        <v>384</v>
      </c>
      <c r="F12" s="10" t="s">
        <v>12</v>
      </c>
      <c r="G12" s="11">
        <v>10</v>
      </c>
      <c r="H12" s="40"/>
      <c r="I12" s="29">
        <f t="shared" si="15"/>
        <v>99487.130129076264</v>
      </c>
      <c r="J12" s="32"/>
      <c r="K12" s="31">
        <f t="shared" si="1"/>
        <v>99487.130129076264</v>
      </c>
      <c r="L12" s="29">
        <f t="shared" si="8"/>
        <v>192.84332835050998</v>
      </c>
      <c r="M12" s="34"/>
      <c r="N12" s="30">
        <f t="shared" si="2"/>
        <v>48.210832087627495</v>
      </c>
      <c r="O12" s="30">
        <f>L12*(1-$C$10)*Table_2_Dashboard!G14</f>
        <v>0</v>
      </c>
      <c r="P12" s="31">
        <f t="shared" si="10"/>
        <v>144.63249626288248</v>
      </c>
      <c r="Q12" s="29">
        <f t="shared" si="11"/>
        <v>182.17463453344678</v>
      </c>
      <c r="R12" s="30">
        <f t="shared" si="12"/>
        <v>64.281109450169993</v>
      </c>
      <c r="S12" s="30">
        <f t="shared" si="3"/>
        <v>13.012473895246197</v>
      </c>
      <c r="T12" s="30">
        <f>Q12*(1-$C$11)*Table_2_Dashboard!G14</f>
        <v>0</v>
      </c>
      <c r="U12" s="30">
        <f t="shared" si="4"/>
        <v>9.3881876160466469</v>
      </c>
      <c r="V12" s="31">
        <f t="shared" si="5"/>
        <v>224.05508247232393</v>
      </c>
      <c r="W12" s="29">
        <f t="shared" si="13"/>
        <v>31.791971947821335</v>
      </c>
      <c r="X12" s="30">
        <f t="shared" si="14"/>
        <v>10.945073813845077</v>
      </c>
      <c r="Y12" s="165">
        <f t="shared" si="6"/>
        <v>42.737045761666408</v>
      </c>
      <c r="Z12" s="41">
        <f t="shared" si="7"/>
        <v>368.68757873520644</v>
      </c>
    </row>
    <row r="13" spans="2:26" ht="16.5" x14ac:dyDescent="0.3">
      <c r="B13" s="185" t="s">
        <v>40</v>
      </c>
      <c r="C13" s="186" t="s">
        <v>0</v>
      </c>
      <c r="D13" s="8"/>
      <c r="E13" s="9" t="s">
        <v>385</v>
      </c>
      <c r="F13" s="10" t="s">
        <v>13</v>
      </c>
      <c r="G13" s="11">
        <v>11</v>
      </c>
      <c r="H13" s="40"/>
      <c r="I13" s="29">
        <f t="shared" si="15"/>
        <v>99487.130129076264</v>
      </c>
      <c r="J13" s="32"/>
      <c r="K13" s="31">
        <f t="shared" si="1"/>
        <v>99487.130129076264</v>
      </c>
      <c r="L13" s="29">
        <f t="shared" si="8"/>
        <v>144.63249626288248</v>
      </c>
      <c r="M13" s="34"/>
      <c r="N13" s="30">
        <f t="shared" si="2"/>
        <v>36.158124065720621</v>
      </c>
      <c r="O13" s="30">
        <f>L13*(1-$C$10)*Table_2_Dashboard!G15</f>
        <v>0</v>
      </c>
      <c r="P13" s="31">
        <f t="shared" si="10"/>
        <v>108.47437219716187</v>
      </c>
      <c r="Q13" s="29">
        <f t="shared" si="11"/>
        <v>224.05508247232393</v>
      </c>
      <c r="R13" s="30">
        <f t="shared" si="12"/>
        <v>48.210832087627495</v>
      </c>
      <c r="S13" s="30">
        <f t="shared" si="3"/>
        <v>16.003934462308852</v>
      </c>
      <c r="T13" s="30">
        <f>Q13*(1-$C$11)*Table_2_Dashboard!G15</f>
        <v>0</v>
      </c>
      <c r="U13" s="30">
        <f t="shared" si="4"/>
        <v>11.546454620128742</v>
      </c>
      <c r="V13" s="31">
        <f t="shared" si="5"/>
        <v>244.71552547751381</v>
      </c>
      <c r="W13" s="29">
        <f t="shared" si="13"/>
        <v>42.737045761666408</v>
      </c>
      <c r="X13" s="30">
        <f t="shared" si="14"/>
        <v>13.012473895246197</v>
      </c>
      <c r="Y13" s="165">
        <f t="shared" si="6"/>
        <v>55.749519656912604</v>
      </c>
      <c r="Z13" s="41">
        <f t="shared" si="7"/>
        <v>353.18989767467565</v>
      </c>
    </row>
    <row r="14" spans="2:26" ht="18.75" x14ac:dyDescent="0.3">
      <c r="B14" s="163" t="s">
        <v>33</v>
      </c>
      <c r="C14" s="169">
        <f>Table_2_Dashboard!D21</f>
        <v>6.5099999999999999E-4</v>
      </c>
      <c r="D14" s="8"/>
      <c r="E14" s="9" t="s">
        <v>386</v>
      </c>
      <c r="F14" s="10" t="s">
        <v>14</v>
      </c>
      <c r="G14" s="11">
        <v>12</v>
      </c>
      <c r="H14" s="40"/>
      <c r="I14" s="29">
        <f t="shared" si="15"/>
        <v>99487.130129076264</v>
      </c>
      <c r="J14" s="32"/>
      <c r="K14" s="31">
        <f t="shared" si="1"/>
        <v>99487.130129076264</v>
      </c>
      <c r="L14" s="29">
        <f t="shared" si="8"/>
        <v>108.47437219716187</v>
      </c>
      <c r="M14" s="34"/>
      <c r="N14" s="30">
        <f t="shared" si="2"/>
        <v>27.118593049290467</v>
      </c>
      <c r="O14" s="30">
        <f>L14*(1-$C$10)*Table_2_Dashboard!G16</f>
        <v>0</v>
      </c>
      <c r="P14" s="31">
        <f t="shared" si="10"/>
        <v>81.355779147871402</v>
      </c>
      <c r="Q14" s="29">
        <f t="shared" si="11"/>
        <v>244.71552547751381</v>
      </c>
      <c r="R14" s="30">
        <f t="shared" si="12"/>
        <v>36.158124065720621</v>
      </c>
      <c r="S14" s="30">
        <f t="shared" si="3"/>
        <v>17.479680391250984</v>
      </c>
      <c r="T14" s="30">
        <f>Q14*(1-$C$11)*Table_2_Dashboard!G16</f>
        <v>0</v>
      </c>
      <c r="U14" s="30">
        <f t="shared" si="4"/>
        <v>12.611169889958196</v>
      </c>
      <c r="V14" s="31">
        <f t="shared" si="5"/>
        <v>250.78279926202521</v>
      </c>
      <c r="W14" s="29">
        <f t="shared" si="13"/>
        <v>55.749519656912604</v>
      </c>
      <c r="X14" s="30">
        <f t="shared" si="14"/>
        <v>16.003934462308852</v>
      </c>
      <c r="Y14" s="165">
        <f t="shared" si="6"/>
        <v>71.753454119221459</v>
      </c>
      <c r="Z14" s="41">
        <f t="shared" si="7"/>
        <v>332.13857840989658</v>
      </c>
    </row>
    <row r="15" spans="2:26" ht="18.75" x14ac:dyDescent="0.3">
      <c r="B15" s="163" t="s">
        <v>34</v>
      </c>
      <c r="C15" s="170">
        <f>Table_2_Dashboard!D26</f>
        <v>0.40899999999999997</v>
      </c>
      <c r="D15" s="8"/>
      <c r="E15" s="9" t="s">
        <v>387</v>
      </c>
      <c r="F15" s="10" t="s">
        <v>15</v>
      </c>
      <c r="G15" s="11">
        <v>13</v>
      </c>
      <c r="H15" s="40"/>
      <c r="I15" s="29">
        <f t="shared" si="15"/>
        <v>99487.130129076264</v>
      </c>
      <c r="J15" s="32"/>
      <c r="K15" s="31">
        <f t="shared" si="1"/>
        <v>99487.130129076264</v>
      </c>
      <c r="L15" s="29">
        <f t="shared" si="8"/>
        <v>81.355779147871402</v>
      </c>
      <c r="M15" s="34"/>
      <c r="N15" s="30">
        <f t="shared" si="2"/>
        <v>20.338944786967851</v>
      </c>
      <c r="O15" s="30">
        <f>L15*(1-$C$10)*Table_2_Dashboard!G17</f>
        <v>0</v>
      </c>
      <c r="P15" s="31">
        <f t="shared" si="10"/>
        <v>61.016834360903552</v>
      </c>
      <c r="Q15" s="29">
        <f t="shared" si="11"/>
        <v>250.78279926202521</v>
      </c>
      <c r="R15" s="30">
        <f t="shared" si="12"/>
        <v>27.118593049290467</v>
      </c>
      <c r="S15" s="30">
        <f t="shared" si="3"/>
        <v>17.913057090144658</v>
      </c>
      <c r="T15" s="30">
        <f>Q15*(1-$C$11)*Table_2_Dashboard!G17</f>
        <v>0</v>
      </c>
      <c r="U15" s="30">
        <f t="shared" si="4"/>
        <v>12.923840777169207</v>
      </c>
      <c r="V15" s="31">
        <f t="shared" si="5"/>
        <v>247.06449444400184</v>
      </c>
      <c r="W15" s="29">
        <f t="shared" si="13"/>
        <v>71.753454119221459</v>
      </c>
      <c r="X15" s="30">
        <f t="shared" si="14"/>
        <v>17.479680391250984</v>
      </c>
      <c r="Y15" s="165">
        <f t="shared" si="6"/>
        <v>89.233134510472439</v>
      </c>
      <c r="Z15" s="41">
        <f t="shared" si="7"/>
        <v>308.08132880490541</v>
      </c>
    </row>
    <row r="16" spans="2:26" ht="16.5" x14ac:dyDescent="0.3">
      <c r="B16" s="168"/>
      <c r="C16" s="169"/>
      <c r="D16" s="8"/>
      <c r="E16" s="9" t="s">
        <v>388</v>
      </c>
      <c r="F16" s="10" t="s">
        <v>16</v>
      </c>
      <c r="G16" s="11">
        <v>14</v>
      </c>
      <c r="H16" s="40"/>
      <c r="I16" s="29">
        <f t="shared" si="15"/>
        <v>99487.130129076264</v>
      </c>
      <c r="J16" s="32"/>
      <c r="K16" s="31">
        <f t="shared" si="1"/>
        <v>99487.130129076264</v>
      </c>
      <c r="L16" s="29">
        <f t="shared" si="8"/>
        <v>61.016834360903552</v>
      </c>
      <c r="M16" s="34"/>
      <c r="N16" s="30">
        <f t="shared" si="2"/>
        <v>15.254208590225888</v>
      </c>
      <c r="O16" s="30">
        <f>L16*(1-$C$10)*Table_2_Dashboard!G18</f>
        <v>0</v>
      </c>
      <c r="P16" s="31">
        <f t="shared" si="10"/>
        <v>45.762625770677666</v>
      </c>
      <c r="Q16" s="29">
        <f t="shared" si="11"/>
        <v>247.06449444400184</v>
      </c>
      <c r="R16" s="30">
        <f t="shared" si="12"/>
        <v>20.338944786967851</v>
      </c>
      <c r="S16" s="30">
        <f t="shared" si="3"/>
        <v>17.647463888857274</v>
      </c>
      <c r="T16" s="30">
        <f>Q16*(1-$C$11)*Table_2_Dashboard!G18</f>
        <v>0</v>
      </c>
      <c r="U16" s="30">
        <f t="shared" si="4"/>
        <v>12.73222165667719</v>
      </c>
      <c r="V16" s="31">
        <f t="shared" si="5"/>
        <v>237.02375368543525</v>
      </c>
      <c r="W16" s="29">
        <f t="shared" si="13"/>
        <v>89.233134510472439</v>
      </c>
      <c r="X16" s="30">
        <f t="shared" si="14"/>
        <v>17.913057090144658</v>
      </c>
      <c r="Y16" s="165">
        <f t="shared" si="6"/>
        <v>107.1461916006171</v>
      </c>
      <c r="Z16" s="41">
        <f t="shared" si="7"/>
        <v>282.78637945611291</v>
      </c>
    </row>
    <row r="17" spans="2:26" ht="16.5" x14ac:dyDescent="0.3">
      <c r="B17" s="185" t="s">
        <v>41</v>
      </c>
      <c r="C17" s="186" t="s">
        <v>0</v>
      </c>
      <c r="D17" s="8"/>
      <c r="E17" s="9" t="s">
        <v>389</v>
      </c>
      <c r="F17" s="10" t="s">
        <v>17</v>
      </c>
      <c r="G17" s="11">
        <v>15</v>
      </c>
      <c r="H17" s="40"/>
      <c r="I17" s="29">
        <f t="shared" si="15"/>
        <v>99487.130129076264</v>
      </c>
      <c r="J17" s="32"/>
      <c r="K17" s="31">
        <f t="shared" si="1"/>
        <v>99487.130129076264</v>
      </c>
      <c r="L17" s="29">
        <f t="shared" si="8"/>
        <v>45.762625770677666</v>
      </c>
      <c r="M17" s="34"/>
      <c r="N17" s="30">
        <f t="shared" si="2"/>
        <v>11.440656442669416</v>
      </c>
      <c r="O17" s="30">
        <f>L17*(1-$C$10)*Table_2_Dashboard!G19</f>
        <v>0</v>
      </c>
      <c r="P17" s="31">
        <f t="shared" si="10"/>
        <v>34.321969328008251</v>
      </c>
      <c r="Q17" s="29">
        <f t="shared" si="11"/>
        <v>237.02375368543525</v>
      </c>
      <c r="R17" s="30">
        <f t="shared" si="12"/>
        <v>15.254208590225888</v>
      </c>
      <c r="S17" s="30">
        <f t="shared" si="3"/>
        <v>16.930268120388231</v>
      </c>
      <c r="T17" s="30">
        <f>Q17*(1-$C$11)*Table_2_Dashboard!G19</f>
        <v>0</v>
      </c>
      <c r="U17" s="30">
        <f t="shared" si="4"/>
        <v>12.21478212242522</v>
      </c>
      <c r="V17" s="31">
        <f t="shared" si="5"/>
        <v>223.13291203284768</v>
      </c>
      <c r="W17" s="29">
        <f t="shared" si="13"/>
        <v>107.1461916006171</v>
      </c>
      <c r="X17" s="30">
        <f t="shared" si="14"/>
        <v>17.647463888857274</v>
      </c>
      <c r="Y17" s="165">
        <f t="shared" si="6"/>
        <v>124.79365548947438</v>
      </c>
      <c r="Z17" s="41">
        <f t="shared" si="7"/>
        <v>257.45488136085595</v>
      </c>
    </row>
    <row r="18" spans="2:26" ht="18.75" x14ac:dyDescent="0.3">
      <c r="B18" s="163" t="s">
        <v>35</v>
      </c>
      <c r="C18" s="169">
        <f>Table_2_Dashboard!D30</f>
        <v>0.3</v>
      </c>
      <c r="D18" s="8"/>
      <c r="E18" s="9" t="s">
        <v>390</v>
      </c>
      <c r="F18" s="10" t="s">
        <v>18</v>
      </c>
      <c r="G18" s="11">
        <v>16</v>
      </c>
      <c r="H18" s="40"/>
      <c r="I18" s="29">
        <f t="shared" si="15"/>
        <v>99487.130129076264</v>
      </c>
      <c r="J18" s="32"/>
      <c r="K18" s="31">
        <f t="shared" si="1"/>
        <v>99487.130129076264</v>
      </c>
      <c r="L18" s="29">
        <f t="shared" si="8"/>
        <v>34.321969328008251</v>
      </c>
      <c r="M18" s="34"/>
      <c r="N18" s="30">
        <f t="shared" si="2"/>
        <v>8.5804923320020627</v>
      </c>
      <c r="O18" s="30">
        <f>L18*(1-$C$10)*Table_2_Dashboard!G20</f>
        <v>0</v>
      </c>
      <c r="P18" s="31">
        <f t="shared" si="10"/>
        <v>25.741476996006188</v>
      </c>
      <c r="Q18" s="29">
        <f t="shared" si="11"/>
        <v>223.13291203284768</v>
      </c>
      <c r="R18" s="30">
        <f t="shared" si="12"/>
        <v>11.440656442669416</v>
      </c>
      <c r="S18" s="30">
        <f t="shared" si="3"/>
        <v>15.938065145203405</v>
      </c>
      <c r="T18" s="30">
        <f>Q18*(1-$C$11)*Table_2_Dashboard!G20</f>
        <v>0</v>
      </c>
      <c r="U18" s="30">
        <f t="shared" si="4"/>
        <v>11.498931488700773</v>
      </c>
      <c r="V18" s="31">
        <f t="shared" si="5"/>
        <v>207.13657184161292</v>
      </c>
      <c r="W18" s="29">
        <f t="shared" si="13"/>
        <v>124.79365548947438</v>
      </c>
      <c r="X18" s="30">
        <f t="shared" si="14"/>
        <v>16.930268120388231</v>
      </c>
      <c r="Y18" s="165">
        <f t="shared" si="6"/>
        <v>141.7239236098626</v>
      </c>
      <c r="Z18" s="41">
        <f t="shared" si="7"/>
        <v>232.8780488376191</v>
      </c>
    </row>
    <row r="19" spans="2:26" ht="18.75" x14ac:dyDescent="0.3">
      <c r="B19" s="163" t="s">
        <v>36</v>
      </c>
      <c r="C19" s="169">
        <f>(((C15)*(1-C18))+(1-C15))</f>
        <v>0.87729999999999997</v>
      </c>
      <c r="D19" s="8"/>
      <c r="E19" s="9" t="s">
        <v>391</v>
      </c>
      <c r="F19" s="10" t="s">
        <v>19</v>
      </c>
      <c r="G19" s="11">
        <v>17</v>
      </c>
      <c r="H19" s="40"/>
      <c r="I19" s="29">
        <f t="shared" si="15"/>
        <v>99487.130129076264</v>
      </c>
      <c r="J19" s="32"/>
      <c r="K19" s="31">
        <f t="shared" si="1"/>
        <v>99487.130129076264</v>
      </c>
      <c r="L19" s="29">
        <f t="shared" si="8"/>
        <v>25.741476996006188</v>
      </c>
      <c r="M19" s="34"/>
      <c r="N19" s="30">
        <f t="shared" si="2"/>
        <v>6.4353692490015471</v>
      </c>
      <c r="O19" s="30">
        <f>L19*(1-$C$10)*Table_2_Dashboard!G21</f>
        <v>0</v>
      </c>
      <c r="P19" s="31">
        <f t="shared" si="10"/>
        <v>19.306107747004642</v>
      </c>
      <c r="Q19" s="29">
        <f t="shared" si="11"/>
        <v>207.13657184161292</v>
      </c>
      <c r="R19" s="30">
        <f t="shared" si="12"/>
        <v>8.5804923320020627</v>
      </c>
      <c r="S19" s="30">
        <f t="shared" si="3"/>
        <v>14.795469417258065</v>
      </c>
      <c r="T19" s="30">
        <f>Q19*(1-$C$11)*Table_2_Dashboard!G21</f>
        <v>0</v>
      </c>
      <c r="U19" s="30">
        <f t="shared" si="4"/>
        <v>10.67457609328568</v>
      </c>
      <c r="V19" s="31">
        <f t="shared" si="5"/>
        <v>190.24701866307123</v>
      </c>
      <c r="W19" s="29">
        <f t="shared" si="13"/>
        <v>141.7239236098626</v>
      </c>
      <c r="X19" s="30">
        <f t="shared" si="14"/>
        <v>15.938065145203405</v>
      </c>
      <c r="Y19" s="165">
        <f t="shared" si="6"/>
        <v>157.66198875506601</v>
      </c>
      <c r="Z19" s="41">
        <f>P19+V19</f>
        <v>209.55312641007586</v>
      </c>
    </row>
    <row r="20" spans="2:26" ht="18.75" x14ac:dyDescent="0.3">
      <c r="B20" s="163" t="s">
        <v>37</v>
      </c>
      <c r="C20" s="169">
        <f>Table_2_Dashboard!D31</f>
        <v>0.7</v>
      </c>
      <c r="D20" s="8"/>
      <c r="E20" s="9" t="s">
        <v>392</v>
      </c>
      <c r="F20" s="10" t="s">
        <v>20</v>
      </c>
      <c r="G20" s="11">
        <v>18</v>
      </c>
      <c r="H20" s="40"/>
      <c r="I20" s="29">
        <f t="shared" si="15"/>
        <v>99487.130129076264</v>
      </c>
      <c r="J20" s="32"/>
      <c r="K20" s="31">
        <f t="shared" si="1"/>
        <v>99487.130129076264</v>
      </c>
      <c r="L20" s="29">
        <f t="shared" si="8"/>
        <v>19.306107747004642</v>
      </c>
      <c r="M20" s="34"/>
      <c r="N20" s="30">
        <f t="shared" si="2"/>
        <v>4.8265269367511605</v>
      </c>
      <c r="O20" s="30">
        <f>L20*(1-$C$10)*Table_2_Dashboard!G22</f>
        <v>0</v>
      </c>
      <c r="P20" s="31">
        <f t="shared" si="10"/>
        <v>14.479580810253481</v>
      </c>
      <c r="Q20" s="29">
        <f t="shared" si="11"/>
        <v>190.24701866307123</v>
      </c>
      <c r="R20" s="30">
        <f t="shared" si="12"/>
        <v>6.4353692490015471</v>
      </c>
      <c r="S20" s="30">
        <f t="shared" si="3"/>
        <v>13.589072761647945</v>
      </c>
      <c r="T20" s="30">
        <f>Q20*(1-$C$11)*Table_2_Dashboard!G22</f>
        <v>0</v>
      </c>
      <c r="U20" s="30">
        <f t="shared" si="4"/>
        <v>9.8041898597827117</v>
      </c>
      <c r="V20" s="31">
        <f t="shared" si="5"/>
        <v>173.28912529064212</v>
      </c>
      <c r="W20" s="29">
        <f t="shared" si="13"/>
        <v>157.66198875506601</v>
      </c>
      <c r="X20" s="30">
        <f t="shared" si="14"/>
        <v>14.795469417258065</v>
      </c>
      <c r="Y20" s="165">
        <f t="shared" si="6"/>
        <v>172.45745817232407</v>
      </c>
      <c r="Z20" s="41">
        <f t="shared" si="7"/>
        <v>187.7687061008956</v>
      </c>
    </row>
    <row r="21" spans="2:26" ht="18.75" x14ac:dyDescent="0.3">
      <c r="B21" s="163" t="s">
        <v>38</v>
      </c>
      <c r="C21" s="102">
        <f>(((C15)*(1-C20))+(1-C15))</f>
        <v>0.7137</v>
      </c>
      <c r="D21" s="8"/>
      <c r="E21" s="9" t="s">
        <v>393</v>
      </c>
      <c r="F21" s="10" t="s">
        <v>21</v>
      </c>
      <c r="G21" s="11">
        <v>19</v>
      </c>
      <c r="H21" s="40"/>
      <c r="I21" s="29">
        <f t="shared" si="15"/>
        <v>99487.130129076264</v>
      </c>
      <c r="J21" s="32"/>
      <c r="K21" s="31">
        <f t="shared" si="1"/>
        <v>99487.130129076264</v>
      </c>
      <c r="L21" s="29">
        <f t="shared" si="8"/>
        <v>14.479580810253481</v>
      </c>
      <c r="M21" s="34"/>
      <c r="N21" s="30">
        <f t="shared" si="2"/>
        <v>3.6198952025633702</v>
      </c>
      <c r="O21" s="30">
        <f>L21*(1-$C$10)*Table_2_Dashboard!G23</f>
        <v>0</v>
      </c>
      <c r="P21" s="31">
        <f t="shared" si="10"/>
        <v>10.85968560769011</v>
      </c>
      <c r="Q21" s="29">
        <f t="shared" si="11"/>
        <v>173.28912529064212</v>
      </c>
      <c r="R21" s="30">
        <f t="shared" si="12"/>
        <v>4.8265269367511605</v>
      </c>
      <c r="S21" s="30">
        <f t="shared" si="3"/>
        <v>12.377794663617294</v>
      </c>
      <c r="T21" s="30">
        <f>Q21*(1-$C$11)*Table_2_Dashboard!G23</f>
        <v>0</v>
      </c>
      <c r="U21" s="30">
        <f t="shared" si="4"/>
        <v>8.9302817827279508</v>
      </c>
      <c r="V21" s="31">
        <f t="shared" si="5"/>
        <v>156.80757578104803</v>
      </c>
      <c r="W21" s="29">
        <f t="shared" si="13"/>
        <v>172.45745817232407</v>
      </c>
      <c r="X21" s="30">
        <f t="shared" si="14"/>
        <v>13.589072761647945</v>
      </c>
      <c r="Y21" s="165">
        <f t="shared" si="6"/>
        <v>186.04653093397201</v>
      </c>
      <c r="Z21" s="41">
        <f t="shared" si="7"/>
        <v>167.66726138873815</v>
      </c>
    </row>
    <row r="22" spans="2:26" ht="16.5" x14ac:dyDescent="0.3">
      <c r="B22" s="168"/>
      <c r="C22" s="171"/>
      <c r="D22" s="8"/>
      <c r="E22" s="9" t="s">
        <v>394</v>
      </c>
      <c r="F22" s="10" t="s">
        <v>22</v>
      </c>
      <c r="G22" s="11">
        <v>20</v>
      </c>
      <c r="H22" s="40"/>
      <c r="I22" s="29">
        <f t="shared" si="15"/>
        <v>99487.130129076264</v>
      </c>
      <c r="J22" s="32"/>
      <c r="K22" s="31">
        <f t="shared" si="1"/>
        <v>99487.130129076264</v>
      </c>
      <c r="L22" s="29">
        <f t="shared" si="8"/>
        <v>10.85968560769011</v>
      </c>
      <c r="M22" s="34"/>
      <c r="N22" s="30">
        <f t="shared" si="2"/>
        <v>2.7149214019225276</v>
      </c>
      <c r="O22" s="30">
        <f>L22*(1-$C$10)*Table_2_Dashboard!G24</f>
        <v>0</v>
      </c>
      <c r="P22" s="31">
        <f t="shared" si="10"/>
        <v>8.1447642057675829</v>
      </c>
      <c r="Q22" s="29">
        <f t="shared" si="11"/>
        <v>156.80757578104803</v>
      </c>
      <c r="R22" s="30">
        <f t="shared" si="12"/>
        <v>3.6198952025633702</v>
      </c>
      <c r="S22" s="30">
        <f t="shared" si="3"/>
        <v>11.200541127217717</v>
      </c>
      <c r="T22" s="30">
        <f>Q22*(1-$C$11)*Table_2_Dashboard!G24</f>
        <v>0</v>
      </c>
      <c r="U22" s="30">
        <f t="shared" si="4"/>
        <v>8.0809216103005284</v>
      </c>
      <c r="V22" s="31">
        <f t="shared" si="5"/>
        <v>141.14600824609315</v>
      </c>
      <c r="W22" s="29">
        <f t="shared" si="13"/>
        <v>186.04653093397201</v>
      </c>
      <c r="X22" s="30">
        <f t="shared" si="14"/>
        <v>12.377794663617294</v>
      </c>
      <c r="Y22" s="165">
        <f t="shared" si="6"/>
        <v>198.4243255975893</v>
      </c>
      <c r="Z22" s="41">
        <f>P22+V22</f>
        <v>149.29077245186073</v>
      </c>
    </row>
    <row r="23" spans="2:26" ht="16.5" x14ac:dyDescent="0.3">
      <c r="B23" s="168"/>
      <c r="C23" s="171"/>
      <c r="D23" s="8"/>
      <c r="E23" s="9" t="s">
        <v>395</v>
      </c>
      <c r="F23" s="10" t="s">
        <v>13</v>
      </c>
      <c r="G23" s="11">
        <v>21</v>
      </c>
      <c r="H23" s="40"/>
      <c r="I23" s="29">
        <f t="shared" si="15"/>
        <v>99487.130129076264</v>
      </c>
      <c r="J23" s="32"/>
      <c r="K23" s="31">
        <f t="shared" si="1"/>
        <v>99487.130129076264</v>
      </c>
      <c r="L23" s="29">
        <f t="shared" si="8"/>
        <v>8.1447642057675829</v>
      </c>
      <c r="M23" s="34"/>
      <c r="N23" s="30">
        <f t="shared" si="2"/>
        <v>2.0361910514418957</v>
      </c>
      <c r="O23" s="30">
        <f>L23*(1-$C$10)*Table_2_Dashboard!G25</f>
        <v>0</v>
      </c>
      <c r="P23" s="31">
        <f t="shared" si="10"/>
        <v>6.1085731543256871</v>
      </c>
      <c r="Q23" s="29">
        <f t="shared" si="11"/>
        <v>141.14600824609315</v>
      </c>
      <c r="R23" s="30">
        <f t="shared" si="12"/>
        <v>2.7149214019225276</v>
      </c>
      <c r="S23" s="30">
        <f t="shared" si="3"/>
        <v>10.081857731863796</v>
      </c>
      <c r="T23" s="30">
        <f>Q23*(1-$C$11)*Table_2_Dashboard!G25</f>
        <v>0</v>
      </c>
      <c r="U23" s="30">
        <f t="shared" si="4"/>
        <v>7.2738183889541643</v>
      </c>
      <c r="V23" s="31">
        <f t="shared" si="5"/>
        <v>126.50525352719771</v>
      </c>
      <c r="W23" s="29">
        <f t="shared" si="13"/>
        <v>198.4243255975893</v>
      </c>
      <c r="X23" s="30">
        <f t="shared" si="14"/>
        <v>11.200541127217717</v>
      </c>
      <c r="Y23" s="165">
        <f t="shared" si="6"/>
        <v>209.62486672480702</v>
      </c>
      <c r="Z23" s="41">
        <f t="shared" si="7"/>
        <v>132.61382668152339</v>
      </c>
    </row>
    <row r="24" spans="2:26" ht="17.25" thickBot="1" x14ac:dyDescent="0.35">
      <c r="B24" s="172"/>
      <c r="C24" s="173"/>
      <c r="D24" s="8"/>
      <c r="E24" s="20" t="s">
        <v>396</v>
      </c>
      <c r="F24" s="21" t="s">
        <v>23</v>
      </c>
      <c r="G24" s="22">
        <v>22</v>
      </c>
      <c r="H24" s="40"/>
      <c r="I24" s="35">
        <f>K23</f>
        <v>99487.130129076264</v>
      </c>
      <c r="J24" s="36"/>
      <c r="K24" s="37">
        <f t="shared" si="1"/>
        <v>99487.130129076264</v>
      </c>
      <c r="L24" s="35">
        <f t="shared" si="8"/>
        <v>6.1085731543256871</v>
      </c>
      <c r="M24" s="36"/>
      <c r="N24" s="38">
        <f t="shared" si="2"/>
        <v>1.5271432885814218</v>
      </c>
      <c r="O24" s="38">
        <f>L24*(1-$C$10)*Table_2_Dashboard!G26</f>
        <v>0</v>
      </c>
      <c r="P24" s="37">
        <f t="shared" si="10"/>
        <v>4.5814298657442656</v>
      </c>
      <c r="Q24" s="29">
        <f t="shared" si="11"/>
        <v>126.50525352719771</v>
      </c>
      <c r="R24" s="38">
        <f t="shared" si="12"/>
        <v>2.0361910514418957</v>
      </c>
      <c r="S24" s="38">
        <f t="shared" si="3"/>
        <v>9.036089537656979</v>
      </c>
      <c r="T24" s="38">
        <f>Q24*(1-$C$11)*Table_2_Dashboard!G26</f>
        <v>0</v>
      </c>
      <c r="U24" s="38">
        <f t="shared" si="4"/>
        <v>6.5193217352706059</v>
      </c>
      <c r="V24" s="37">
        <f t="shared" si="5"/>
        <v>112.98603330571203</v>
      </c>
      <c r="W24" s="29">
        <f t="shared" si="13"/>
        <v>209.62486672480702</v>
      </c>
      <c r="X24" s="30">
        <f t="shared" si="14"/>
        <v>10.081857731863796</v>
      </c>
      <c r="Y24" s="165">
        <f t="shared" si="6"/>
        <v>219.70672445667083</v>
      </c>
      <c r="Z24" s="42">
        <f t="shared" si="7"/>
        <v>117.5674631714563</v>
      </c>
    </row>
    <row r="25" spans="2:26" ht="4.9000000000000004" customHeight="1" thickBot="1" x14ac:dyDescent="0.35">
      <c r="B25" s="23"/>
      <c r="C25" s="24"/>
      <c r="D25" s="8"/>
      <c r="E25" s="12"/>
      <c r="F25" s="12"/>
      <c r="G25" s="12"/>
      <c r="H25" s="12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2:26" ht="16.149999999999999" customHeight="1" thickBot="1" x14ac:dyDescent="0.35">
      <c r="B26" s="189">
        <v>1</v>
      </c>
      <c r="C26" s="191"/>
      <c r="D26" s="6"/>
      <c r="E26" s="189">
        <v>2</v>
      </c>
      <c r="F26" s="190"/>
      <c r="G26" s="191"/>
      <c r="H26" s="6"/>
      <c r="I26" s="189">
        <v>3</v>
      </c>
      <c r="J26" s="190"/>
      <c r="K26" s="191"/>
      <c r="L26" s="189">
        <v>4</v>
      </c>
      <c r="M26" s="190"/>
      <c r="N26" s="190"/>
      <c r="O26" s="190"/>
      <c r="P26" s="191"/>
      <c r="Q26" s="189">
        <v>5</v>
      </c>
      <c r="R26" s="190"/>
      <c r="S26" s="190"/>
      <c r="T26" s="190"/>
      <c r="U26" s="190"/>
      <c r="V26" s="191"/>
      <c r="W26" s="189">
        <v>6</v>
      </c>
      <c r="X26" s="190"/>
      <c r="Y26" s="191"/>
      <c r="Z26" s="26">
        <v>7</v>
      </c>
    </row>
    <row r="27" spans="2:26" ht="34.9" customHeight="1" x14ac:dyDescent="0.25"/>
  </sheetData>
  <mergeCells count="6">
    <mergeCell ref="W26:Y26"/>
    <mergeCell ref="B26:C26"/>
    <mergeCell ref="E26:G26"/>
    <mergeCell ref="I26:K26"/>
    <mergeCell ref="L26:P26"/>
    <mergeCell ref="Q26:V2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DFE8-2040-4F02-8E2E-5164331530F3}">
  <dimension ref="B1:Z27"/>
  <sheetViews>
    <sheetView workbookViewId="0">
      <selection sqref="A1:XFD1048576"/>
    </sheetView>
  </sheetViews>
  <sheetFormatPr defaultRowHeight="15.75" x14ac:dyDescent="0.25"/>
  <cols>
    <col min="1" max="1" width="1.85546875" style="1" customWidth="1"/>
    <col min="2" max="2" width="4.85546875" style="3" customWidth="1"/>
    <col min="3" max="3" width="11.28515625" style="2" customWidth="1"/>
    <col min="4" max="4" width="2.7109375" style="1" customWidth="1"/>
    <col min="5" max="5" width="6" style="2" bestFit="1" customWidth="1"/>
    <col min="6" max="6" width="10.85546875" style="2" bestFit="1" customWidth="1"/>
    <col min="7" max="7" width="3" style="2" bestFit="1" customWidth="1"/>
    <col min="8" max="8" width="1.42578125" style="2" customWidth="1"/>
    <col min="9" max="9" width="9" style="2" bestFit="1" customWidth="1"/>
    <col min="10" max="10" width="12.140625" style="2" bestFit="1" customWidth="1"/>
    <col min="11" max="11" width="8.85546875" style="1" bestFit="1" customWidth="1"/>
    <col min="12" max="12" width="9.140625" style="1" bestFit="1" customWidth="1"/>
    <col min="13" max="13" width="12.140625" style="1" bestFit="1" customWidth="1"/>
    <col min="14" max="14" width="10.7109375" style="1" bestFit="1" customWidth="1"/>
    <col min="15" max="15" width="14.140625" style="1" bestFit="1" customWidth="1"/>
    <col min="16" max="16" width="6" style="1" bestFit="1" customWidth="1"/>
    <col min="17" max="17" width="8.140625" style="1" bestFit="1" customWidth="1"/>
    <col min="18" max="18" width="10.7109375" style="1" bestFit="1" customWidth="1"/>
    <col min="19" max="19" width="9.85546875" style="1" bestFit="1" customWidth="1"/>
    <col min="20" max="20" width="13.42578125" style="1" bestFit="1" customWidth="1"/>
    <col min="21" max="21" width="15.140625" style="1" bestFit="1" customWidth="1"/>
    <col min="22" max="22" width="5.42578125" style="1" bestFit="1" customWidth="1"/>
    <col min="23" max="23" width="9.28515625" style="1" bestFit="1" customWidth="1"/>
    <col min="24" max="24" width="9.85546875" style="1" bestFit="1" customWidth="1"/>
    <col min="25" max="25" width="6.140625" style="1" bestFit="1" customWidth="1"/>
    <col min="26" max="26" width="8.42578125" style="1" bestFit="1" customWidth="1"/>
    <col min="27" max="16384" width="9.140625" style="1"/>
  </cols>
  <sheetData>
    <row r="1" spans="2:26" ht="6.6" customHeight="1" thickBot="1" x14ac:dyDescent="0.3"/>
    <row r="2" spans="2:26" ht="21.75" x14ac:dyDescent="0.4">
      <c r="B2" s="180" t="s">
        <v>39</v>
      </c>
      <c r="C2" s="181" t="s">
        <v>0</v>
      </c>
      <c r="D2" s="5"/>
      <c r="E2" s="182" t="s">
        <v>469</v>
      </c>
      <c r="F2" s="183" t="s">
        <v>470</v>
      </c>
      <c r="G2" s="184" t="s">
        <v>468</v>
      </c>
      <c r="H2" s="6"/>
      <c r="I2" s="174" t="s">
        <v>586</v>
      </c>
      <c r="J2" s="175" t="s">
        <v>587</v>
      </c>
      <c r="K2" s="176" t="s">
        <v>588</v>
      </c>
      <c r="L2" s="174" t="s">
        <v>589</v>
      </c>
      <c r="M2" s="177" t="s">
        <v>587</v>
      </c>
      <c r="N2" s="177" t="s">
        <v>590</v>
      </c>
      <c r="O2" s="177" t="s">
        <v>591</v>
      </c>
      <c r="P2" s="176" t="s">
        <v>592</v>
      </c>
      <c r="Q2" s="178" t="s">
        <v>593</v>
      </c>
      <c r="R2" s="177" t="s">
        <v>590</v>
      </c>
      <c r="S2" s="177" t="s">
        <v>577</v>
      </c>
      <c r="T2" s="177" t="s">
        <v>594</v>
      </c>
      <c r="U2" s="177" t="s">
        <v>595</v>
      </c>
      <c r="V2" s="176" t="s">
        <v>596</v>
      </c>
      <c r="W2" s="174" t="s">
        <v>597</v>
      </c>
      <c r="X2" s="177" t="s">
        <v>577</v>
      </c>
      <c r="Y2" s="176" t="s">
        <v>598</v>
      </c>
      <c r="Z2" s="179" t="s">
        <v>574</v>
      </c>
    </row>
    <row r="3" spans="2:26" ht="18.75" x14ac:dyDescent="0.3">
      <c r="B3" s="163" t="s">
        <v>24</v>
      </c>
      <c r="C3" s="164">
        <f>Table_2_Dashboard!D5</f>
        <v>100000</v>
      </c>
      <c r="D3" s="8"/>
      <c r="E3" s="9" t="s">
        <v>1</v>
      </c>
      <c r="F3" s="10" t="s">
        <v>2</v>
      </c>
      <c r="G3" s="11">
        <v>1</v>
      </c>
      <c r="H3" s="40"/>
      <c r="I3" s="29">
        <f>C3-L3-Q3-W3</f>
        <v>99995.381504999998</v>
      </c>
      <c r="J3" s="30">
        <f>I3*$C$14*$C$19</f>
        <v>4.6182816950393493</v>
      </c>
      <c r="K3" s="31">
        <f>I3-J3</f>
        <v>99990.763223304952</v>
      </c>
      <c r="L3" s="29">
        <f>C3*$C$14*$C$19*0.5</f>
        <v>2.3092474999999997</v>
      </c>
      <c r="M3" s="30">
        <v>0</v>
      </c>
      <c r="N3" s="30">
        <f>L3*$C$6</f>
        <v>0.57731187499999992</v>
      </c>
      <c r="O3" s="32"/>
      <c r="P3" s="31">
        <f>L3+M3-N3-O3</f>
        <v>1.7319356249999998</v>
      </c>
      <c r="Q3" s="29">
        <f>C3*$C$14*$C$19*0.5</f>
        <v>2.3092474999999997</v>
      </c>
      <c r="R3" s="30">
        <v>0</v>
      </c>
      <c r="S3" s="30">
        <f>Q3*$C$8</f>
        <v>0.16494624999999996</v>
      </c>
      <c r="T3" s="32"/>
      <c r="U3" s="30">
        <f>Q3*$C$9*(1-$C$21)</f>
        <v>5.571983292749999E-2</v>
      </c>
      <c r="V3" s="31">
        <f>Q3+R3-S3-T3-U3</f>
        <v>2.0885814170724997</v>
      </c>
      <c r="W3" s="29">
        <v>0</v>
      </c>
      <c r="X3" s="30">
        <v>0</v>
      </c>
      <c r="Y3" s="165">
        <f>W3+X3</f>
        <v>0</v>
      </c>
      <c r="Z3" s="41">
        <f>P3+V3</f>
        <v>3.8205170420724994</v>
      </c>
    </row>
    <row r="4" spans="2:26" ht="18.75" x14ac:dyDescent="0.3">
      <c r="B4" s="163" t="s">
        <v>25</v>
      </c>
      <c r="C4" s="166">
        <f>C14*2</f>
        <v>9.7999999999999997E-5</v>
      </c>
      <c r="D4" s="8"/>
      <c r="E4" s="9" t="s">
        <v>1</v>
      </c>
      <c r="F4" s="10" t="s">
        <v>2</v>
      </c>
      <c r="G4" s="11">
        <v>2</v>
      </c>
      <c r="H4" s="40"/>
      <c r="I4" s="29">
        <f>K3</f>
        <v>99990.763223304952</v>
      </c>
      <c r="J4" s="30">
        <f t="shared" ref="J4:J8" si="0">I4*$C$14*$C$19</f>
        <v>4.6180683999301779</v>
      </c>
      <c r="K4" s="31">
        <f t="shared" ref="K4:K24" si="1">I4-J4</f>
        <v>99986.145154905025</v>
      </c>
      <c r="L4" s="29">
        <f>P3</f>
        <v>1.7319356249999998</v>
      </c>
      <c r="M4" s="30">
        <f>J3</f>
        <v>4.6182816950393493</v>
      </c>
      <c r="N4" s="30">
        <f t="shared" ref="N4:N24" si="2">L4*$C$6</f>
        <v>0.43298390624999994</v>
      </c>
      <c r="O4" s="32"/>
      <c r="P4" s="31">
        <f>L4+M4-N4-O4</f>
        <v>5.917233413789349</v>
      </c>
      <c r="Q4" s="29">
        <f>V3</f>
        <v>2.0885814170724997</v>
      </c>
      <c r="R4" s="30">
        <f>N3</f>
        <v>0.57731187499999992</v>
      </c>
      <c r="S4" s="30">
        <f t="shared" ref="S4:S24" si="3">Q4*$C$8</f>
        <v>0.14918438693374997</v>
      </c>
      <c r="T4" s="32"/>
      <c r="U4" s="30">
        <f t="shared" ref="U4:U24" si="4">Q4*$C$9*(1-$C$21)</f>
        <v>5.0395381012542345E-2</v>
      </c>
      <c r="V4" s="31">
        <f t="shared" ref="V4:V24" si="5">Q4+R4-S4-T4-U4</f>
        <v>2.4663135241262073</v>
      </c>
      <c r="W4" s="29">
        <f>Y3</f>
        <v>0</v>
      </c>
      <c r="X4" s="30">
        <f>S3</f>
        <v>0.16494624999999996</v>
      </c>
      <c r="Y4" s="165">
        <f t="shared" ref="Y4:Y24" si="6">W4+X4</f>
        <v>0.16494624999999996</v>
      </c>
      <c r="Z4" s="41">
        <f t="shared" ref="Z4:Z24" si="7">P4+V4</f>
        <v>8.3835469379155558</v>
      </c>
    </row>
    <row r="5" spans="2:26" ht="18.75" x14ac:dyDescent="0.3">
      <c r="B5" s="163" t="s">
        <v>28</v>
      </c>
      <c r="C5" s="164">
        <f>Table_2_Dashboard!D6</f>
        <v>4</v>
      </c>
      <c r="D5" s="8"/>
      <c r="E5" s="9" t="s">
        <v>3</v>
      </c>
      <c r="F5" s="10" t="s">
        <v>4</v>
      </c>
      <c r="G5" s="11">
        <v>3</v>
      </c>
      <c r="H5" s="40"/>
      <c r="I5" s="29">
        <f>K4</f>
        <v>99986.145154905025</v>
      </c>
      <c r="J5" s="30">
        <f t="shared" si="0"/>
        <v>4.6178551146720306</v>
      </c>
      <c r="K5" s="31">
        <f t="shared" si="1"/>
        <v>99981.527299790352</v>
      </c>
      <c r="L5" s="29">
        <f t="shared" ref="L5:L24" si="8">P4</f>
        <v>5.917233413789349</v>
      </c>
      <c r="M5" s="30">
        <f t="shared" ref="M5:M10" si="9">J4</f>
        <v>4.6180683999301779</v>
      </c>
      <c r="N5" s="30">
        <f t="shared" si="2"/>
        <v>1.4793083534473372</v>
      </c>
      <c r="O5" s="30">
        <f>L5*(1-$C$10)*Table_2_Dashboard!G7</f>
        <v>0</v>
      </c>
      <c r="P5" s="31">
        <f t="shared" ref="P5:P24" si="10">L5+M5-N5-O5</f>
        <v>9.055993460272191</v>
      </c>
      <c r="Q5" s="29">
        <f t="shared" ref="Q5:Q24" si="11">V4</f>
        <v>2.4663135241262073</v>
      </c>
      <c r="R5" s="30">
        <f t="shared" ref="R5:R24" si="12">N4</f>
        <v>0.43298390624999994</v>
      </c>
      <c r="S5" s="30">
        <f t="shared" si="3"/>
        <v>0.17616525172330053</v>
      </c>
      <c r="T5" s="30">
        <f>Q5*(1-$C$11)*Table_2_Dashboard!G7</f>
        <v>0</v>
      </c>
      <c r="U5" s="30">
        <f t="shared" si="4"/>
        <v>5.9509679023641252E-2</v>
      </c>
      <c r="V5" s="31">
        <f t="shared" si="5"/>
        <v>2.6636224996292657</v>
      </c>
      <c r="W5" s="29">
        <f t="shared" ref="W5:W24" si="13">Y4</f>
        <v>0.16494624999999996</v>
      </c>
      <c r="X5" s="30">
        <f t="shared" ref="X5:X24" si="14">S4</f>
        <v>0.14918438693374997</v>
      </c>
      <c r="Y5" s="165">
        <f>W5+X5</f>
        <v>0.31413063693374993</v>
      </c>
      <c r="Z5" s="41">
        <f t="shared" si="7"/>
        <v>11.719615959901457</v>
      </c>
    </row>
    <row r="6" spans="2:26" ht="18.75" x14ac:dyDescent="0.3">
      <c r="B6" s="163" t="s">
        <v>26</v>
      </c>
      <c r="C6" s="167">
        <f>1/C5</f>
        <v>0.25</v>
      </c>
      <c r="D6" s="8"/>
      <c r="E6" s="9" t="s">
        <v>5</v>
      </c>
      <c r="F6" s="10" t="s">
        <v>6</v>
      </c>
      <c r="G6" s="11">
        <v>4</v>
      </c>
      <c r="H6" s="40"/>
      <c r="I6" s="29">
        <f t="shared" ref="I6:I23" si="15">K5</f>
        <v>99981.527299790352</v>
      </c>
      <c r="J6" s="30">
        <f t="shared" si="0"/>
        <v>4.6176418392644525</v>
      </c>
      <c r="K6" s="31">
        <f t="shared" si="1"/>
        <v>99976.909657951081</v>
      </c>
      <c r="L6" s="29">
        <f t="shared" si="8"/>
        <v>9.055993460272191</v>
      </c>
      <c r="M6" s="30">
        <f t="shared" si="9"/>
        <v>4.6178551146720306</v>
      </c>
      <c r="N6" s="30">
        <f t="shared" si="2"/>
        <v>2.2639983650680477</v>
      </c>
      <c r="O6" s="30">
        <f>L6*(1-$C$10)*Table_2_Dashboard!G8</f>
        <v>0</v>
      </c>
      <c r="P6" s="31">
        <f t="shared" si="10"/>
        <v>11.409850209876174</v>
      </c>
      <c r="Q6" s="29">
        <f t="shared" si="11"/>
        <v>2.6636224996292657</v>
      </c>
      <c r="R6" s="30">
        <f t="shared" si="12"/>
        <v>1.4793083534473372</v>
      </c>
      <c r="S6" s="30">
        <f t="shared" si="3"/>
        <v>0.19025874997351896</v>
      </c>
      <c r="T6" s="30">
        <f>Q6*(1-$C$11)*Table_2_Dashboard!G8</f>
        <v>0</v>
      </c>
      <c r="U6" s="30">
        <f t="shared" si="4"/>
        <v>6.4270547293554553E-2</v>
      </c>
      <c r="V6" s="31">
        <f t="shared" si="5"/>
        <v>3.8884015558095295</v>
      </c>
      <c r="W6" s="29">
        <f t="shared" si="13"/>
        <v>0.31413063693374993</v>
      </c>
      <c r="X6" s="30">
        <f t="shared" si="14"/>
        <v>0.17616525172330053</v>
      </c>
      <c r="Y6" s="165">
        <f t="shared" si="6"/>
        <v>0.49029588865705043</v>
      </c>
      <c r="Z6" s="41">
        <f t="shared" si="7"/>
        <v>15.298251765685704</v>
      </c>
    </row>
    <row r="7" spans="2:26" ht="18.75" x14ac:dyDescent="0.3">
      <c r="B7" s="163" t="s">
        <v>29</v>
      </c>
      <c r="C7" s="164">
        <f>Table_2_Dashboard!D8</f>
        <v>14</v>
      </c>
      <c r="D7" s="8"/>
      <c r="E7" s="9" t="s">
        <v>5</v>
      </c>
      <c r="F7" s="10" t="s">
        <v>7</v>
      </c>
      <c r="G7" s="11">
        <v>5</v>
      </c>
      <c r="H7" s="40"/>
      <c r="I7" s="29">
        <f t="shared" si="15"/>
        <v>99976.909657951081</v>
      </c>
      <c r="J7" s="30">
        <f t="shared" si="0"/>
        <v>4.6174285737069871</v>
      </c>
      <c r="K7" s="31">
        <f t="shared" si="1"/>
        <v>99972.292229377374</v>
      </c>
      <c r="L7" s="29">
        <f t="shared" si="8"/>
        <v>11.409850209876174</v>
      </c>
      <c r="M7" s="30">
        <f t="shared" si="9"/>
        <v>4.6176418392644525</v>
      </c>
      <c r="N7" s="30">
        <f t="shared" si="2"/>
        <v>2.8524625524690435</v>
      </c>
      <c r="O7" s="30">
        <f>L7*(1-$C$10)*Table_2_Dashboard!G9</f>
        <v>0</v>
      </c>
      <c r="P7" s="31">
        <f t="shared" si="10"/>
        <v>13.175029496671582</v>
      </c>
      <c r="Q7" s="29">
        <f t="shared" si="11"/>
        <v>3.8884015558095295</v>
      </c>
      <c r="R7" s="30">
        <f t="shared" si="12"/>
        <v>2.2639983650680477</v>
      </c>
      <c r="S7" s="30">
        <f t="shared" si="3"/>
        <v>0.27774296827210926</v>
      </c>
      <c r="T7" s="30">
        <f>Q7*(1-$C$11)*Table_2_Dashboard!G9</f>
        <v>0</v>
      </c>
      <c r="U7" s="30">
        <f>Q7*$C$9*(1-$C$21)</f>
        <v>9.3823241140128133E-2</v>
      </c>
      <c r="V7" s="31">
        <f t="shared" si="5"/>
        <v>5.7808337114653403</v>
      </c>
      <c r="W7" s="29">
        <f t="shared" si="13"/>
        <v>0.49029588865705043</v>
      </c>
      <c r="X7" s="30">
        <f t="shared" si="14"/>
        <v>0.19025874997351896</v>
      </c>
      <c r="Y7" s="165">
        <f t="shared" si="6"/>
        <v>0.68055463863056942</v>
      </c>
      <c r="Z7" s="41">
        <f t="shared" si="7"/>
        <v>18.955863208136922</v>
      </c>
    </row>
    <row r="8" spans="2:26" ht="18.75" x14ac:dyDescent="0.3">
      <c r="B8" s="163" t="s">
        <v>27</v>
      </c>
      <c r="C8" s="167">
        <f>1/C7</f>
        <v>7.1428571428571425E-2</v>
      </c>
      <c r="D8" s="8"/>
      <c r="E8" s="9" t="s">
        <v>467</v>
      </c>
      <c r="F8" s="10" t="s">
        <v>8</v>
      </c>
      <c r="G8" s="11">
        <v>6</v>
      </c>
      <c r="H8" s="40"/>
      <c r="I8" s="29">
        <f t="shared" si="15"/>
        <v>99972.292229377374</v>
      </c>
      <c r="J8" s="30">
        <f t="shared" si="0"/>
        <v>4.6172153179991824</v>
      </c>
      <c r="K8" s="31">
        <f t="shared" si="1"/>
        <v>99967.675014059379</v>
      </c>
      <c r="L8" s="29">
        <f t="shared" si="8"/>
        <v>13.175029496671582</v>
      </c>
      <c r="M8" s="30">
        <f t="shared" si="9"/>
        <v>4.6174285737069871</v>
      </c>
      <c r="N8" s="30">
        <f t="shared" si="2"/>
        <v>3.2937573741678956</v>
      </c>
      <c r="O8" s="30">
        <f>L8*(1-$C$10)*Table_2_Dashboard!G10</f>
        <v>0</v>
      </c>
      <c r="P8" s="31">
        <f t="shared" si="10"/>
        <v>14.498700696210673</v>
      </c>
      <c r="Q8" s="29">
        <f t="shared" si="11"/>
        <v>5.7808337114653403</v>
      </c>
      <c r="R8" s="30">
        <f t="shared" si="12"/>
        <v>2.8524625524690435</v>
      </c>
      <c r="S8" s="30">
        <f t="shared" si="3"/>
        <v>0.41291669367609574</v>
      </c>
      <c r="T8" s="30">
        <f>Q8*(1-$C$11)*Table_2_Dashboard!G10</f>
        <v>0</v>
      </c>
      <c r="U8" s="30">
        <f t="shared" si="4"/>
        <v>0.1394857366239472</v>
      </c>
      <c r="V8" s="31">
        <f t="shared" si="5"/>
        <v>8.0808938336343417</v>
      </c>
      <c r="W8" s="29">
        <f t="shared" si="13"/>
        <v>0.68055463863056942</v>
      </c>
      <c r="X8" s="30">
        <f t="shared" si="14"/>
        <v>0.27774296827210926</v>
      </c>
      <c r="Y8" s="165">
        <f t="shared" si="6"/>
        <v>0.95829760690267873</v>
      </c>
      <c r="Z8" s="41">
        <f t="shared" si="7"/>
        <v>22.579594529845014</v>
      </c>
    </row>
    <row r="9" spans="2:26" ht="18.75" x14ac:dyDescent="0.3">
      <c r="B9" s="163" t="s">
        <v>30</v>
      </c>
      <c r="C9" s="167">
        <f>Table_2_Dashboard!D11</f>
        <v>0.18</v>
      </c>
      <c r="D9" s="8"/>
      <c r="E9" s="9" t="s">
        <v>9</v>
      </c>
      <c r="F9" s="10" t="s">
        <v>10</v>
      </c>
      <c r="G9" s="11">
        <v>7</v>
      </c>
      <c r="H9" s="40"/>
      <c r="I9" s="29">
        <f t="shared" si="15"/>
        <v>99967.675014059379</v>
      </c>
      <c r="J9" s="30">
        <f>I9*$C$4*$C$19</f>
        <v>9.2340041442811636</v>
      </c>
      <c r="K9" s="31">
        <f t="shared" si="1"/>
        <v>99958.441009915099</v>
      </c>
      <c r="L9" s="29">
        <f t="shared" si="8"/>
        <v>14.498700696210673</v>
      </c>
      <c r="M9" s="33">
        <f t="shared" si="9"/>
        <v>4.6172153179991824</v>
      </c>
      <c r="N9" s="30">
        <f t="shared" si="2"/>
        <v>3.6246751740526681</v>
      </c>
      <c r="O9" s="32"/>
      <c r="P9" s="31">
        <f t="shared" si="10"/>
        <v>15.491240840157186</v>
      </c>
      <c r="Q9" s="29">
        <f t="shared" si="11"/>
        <v>8.0808938336343417</v>
      </c>
      <c r="R9" s="30">
        <f t="shared" si="12"/>
        <v>3.2937573741678956</v>
      </c>
      <c r="S9" s="30">
        <f t="shared" si="3"/>
        <v>0.57720670240245298</v>
      </c>
      <c r="T9" s="32"/>
      <c r="U9" s="30">
        <f t="shared" si="4"/>
        <v>0.19498388731176303</v>
      </c>
      <c r="V9" s="31">
        <f t="shared" si="5"/>
        <v>10.602460618088022</v>
      </c>
      <c r="W9" s="29">
        <f t="shared" si="13"/>
        <v>0.95829760690267873</v>
      </c>
      <c r="X9" s="30">
        <f t="shared" si="14"/>
        <v>0.41291669367609574</v>
      </c>
      <c r="Y9" s="165">
        <f t="shared" si="6"/>
        <v>1.3712143005787745</v>
      </c>
      <c r="Z9" s="41">
        <f t="shared" si="7"/>
        <v>26.093701458245206</v>
      </c>
    </row>
    <row r="10" spans="2:26" ht="18.75" x14ac:dyDescent="0.3">
      <c r="B10" s="163" t="s">
        <v>31</v>
      </c>
      <c r="C10" s="167">
        <f>Table_2_Dashboard!D14</f>
        <v>0.84</v>
      </c>
      <c r="D10" s="8"/>
      <c r="E10" s="13" t="s">
        <v>382</v>
      </c>
      <c r="F10" s="14" t="s">
        <v>575</v>
      </c>
      <c r="G10" s="15">
        <v>8</v>
      </c>
      <c r="H10" s="40"/>
      <c r="I10" s="29">
        <f t="shared" si="15"/>
        <v>99958.441009915099</v>
      </c>
      <c r="J10" s="32"/>
      <c r="K10" s="31">
        <f t="shared" si="1"/>
        <v>99958.441009915099</v>
      </c>
      <c r="L10" s="29">
        <f t="shared" si="8"/>
        <v>15.491240840157186</v>
      </c>
      <c r="M10" s="33">
        <f t="shared" si="9"/>
        <v>9.2340041442811636</v>
      </c>
      <c r="N10" s="30">
        <f t="shared" si="2"/>
        <v>3.8728102100392965</v>
      </c>
      <c r="O10" s="30">
        <f>L10*(1-$C$10)*Table_2_Dashboard!G11</f>
        <v>0</v>
      </c>
      <c r="P10" s="31">
        <f>L10+M10-N10-O10</f>
        <v>20.85243477439905</v>
      </c>
      <c r="Q10" s="29">
        <f t="shared" si="11"/>
        <v>10.602460618088022</v>
      </c>
      <c r="R10" s="30">
        <f t="shared" si="12"/>
        <v>3.6246751740526681</v>
      </c>
      <c r="S10" s="30">
        <f t="shared" si="3"/>
        <v>0.75731861557771585</v>
      </c>
      <c r="T10" s="30">
        <f>Q10*(1-$C$11)*Table_2_Dashboard!G11</f>
        <v>0</v>
      </c>
      <c r="U10" s="30">
        <f t="shared" si="4"/>
        <v>0.25582677225384587</v>
      </c>
      <c r="V10" s="31">
        <f t="shared" si="5"/>
        <v>13.213990404309127</v>
      </c>
      <c r="W10" s="29">
        <f t="shared" si="13"/>
        <v>1.3712143005787745</v>
      </c>
      <c r="X10" s="30">
        <f t="shared" si="14"/>
        <v>0.57720670240245298</v>
      </c>
      <c r="Y10" s="165">
        <f t="shared" si="6"/>
        <v>1.9484210029812274</v>
      </c>
      <c r="Z10" s="41">
        <f t="shared" si="7"/>
        <v>34.06642517870818</v>
      </c>
    </row>
    <row r="11" spans="2:26" ht="18.75" x14ac:dyDescent="0.3">
      <c r="B11" s="163" t="s">
        <v>32</v>
      </c>
      <c r="C11" s="167">
        <f>Table_2_Dashboard!D15</f>
        <v>0.28999999999999998</v>
      </c>
      <c r="D11" s="8"/>
      <c r="E11" s="9" t="s">
        <v>383</v>
      </c>
      <c r="F11" s="10" t="s">
        <v>11</v>
      </c>
      <c r="G11" s="11">
        <v>9</v>
      </c>
      <c r="H11" s="40"/>
      <c r="I11" s="29">
        <f t="shared" si="15"/>
        <v>99958.441009915099</v>
      </c>
      <c r="J11" s="32"/>
      <c r="K11" s="31">
        <f t="shared" si="1"/>
        <v>99958.441009915099</v>
      </c>
      <c r="L11" s="29">
        <f>P10</f>
        <v>20.85243477439905</v>
      </c>
      <c r="M11" s="34"/>
      <c r="N11" s="30">
        <f t="shared" si="2"/>
        <v>5.2131086935997626</v>
      </c>
      <c r="O11" s="30">
        <f>L11*(1-$C$10)*Table_2_Dashboard!G13</f>
        <v>0</v>
      </c>
      <c r="P11" s="31">
        <f t="shared" si="10"/>
        <v>15.639326080799288</v>
      </c>
      <c r="Q11" s="29">
        <f t="shared" si="11"/>
        <v>13.213990404309127</v>
      </c>
      <c r="R11" s="30">
        <f t="shared" si="12"/>
        <v>3.8728102100392965</v>
      </c>
      <c r="S11" s="30">
        <f t="shared" si="3"/>
        <v>0.94385645745065194</v>
      </c>
      <c r="T11" s="30">
        <f>Q11*(1-$C$11)*Table_2_Dashboard!G13</f>
        <v>0</v>
      </c>
      <c r="U11" s="30">
        <f t="shared" si="4"/>
        <v>0.31884037446557489</v>
      </c>
      <c r="V11" s="31">
        <f t="shared" si="5"/>
        <v>15.824103782432195</v>
      </c>
      <c r="W11" s="29">
        <f t="shared" si="13"/>
        <v>1.9484210029812274</v>
      </c>
      <c r="X11" s="30">
        <f t="shared" si="14"/>
        <v>0.75731861557771585</v>
      </c>
      <c r="Y11" s="165">
        <f t="shared" si="6"/>
        <v>2.7057396185589431</v>
      </c>
      <c r="Z11" s="41">
        <f t="shared" si="7"/>
        <v>31.463429863231482</v>
      </c>
    </row>
    <row r="12" spans="2:26" ht="16.5" x14ac:dyDescent="0.3">
      <c r="B12" s="168"/>
      <c r="C12" s="169"/>
      <c r="D12" s="8"/>
      <c r="E12" s="9" t="s">
        <v>384</v>
      </c>
      <c r="F12" s="10" t="s">
        <v>12</v>
      </c>
      <c r="G12" s="11">
        <v>10</v>
      </c>
      <c r="H12" s="40"/>
      <c r="I12" s="29">
        <f t="shared" si="15"/>
        <v>99958.441009915099</v>
      </c>
      <c r="J12" s="32"/>
      <c r="K12" s="31">
        <f t="shared" si="1"/>
        <v>99958.441009915099</v>
      </c>
      <c r="L12" s="29">
        <f t="shared" si="8"/>
        <v>15.639326080799288</v>
      </c>
      <c r="M12" s="34"/>
      <c r="N12" s="30">
        <f t="shared" si="2"/>
        <v>3.9098315201998219</v>
      </c>
      <c r="O12" s="30">
        <f>L12*(1-$C$10)*Table_2_Dashboard!G14</f>
        <v>0</v>
      </c>
      <c r="P12" s="31">
        <f t="shared" si="10"/>
        <v>11.729494560599466</v>
      </c>
      <c r="Q12" s="29">
        <f t="shared" si="11"/>
        <v>15.824103782432195</v>
      </c>
      <c r="R12" s="30">
        <f t="shared" si="12"/>
        <v>5.2131086935997626</v>
      </c>
      <c r="S12" s="30">
        <f t="shared" si="3"/>
        <v>1.1302931273165853</v>
      </c>
      <c r="T12" s="30">
        <f>Q12*(1-$C$11)*Table_2_Dashboard!G14</f>
        <v>0</v>
      </c>
      <c r="U12" s="30">
        <f t="shared" si="4"/>
        <v>0.38181980016630646</v>
      </c>
      <c r="V12" s="31">
        <f t="shared" si="5"/>
        <v>19.525099548549068</v>
      </c>
      <c r="W12" s="29">
        <f t="shared" si="13"/>
        <v>2.7057396185589431</v>
      </c>
      <c r="X12" s="30">
        <f t="shared" si="14"/>
        <v>0.94385645745065194</v>
      </c>
      <c r="Y12" s="165">
        <f t="shared" si="6"/>
        <v>3.6495960760095949</v>
      </c>
      <c r="Z12" s="41">
        <f t="shared" si="7"/>
        <v>31.254594109148535</v>
      </c>
    </row>
    <row r="13" spans="2:26" ht="16.5" x14ac:dyDescent="0.3">
      <c r="B13" s="185" t="s">
        <v>40</v>
      </c>
      <c r="C13" s="186" t="s">
        <v>0</v>
      </c>
      <c r="D13" s="8"/>
      <c r="E13" s="9" t="s">
        <v>385</v>
      </c>
      <c r="F13" s="10" t="s">
        <v>13</v>
      </c>
      <c r="G13" s="11">
        <v>11</v>
      </c>
      <c r="H13" s="40"/>
      <c r="I13" s="29">
        <f t="shared" si="15"/>
        <v>99958.441009915099</v>
      </c>
      <c r="J13" s="32"/>
      <c r="K13" s="31">
        <f t="shared" si="1"/>
        <v>99958.441009915099</v>
      </c>
      <c r="L13" s="29">
        <f t="shared" si="8"/>
        <v>11.729494560599466</v>
      </c>
      <c r="M13" s="34"/>
      <c r="N13" s="30">
        <f t="shared" si="2"/>
        <v>2.9323736401498666</v>
      </c>
      <c r="O13" s="30">
        <f>L13*(1-$C$10)*Table_2_Dashboard!G15</f>
        <v>0</v>
      </c>
      <c r="P13" s="31">
        <f t="shared" si="10"/>
        <v>8.7971209204496006</v>
      </c>
      <c r="Q13" s="29">
        <f t="shared" si="11"/>
        <v>19.525099548549068</v>
      </c>
      <c r="R13" s="30">
        <f t="shared" si="12"/>
        <v>3.9098315201998219</v>
      </c>
      <c r="S13" s="30">
        <f t="shared" si="3"/>
        <v>1.3946499677535049</v>
      </c>
      <c r="T13" s="30">
        <f>Q13*(1-$C$11)*Table_2_Dashboard!G15</f>
        <v>0</v>
      </c>
      <c r="U13" s="30">
        <f t="shared" si="4"/>
        <v>0.47112112700694048</v>
      </c>
      <c r="V13" s="31">
        <f t="shared" si="5"/>
        <v>21.569159973988445</v>
      </c>
      <c r="W13" s="29">
        <f t="shared" si="13"/>
        <v>3.6495960760095949</v>
      </c>
      <c r="X13" s="30">
        <f t="shared" si="14"/>
        <v>1.1302931273165853</v>
      </c>
      <c r="Y13" s="165">
        <f t="shared" si="6"/>
        <v>4.7798892033261797</v>
      </c>
      <c r="Z13" s="41">
        <f t="shared" si="7"/>
        <v>30.366280894438045</v>
      </c>
    </row>
    <row r="14" spans="2:26" ht="18.75" x14ac:dyDescent="0.3">
      <c r="B14" s="163" t="s">
        <v>33</v>
      </c>
      <c r="C14" s="169">
        <f>Table_2_Dashboard!D22</f>
        <v>4.8999999999999998E-5</v>
      </c>
      <c r="D14" s="8"/>
      <c r="E14" s="9" t="s">
        <v>386</v>
      </c>
      <c r="F14" s="10" t="s">
        <v>14</v>
      </c>
      <c r="G14" s="11">
        <v>12</v>
      </c>
      <c r="H14" s="40"/>
      <c r="I14" s="29">
        <f t="shared" si="15"/>
        <v>99958.441009915099</v>
      </c>
      <c r="J14" s="32"/>
      <c r="K14" s="31">
        <f t="shared" si="1"/>
        <v>99958.441009915099</v>
      </c>
      <c r="L14" s="29">
        <f t="shared" si="8"/>
        <v>8.7971209204496006</v>
      </c>
      <c r="M14" s="34"/>
      <c r="N14" s="30">
        <f t="shared" si="2"/>
        <v>2.1992802301124001</v>
      </c>
      <c r="O14" s="30">
        <f>L14*(1-$C$10)*Table_2_Dashboard!G16</f>
        <v>0</v>
      </c>
      <c r="P14" s="31">
        <f t="shared" si="10"/>
        <v>6.5978406903372004</v>
      </c>
      <c r="Q14" s="29">
        <f t="shared" si="11"/>
        <v>21.569159973988445</v>
      </c>
      <c r="R14" s="30">
        <f t="shared" si="12"/>
        <v>2.9323736401498666</v>
      </c>
      <c r="S14" s="30">
        <f t="shared" si="3"/>
        <v>1.5406542838563173</v>
      </c>
      <c r="T14" s="30">
        <f>Q14*(1-$C$11)*Table_2_Dashboard!G16</f>
        <v>0</v>
      </c>
      <c r="U14" s="30">
        <f t="shared" si="4"/>
        <v>0.52044226101236724</v>
      </c>
      <c r="V14" s="31">
        <f t="shared" si="5"/>
        <v>22.440437069269628</v>
      </c>
      <c r="W14" s="29">
        <f t="shared" si="13"/>
        <v>4.7798892033261797</v>
      </c>
      <c r="X14" s="30">
        <f t="shared" si="14"/>
        <v>1.3946499677535049</v>
      </c>
      <c r="Y14" s="165">
        <f t="shared" si="6"/>
        <v>6.1745391710796849</v>
      </c>
      <c r="Z14" s="41">
        <f t="shared" si="7"/>
        <v>29.038277759606828</v>
      </c>
    </row>
    <row r="15" spans="2:26" ht="18.75" x14ac:dyDescent="0.3">
      <c r="B15" s="163" t="s">
        <v>34</v>
      </c>
      <c r="C15" s="170">
        <f>Table_2_Dashboard!D27</f>
        <v>0.19149999999999998</v>
      </c>
      <c r="D15" s="8"/>
      <c r="E15" s="9" t="s">
        <v>387</v>
      </c>
      <c r="F15" s="10" t="s">
        <v>15</v>
      </c>
      <c r="G15" s="11">
        <v>13</v>
      </c>
      <c r="H15" s="40"/>
      <c r="I15" s="29">
        <f t="shared" si="15"/>
        <v>99958.441009915099</v>
      </c>
      <c r="J15" s="32"/>
      <c r="K15" s="31">
        <f t="shared" si="1"/>
        <v>99958.441009915099</v>
      </c>
      <c r="L15" s="29">
        <f t="shared" si="8"/>
        <v>6.5978406903372004</v>
      </c>
      <c r="M15" s="34"/>
      <c r="N15" s="30">
        <f t="shared" si="2"/>
        <v>1.6494601725843001</v>
      </c>
      <c r="O15" s="30">
        <f>L15*(1-$C$10)*Table_2_Dashboard!G17</f>
        <v>0</v>
      </c>
      <c r="P15" s="31">
        <f t="shared" si="10"/>
        <v>4.9483805177529003</v>
      </c>
      <c r="Q15" s="29">
        <f t="shared" si="11"/>
        <v>22.440437069269628</v>
      </c>
      <c r="R15" s="30">
        <f t="shared" si="12"/>
        <v>2.1992802301124001</v>
      </c>
      <c r="S15" s="30">
        <f t="shared" si="3"/>
        <v>1.6028883620906875</v>
      </c>
      <c r="T15" s="30">
        <f>Q15*(1-$C$11)*Table_2_Dashboard!G17</f>
        <v>0</v>
      </c>
      <c r="U15" s="30">
        <f t="shared" si="4"/>
        <v>0.54146530604440679</v>
      </c>
      <c r="V15" s="31">
        <f t="shared" si="5"/>
        <v>22.495363631246931</v>
      </c>
      <c r="W15" s="29">
        <f t="shared" si="13"/>
        <v>6.1745391710796849</v>
      </c>
      <c r="X15" s="30">
        <f t="shared" si="14"/>
        <v>1.5406542838563173</v>
      </c>
      <c r="Y15" s="165">
        <f t="shared" si="6"/>
        <v>7.7151934549360019</v>
      </c>
      <c r="Z15" s="41">
        <f t="shared" si="7"/>
        <v>27.443744148999833</v>
      </c>
    </row>
    <row r="16" spans="2:26" ht="16.5" x14ac:dyDescent="0.3">
      <c r="B16" s="168"/>
      <c r="C16" s="169"/>
      <c r="D16" s="8"/>
      <c r="E16" s="9" t="s">
        <v>388</v>
      </c>
      <c r="F16" s="10" t="s">
        <v>16</v>
      </c>
      <c r="G16" s="11">
        <v>14</v>
      </c>
      <c r="H16" s="40"/>
      <c r="I16" s="29">
        <f t="shared" si="15"/>
        <v>99958.441009915099</v>
      </c>
      <c r="J16" s="32"/>
      <c r="K16" s="31">
        <f t="shared" si="1"/>
        <v>99958.441009915099</v>
      </c>
      <c r="L16" s="29">
        <f t="shared" si="8"/>
        <v>4.9483805177529003</v>
      </c>
      <c r="M16" s="34"/>
      <c r="N16" s="30">
        <f t="shared" si="2"/>
        <v>1.2370951294382251</v>
      </c>
      <c r="O16" s="30">
        <f>L16*(1-$C$10)*Table_2_Dashboard!G18</f>
        <v>0</v>
      </c>
      <c r="P16" s="31">
        <f t="shared" si="10"/>
        <v>3.7112853883146752</v>
      </c>
      <c r="Q16" s="29">
        <f t="shared" si="11"/>
        <v>22.495363631246931</v>
      </c>
      <c r="R16" s="30">
        <f t="shared" si="12"/>
        <v>1.6494601725843001</v>
      </c>
      <c r="S16" s="30">
        <f t="shared" si="3"/>
        <v>1.6068116879462093</v>
      </c>
      <c r="T16" s="30">
        <f>Q16*(1-$C$11)*Table_2_Dashboard!G18</f>
        <v>0</v>
      </c>
      <c r="U16" s="30">
        <f t="shared" si="4"/>
        <v>0.54279062905835718</v>
      </c>
      <c r="V16" s="31">
        <f t="shared" si="5"/>
        <v>21.995221486826665</v>
      </c>
      <c r="W16" s="29">
        <f t="shared" si="13"/>
        <v>7.7151934549360019</v>
      </c>
      <c r="X16" s="30">
        <f t="shared" si="14"/>
        <v>1.6028883620906875</v>
      </c>
      <c r="Y16" s="165">
        <f t="shared" si="6"/>
        <v>9.3180818170266893</v>
      </c>
      <c r="Z16" s="41">
        <f t="shared" si="7"/>
        <v>25.70650687514134</v>
      </c>
    </row>
    <row r="17" spans="2:26" ht="16.5" x14ac:dyDescent="0.3">
      <c r="B17" s="185" t="s">
        <v>41</v>
      </c>
      <c r="C17" s="186" t="s">
        <v>0</v>
      </c>
      <c r="D17" s="8"/>
      <c r="E17" s="9" t="s">
        <v>389</v>
      </c>
      <c r="F17" s="10" t="s">
        <v>17</v>
      </c>
      <c r="G17" s="11">
        <v>15</v>
      </c>
      <c r="H17" s="40"/>
      <c r="I17" s="29">
        <f t="shared" si="15"/>
        <v>99958.441009915099</v>
      </c>
      <c r="J17" s="32"/>
      <c r="K17" s="31">
        <f t="shared" si="1"/>
        <v>99958.441009915099</v>
      </c>
      <c r="L17" s="29">
        <f t="shared" si="8"/>
        <v>3.7112853883146752</v>
      </c>
      <c r="M17" s="34"/>
      <c r="N17" s="30">
        <f t="shared" si="2"/>
        <v>0.92782134707866881</v>
      </c>
      <c r="O17" s="30">
        <f>L17*(1-$C$10)*Table_2_Dashboard!G19</f>
        <v>0</v>
      </c>
      <c r="P17" s="31">
        <f t="shared" si="10"/>
        <v>2.7834640412360065</v>
      </c>
      <c r="Q17" s="29">
        <f t="shared" si="11"/>
        <v>21.995221486826665</v>
      </c>
      <c r="R17" s="30">
        <f t="shared" si="12"/>
        <v>1.2370951294382251</v>
      </c>
      <c r="S17" s="30">
        <f t="shared" si="3"/>
        <v>1.5710872490590475</v>
      </c>
      <c r="T17" s="30">
        <f>Q17*(1-$C$11)*Table_2_Dashboard!G19</f>
        <v>0</v>
      </c>
      <c r="U17" s="30">
        <f t="shared" si="4"/>
        <v>0.53072269925564053</v>
      </c>
      <c r="V17" s="31">
        <f t="shared" si="5"/>
        <v>21.1305066679502</v>
      </c>
      <c r="W17" s="29">
        <f t="shared" si="13"/>
        <v>9.3180818170266893</v>
      </c>
      <c r="X17" s="30">
        <f t="shared" si="14"/>
        <v>1.6068116879462093</v>
      </c>
      <c r="Y17" s="165">
        <f t="shared" si="6"/>
        <v>10.924893504972898</v>
      </c>
      <c r="Z17" s="41">
        <f t="shared" si="7"/>
        <v>23.913970709186206</v>
      </c>
    </row>
    <row r="18" spans="2:26" ht="18.75" x14ac:dyDescent="0.3">
      <c r="B18" s="163" t="s">
        <v>35</v>
      </c>
      <c r="C18" s="169">
        <f>Table_2_Dashboard!D30</f>
        <v>0.3</v>
      </c>
      <c r="D18" s="8"/>
      <c r="E18" s="9" t="s">
        <v>390</v>
      </c>
      <c r="F18" s="10" t="s">
        <v>18</v>
      </c>
      <c r="G18" s="11">
        <v>16</v>
      </c>
      <c r="H18" s="40"/>
      <c r="I18" s="29">
        <f t="shared" si="15"/>
        <v>99958.441009915099</v>
      </c>
      <c r="J18" s="32"/>
      <c r="K18" s="31">
        <f t="shared" si="1"/>
        <v>99958.441009915099</v>
      </c>
      <c r="L18" s="29">
        <f t="shared" si="8"/>
        <v>2.7834640412360065</v>
      </c>
      <c r="M18" s="34"/>
      <c r="N18" s="30">
        <f t="shared" si="2"/>
        <v>0.69586601030900164</v>
      </c>
      <c r="O18" s="30">
        <f>L18*(1-$C$10)*Table_2_Dashboard!G20</f>
        <v>0</v>
      </c>
      <c r="P18" s="31">
        <f t="shared" si="10"/>
        <v>2.0875980309270048</v>
      </c>
      <c r="Q18" s="29">
        <f t="shared" si="11"/>
        <v>21.1305066679502</v>
      </c>
      <c r="R18" s="30">
        <f t="shared" si="12"/>
        <v>0.92782134707866881</v>
      </c>
      <c r="S18" s="30">
        <f t="shared" si="3"/>
        <v>1.5093219048535857</v>
      </c>
      <c r="T18" s="30">
        <f>Q18*(1-$C$11)*Table_2_Dashboard!G20</f>
        <v>0</v>
      </c>
      <c r="U18" s="30">
        <f t="shared" si="4"/>
        <v>0.50985799539097043</v>
      </c>
      <c r="V18" s="31">
        <f t="shared" si="5"/>
        <v>20.039148114784314</v>
      </c>
      <c r="W18" s="29">
        <f t="shared" si="13"/>
        <v>10.924893504972898</v>
      </c>
      <c r="X18" s="30">
        <f t="shared" si="14"/>
        <v>1.5710872490590475</v>
      </c>
      <c r="Y18" s="165">
        <f t="shared" si="6"/>
        <v>12.495980754031946</v>
      </c>
      <c r="Z18" s="41">
        <f t="shared" si="7"/>
        <v>22.126746145711319</v>
      </c>
    </row>
    <row r="19" spans="2:26" ht="18.75" x14ac:dyDescent="0.3">
      <c r="B19" s="163" t="s">
        <v>36</v>
      </c>
      <c r="C19" s="169">
        <f>(((C15)*(1-C18))+(1-C15))</f>
        <v>0.94255</v>
      </c>
      <c r="D19" s="8"/>
      <c r="E19" s="9" t="s">
        <v>391</v>
      </c>
      <c r="F19" s="10" t="s">
        <v>19</v>
      </c>
      <c r="G19" s="11">
        <v>17</v>
      </c>
      <c r="H19" s="40"/>
      <c r="I19" s="29">
        <f t="shared" si="15"/>
        <v>99958.441009915099</v>
      </c>
      <c r="J19" s="32"/>
      <c r="K19" s="31">
        <f t="shared" si="1"/>
        <v>99958.441009915099</v>
      </c>
      <c r="L19" s="29">
        <f t="shared" si="8"/>
        <v>2.0875980309270048</v>
      </c>
      <c r="M19" s="34"/>
      <c r="N19" s="30">
        <f t="shared" si="2"/>
        <v>0.5218995077317512</v>
      </c>
      <c r="O19" s="30">
        <f>L19*(1-$C$10)*Table_2_Dashboard!G21</f>
        <v>0</v>
      </c>
      <c r="P19" s="31">
        <f t="shared" si="10"/>
        <v>1.5656985231952536</v>
      </c>
      <c r="Q19" s="29">
        <f t="shared" si="11"/>
        <v>20.039148114784314</v>
      </c>
      <c r="R19" s="30">
        <f t="shared" si="12"/>
        <v>0.69586601030900164</v>
      </c>
      <c r="S19" s="30">
        <f t="shared" si="3"/>
        <v>1.4313677224845938</v>
      </c>
      <c r="T19" s="30">
        <f>Q19*(1-$C$11)*Table_2_Dashboard!G21</f>
        <v>0</v>
      </c>
      <c r="U19" s="30">
        <f t="shared" si="4"/>
        <v>0.48352460486163068</v>
      </c>
      <c r="V19" s="31">
        <f t="shared" si="5"/>
        <v>18.820121797747088</v>
      </c>
      <c r="W19" s="29">
        <f t="shared" si="13"/>
        <v>12.495980754031946</v>
      </c>
      <c r="X19" s="30">
        <f t="shared" si="14"/>
        <v>1.5093219048535857</v>
      </c>
      <c r="Y19" s="165">
        <f t="shared" si="6"/>
        <v>14.005302658885531</v>
      </c>
      <c r="Z19" s="41">
        <f t="shared" si="7"/>
        <v>20.385820320942344</v>
      </c>
    </row>
    <row r="20" spans="2:26" ht="18.75" x14ac:dyDescent="0.3">
      <c r="B20" s="163" t="s">
        <v>37</v>
      </c>
      <c r="C20" s="169">
        <f>Table_2_Dashboard!D31</f>
        <v>0.7</v>
      </c>
      <c r="D20" s="8"/>
      <c r="E20" s="9" t="s">
        <v>392</v>
      </c>
      <c r="F20" s="10" t="s">
        <v>20</v>
      </c>
      <c r="G20" s="11">
        <v>18</v>
      </c>
      <c r="H20" s="40"/>
      <c r="I20" s="29">
        <f t="shared" si="15"/>
        <v>99958.441009915099</v>
      </c>
      <c r="J20" s="32"/>
      <c r="K20" s="31">
        <f t="shared" si="1"/>
        <v>99958.441009915099</v>
      </c>
      <c r="L20" s="29">
        <f t="shared" si="8"/>
        <v>1.5656985231952536</v>
      </c>
      <c r="M20" s="34"/>
      <c r="N20" s="30">
        <f t="shared" si="2"/>
        <v>0.3914246307988134</v>
      </c>
      <c r="O20" s="30">
        <f>L20*(1-$C$10)*Table_2_Dashboard!G22</f>
        <v>0</v>
      </c>
      <c r="P20" s="31">
        <f t="shared" si="10"/>
        <v>1.1742738923964402</v>
      </c>
      <c r="Q20" s="29">
        <f t="shared" si="11"/>
        <v>18.820121797747088</v>
      </c>
      <c r="R20" s="30">
        <f t="shared" si="12"/>
        <v>0.5218995077317512</v>
      </c>
      <c r="S20" s="30">
        <f t="shared" si="3"/>
        <v>1.3442944141247919</v>
      </c>
      <c r="T20" s="30">
        <f>Q20*(1-$C$11)*Table_2_Dashboard!G22</f>
        <v>0</v>
      </c>
      <c r="U20" s="30">
        <f t="shared" si="4"/>
        <v>0.45411071885783949</v>
      </c>
      <c r="V20" s="31">
        <f t="shared" si="5"/>
        <v>17.543616172496204</v>
      </c>
      <c r="W20" s="29">
        <f t="shared" si="13"/>
        <v>14.005302658885531</v>
      </c>
      <c r="X20" s="30">
        <f t="shared" si="14"/>
        <v>1.4313677224845938</v>
      </c>
      <c r="Y20" s="165">
        <f t="shared" si="6"/>
        <v>15.436670381370124</v>
      </c>
      <c r="Z20" s="41">
        <f t="shared" si="7"/>
        <v>18.717890064892643</v>
      </c>
    </row>
    <row r="21" spans="2:26" ht="18.75" x14ac:dyDescent="0.3">
      <c r="B21" s="163" t="s">
        <v>38</v>
      </c>
      <c r="C21" s="102">
        <f>(((C15)*(1-C20))+(1-C15))</f>
        <v>0.86595</v>
      </c>
      <c r="D21" s="8"/>
      <c r="E21" s="9" t="s">
        <v>393</v>
      </c>
      <c r="F21" s="10" t="s">
        <v>21</v>
      </c>
      <c r="G21" s="11">
        <v>19</v>
      </c>
      <c r="H21" s="40"/>
      <c r="I21" s="29">
        <f t="shared" si="15"/>
        <v>99958.441009915099</v>
      </c>
      <c r="J21" s="32"/>
      <c r="K21" s="31">
        <f t="shared" si="1"/>
        <v>99958.441009915099</v>
      </c>
      <c r="L21" s="29">
        <f t="shared" si="8"/>
        <v>1.1742738923964402</v>
      </c>
      <c r="M21" s="34"/>
      <c r="N21" s="30">
        <f t="shared" si="2"/>
        <v>0.29356847309911005</v>
      </c>
      <c r="O21" s="30">
        <f>L21*(1-$C$10)*Table_2_Dashboard!G23</f>
        <v>0</v>
      </c>
      <c r="P21" s="31">
        <f t="shared" si="10"/>
        <v>0.88070541929733015</v>
      </c>
      <c r="Q21" s="29">
        <f t="shared" si="11"/>
        <v>17.543616172496204</v>
      </c>
      <c r="R21" s="30">
        <f t="shared" si="12"/>
        <v>0.3914246307988134</v>
      </c>
      <c r="S21" s="30">
        <f t="shared" si="3"/>
        <v>1.253115440892586</v>
      </c>
      <c r="T21" s="30">
        <f>Q21*(1-$C$11)*Table_2_Dashboard!G23</f>
        <v>0</v>
      </c>
      <c r="U21" s="30">
        <f t="shared" si="4"/>
        <v>0.42330991462616091</v>
      </c>
      <c r="V21" s="31">
        <f t="shared" si="5"/>
        <v>16.258615447776272</v>
      </c>
      <c r="W21" s="29">
        <f t="shared" si="13"/>
        <v>15.436670381370124</v>
      </c>
      <c r="X21" s="30">
        <f t="shared" si="14"/>
        <v>1.3442944141247919</v>
      </c>
      <c r="Y21" s="165">
        <f t="shared" si="6"/>
        <v>16.780964795494917</v>
      </c>
      <c r="Z21" s="41">
        <f t="shared" si="7"/>
        <v>17.139320867073604</v>
      </c>
    </row>
    <row r="22" spans="2:26" ht="16.5" x14ac:dyDescent="0.3">
      <c r="B22" s="168"/>
      <c r="C22" s="171"/>
      <c r="D22" s="8"/>
      <c r="E22" s="9" t="s">
        <v>394</v>
      </c>
      <c r="F22" s="10" t="s">
        <v>22</v>
      </c>
      <c r="G22" s="11">
        <v>20</v>
      </c>
      <c r="H22" s="40"/>
      <c r="I22" s="29">
        <f t="shared" si="15"/>
        <v>99958.441009915099</v>
      </c>
      <c r="J22" s="32"/>
      <c r="K22" s="31">
        <f t="shared" si="1"/>
        <v>99958.441009915099</v>
      </c>
      <c r="L22" s="29">
        <f t="shared" si="8"/>
        <v>0.88070541929733015</v>
      </c>
      <c r="M22" s="34"/>
      <c r="N22" s="30">
        <f t="shared" si="2"/>
        <v>0.22017635482433254</v>
      </c>
      <c r="O22" s="30">
        <f>L22*(1-$C$10)*Table_2_Dashboard!G24</f>
        <v>0</v>
      </c>
      <c r="P22" s="31">
        <f t="shared" si="10"/>
        <v>0.66052906447299764</v>
      </c>
      <c r="Q22" s="29">
        <f t="shared" si="11"/>
        <v>16.258615447776272</v>
      </c>
      <c r="R22" s="30">
        <f t="shared" si="12"/>
        <v>0.29356847309911005</v>
      </c>
      <c r="S22" s="30">
        <f t="shared" si="3"/>
        <v>1.1613296748411621</v>
      </c>
      <c r="T22" s="30">
        <f>Q22*(1-$C$11)*Table_2_Dashboard!G24</f>
        <v>0</v>
      </c>
      <c r="U22" s="30">
        <f t="shared" si="4"/>
        <v>0.39230413213939364</v>
      </c>
      <c r="V22" s="31">
        <f t="shared" si="5"/>
        <v>14.998550113894826</v>
      </c>
      <c r="W22" s="29">
        <f t="shared" si="13"/>
        <v>16.780964795494917</v>
      </c>
      <c r="X22" s="30">
        <f t="shared" si="14"/>
        <v>1.253115440892586</v>
      </c>
      <c r="Y22" s="165">
        <f t="shared" si="6"/>
        <v>18.034080236387503</v>
      </c>
      <c r="Z22" s="41">
        <f t="shared" si="7"/>
        <v>15.659079178367824</v>
      </c>
    </row>
    <row r="23" spans="2:26" ht="16.5" x14ac:dyDescent="0.3">
      <c r="B23" s="168"/>
      <c r="C23" s="171"/>
      <c r="D23" s="8"/>
      <c r="E23" s="9" t="s">
        <v>395</v>
      </c>
      <c r="F23" s="10" t="s">
        <v>13</v>
      </c>
      <c r="G23" s="11">
        <v>21</v>
      </c>
      <c r="H23" s="40"/>
      <c r="I23" s="29">
        <f t="shared" si="15"/>
        <v>99958.441009915099</v>
      </c>
      <c r="J23" s="32"/>
      <c r="K23" s="31">
        <f t="shared" si="1"/>
        <v>99958.441009915099</v>
      </c>
      <c r="L23" s="29">
        <f t="shared" si="8"/>
        <v>0.66052906447299764</v>
      </c>
      <c r="M23" s="34"/>
      <c r="N23" s="30">
        <f t="shared" si="2"/>
        <v>0.16513226611824941</v>
      </c>
      <c r="O23" s="30">
        <f>L23*(1-$C$10)*Table_2_Dashboard!G25</f>
        <v>0</v>
      </c>
      <c r="P23" s="31">
        <f t="shared" si="10"/>
        <v>0.49539679835474826</v>
      </c>
      <c r="Q23" s="29">
        <f t="shared" si="11"/>
        <v>14.998550113894826</v>
      </c>
      <c r="R23" s="30">
        <f t="shared" si="12"/>
        <v>0.22017635482433254</v>
      </c>
      <c r="S23" s="30">
        <f t="shared" si="3"/>
        <v>1.0713250081353447</v>
      </c>
      <c r="T23" s="30">
        <f>Q23*(1-$C$11)*Table_2_Dashboard!G25</f>
        <v>0</v>
      </c>
      <c r="U23" s="30">
        <f t="shared" si="4"/>
        <v>0.36190001569816826</v>
      </c>
      <c r="V23" s="31">
        <f t="shared" si="5"/>
        <v>13.785501444885645</v>
      </c>
      <c r="W23" s="29">
        <f t="shared" si="13"/>
        <v>18.034080236387503</v>
      </c>
      <c r="X23" s="30">
        <f t="shared" si="14"/>
        <v>1.1613296748411621</v>
      </c>
      <c r="Y23" s="165">
        <f t="shared" si="6"/>
        <v>19.195409911228666</v>
      </c>
      <c r="Z23" s="41">
        <f t="shared" si="7"/>
        <v>14.280898243240394</v>
      </c>
    </row>
    <row r="24" spans="2:26" ht="17.25" thickBot="1" x14ac:dyDescent="0.35">
      <c r="B24" s="172"/>
      <c r="C24" s="173"/>
      <c r="D24" s="8"/>
      <c r="E24" s="20" t="s">
        <v>396</v>
      </c>
      <c r="F24" s="21" t="s">
        <v>23</v>
      </c>
      <c r="G24" s="22">
        <v>22</v>
      </c>
      <c r="H24" s="40"/>
      <c r="I24" s="35">
        <f>K23</f>
        <v>99958.441009915099</v>
      </c>
      <c r="J24" s="36"/>
      <c r="K24" s="37">
        <f t="shared" si="1"/>
        <v>99958.441009915099</v>
      </c>
      <c r="L24" s="35">
        <f t="shared" si="8"/>
        <v>0.49539679835474826</v>
      </c>
      <c r="M24" s="36"/>
      <c r="N24" s="38">
        <f t="shared" si="2"/>
        <v>0.12384919958868706</v>
      </c>
      <c r="O24" s="38">
        <f>L24*(1-$C$10)*Table_2_Dashboard!G26</f>
        <v>0</v>
      </c>
      <c r="P24" s="37">
        <f t="shared" si="10"/>
        <v>0.37154759876606119</v>
      </c>
      <c r="Q24" s="29">
        <f t="shared" si="11"/>
        <v>13.785501444885645</v>
      </c>
      <c r="R24" s="38">
        <f t="shared" si="12"/>
        <v>0.16513226611824941</v>
      </c>
      <c r="S24" s="38">
        <f t="shared" si="3"/>
        <v>0.98467867463468883</v>
      </c>
      <c r="T24" s="38">
        <f>Q24*(1-$C$11)*Table_2_Dashboard!G26</f>
        <v>0</v>
      </c>
      <c r="U24" s="38">
        <f t="shared" si="4"/>
        <v>0.33263036436364574</v>
      </c>
      <c r="V24" s="37">
        <f t="shared" si="5"/>
        <v>12.633324672005561</v>
      </c>
      <c r="W24" s="29">
        <f t="shared" si="13"/>
        <v>19.195409911228666</v>
      </c>
      <c r="X24" s="30">
        <f t="shared" si="14"/>
        <v>1.0713250081353447</v>
      </c>
      <c r="Y24" s="165">
        <f t="shared" si="6"/>
        <v>20.266734919364012</v>
      </c>
      <c r="Z24" s="42">
        <f t="shared" si="7"/>
        <v>13.004872270771621</v>
      </c>
    </row>
    <row r="25" spans="2:26" ht="4.9000000000000004" customHeight="1" thickBot="1" x14ac:dyDescent="0.35">
      <c r="B25" s="23"/>
      <c r="C25" s="24"/>
      <c r="D25" s="8"/>
      <c r="E25" s="12"/>
      <c r="F25" s="12"/>
      <c r="G25" s="12"/>
      <c r="H25" s="12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2:26" ht="16.149999999999999" customHeight="1" thickBot="1" x14ac:dyDescent="0.35">
      <c r="B26" s="189">
        <v>1</v>
      </c>
      <c r="C26" s="191"/>
      <c r="D26" s="6"/>
      <c r="E26" s="189">
        <v>2</v>
      </c>
      <c r="F26" s="190"/>
      <c r="G26" s="191"/>
      <c r="H26" s="6"/>
      <c r="I26" s="189">
        <v>3</v>
      </c>
      <c r="J26" s="190"/>
      <c r="K26" s="191"/>
      <c r="L26" s="189">
        <v>4</v>
      </c>
      <c r="M26" s="190"/>
      <c r="N26" s="190"/>
      <c r="O26" s="190"/>
      <c r="P26" s="191"/>
      <c r="Q26" s="189">
        <v>5</v>
      </c>
      <c r="R26" s="190"/>
      <c r="S26" s="190"/>
      <c r="T26" s="190"/>
      <c r="U26" s="190"/>
      <c r="V26" s="191"/>
      <c r="W26" s="189">
        <v>6</v>
      </c>
      <c r="X26" s="190"/>
      <c r="Y26" s="191"/>
      <c r="Z26" s="26">
        <v>7</v>
      </c>
    </row>
    <row r="27" spans="2:26" ht="34.9" customHeight="1" x14ac:dyDescent="0.25"/>
  </sheetData>
  <mergeCells count="6">
    <mergeCell ref="W26:Y26"/>
    <mergeCell ref="B26:C26"/>
    <mergeCell ref="E26:G26"/>
    <mergeCell ref="I26:K26"/>
    <mergeCell ref="L26:P26"/>
    <mergeCell ref="Q26:V2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3139-80F2-4906-94BC-AC649B09861C}">
  <dimension ref="B1:Z27"/>
  <sheetViews>
    <sheetView workbookViewId="0">
      <selection sqref="A1:XFD1048576"/>
    </sheetView>
  </sheetViews>
  <sheetFormatPr defaultRowHeight="15.75" x14ac:dyDescent="0.25"/>
  <cols>
    <col min="1" max="1" width="1.85546875" style="1" customWidth="1"/>
    <col min="2" max="2" width="4.85546875" style="3" customWidth="1"/>
    <col min="3" max="3" width="11.28515625" style="2" customWidth="1"/>
    <col min="4" max="4" width="2.7109375" style="1" customWidth="1"/>
    <col min="5" max="5" width="6" style="2" bestFit="1" customWidth="1"/>
    <col min="6" max="6" width="10.85546875" style="2" bestFit="1" customWidth="1"/>
    <col min="7" max="7" width="3" style="2" bestFit="1" customWidth="1"/>
    <col min="8" max="8" width="1.42578125" style="2" customWidth="1"/>
    <col min="9" max="9" width="9" style="2" bestFit="1" customWidth="1"/>
    <col min="10" max="10" width="12.140625" style="2" bestFit="1" customWidth="1"/>
    <col min="11" max="11" width="8.85546875" style="1" bestFit="1" customWidth="1"/>
    <col min="12" max="12" width="9.140625" style="1" bestFit="1" customWidth="1"/>
    <col min="13" max="13" width="12.140625" style="1" bestFit="1" customWidth="1"/>
    <col min="14" max="14" width="10.7109375" style="1" bestFit="1" customWidth="1"/>
    <col min="15" max="15" width="14.140625" style="1" bestFit="1" customWidth="1"/>
    <col min="16" max="16" width="6" style="1" bestFit="1" customWidth="1"/>
    <col min="17" max="17" width="8.140625" style="1" bestFit="1" customWidth="1"/>
    <col min="18" max="18" width="10.7109375" style="1" bestFit="1" customWidth="1"/>
    <col min="19" max="19" width="9.85546875" style="1" bestFit="1" customWidth="1"/>
    <col min="20" max="20" width="13.42578125" style="1" bestFit="1" customWidth="1"/>
    <col min="21" max="21" width="15.140625" style="1" bestFit="1" customWidth="1"/>
    <col min="22" max="22" width="5.42578125" style="1" bestFit="1" customWidth="1"/>
    <col min="23" max="23" width="9.28515625" style="1" bestFit="1" customWidth="1"/>
    <col min="24" max="24" width="9.85546875" style="1" bestFit="1" customWidth="1"/>
    <col min="25" max="25" width="6.140625" style="1" bestFit="1" customWidth="1"/>
    <col min="26" max="26" width="8.42578125" style="1" bestFit="1" customWidth="1"/>
    <col min="27" max="16384" width="9.140625" style="1"/>
  </cols>
  <sheetData>
    <row r="1" spans="2:26" ht="6.6" customHeight="1" thickBot="1" x14ac:dyDescent="0.3"/>
    <row r="2" spans="2:26" ht="21.75" x14ac:dyDescent="0.4">
      <c r="B2" s="180" t="s">
        <v>39</v>
      </c>
      <c r="C2" s="181" t="s">
        <v>0</v>
      </c>
      <c r="D2" s="5"/>
      <c r="E2" s="182" t="s">
        <v>469</v>
      </c>
      <c r="F2" s="183" t="s">
        <v>470</v>
      </c>
      <c r="G2" s="184" t="s">
        <v>468</v>
      </c>
      <c r="H2" s="6"/>
      <c r="I2" s="174" t="s">
        <v>586</v>
      </c>
      <c r="J2" s="175" t="s">
        <v>587</v>
      </c>
      <c r="K2" s="176" t="s">
        <v>588</v>
      </c>
      <c r="L2" s="174" t="s">
        <v>589</v>
      </c>
      <c r="M2" s="177" t="s">
        <v>587</v>
      </c>
      <c r="N2" s="177" t="s">
        <v>590</v>
      </c>
      <c r="O2" s="177" t="s">
        <v>591</v>
      </c>
      <c r="P2" s="176" t="s">
        <v>592</v>
      </c>
      <c r="Q2" s="178" t="s">
        <v>593</v>
      </c>
      <c r="R2" s="177" t="s">
        <v>590</v>
      </c>
      <c r="S2" s="177" t="s">
        <v>577</v>
      </c>
      <c r="T2" s="177" t="s">
        <v>594</v>
      </c>
      <c r="U2" s="177" t="s">
        <v>595</v>
      </c>
      <c r="V2" s="176" t="s">
        <v>596</v>
      </c>
      <c r="W2" s="174" t="s">
        <v>597</v>
      </c>
      <c r="X2" s="177" t="s">
        <v>577</v>
      </c>
      <c r="Y2" s="176" t="s">
        <v>598</v>
      </c>
      <c r="Z2" s="179" t="s">
        <v>574</v>
      </c>
    </row>
    <row r="3" spans="2:26" ht="18.75" x14ac:dyDescent="0.3">
      <c r="B3" s="163" t="s">
        <v>24</v>
      </c>
      <c r="C3" s="164">
        <f>Table_2_Dashboard!D5</f>
        <v>100000</v>
      </c>
      <c r="D3" s="8"/>
      <c r="E3" s="9" t="s">
        <v>1</v>
      </c>
      <c r="F3" s="10" t="s">
        <v>2</v>
      </c>
      <c r="G3" s="11">
        <v>1</v>
      </c>
      <c r="H3" s="40"/>
      <c r="I3" s="29">
        <f>C3-L3-Q3-W3</f>
        <v>99986.209999999992</v>
      </c>
      <c r="J3" s="30">
        <f>I3*$C$14*$C$19</f>
        <v>13.788098358999997</v>
      </c>
      <c r="K3" s="31">
        <f>I3-J3</f>
        <v>99972.421901640992</v>
      </c>
      <c r="L3" s="29">
        <f>C3*$C$14*$C$19*0.5</f>
        <v>6.8949999999999996</v>
      </c>
      <c r="M3" s="30">
        <v>0</v>
      </c>
      <c r="N3" s="30">
        <f>L3*$C$6</f>
        <v>1.7237499999999999</v>
      </c>
      <c r="O3" s="32"/>
      <c r="P3" s="31">
        <f>L3+M3-N3-O3</f>
        <v>5.1712499999999997</v>
      </c>
      <c r="Q3" s="29">
        <f>C3*$C$14*$C$19*0.5</f>
        <v>6.8949999999999996</v>
      </c>
      <c r="R3" s="30">
        <v>0</v>
      </c>
      <c r="S3" s="30">
        <f>Q3*$C$8</f>
        <v>0.49249999999999994</v>
      </c>
      <c r="T3" s="32"/>
      <c r="U3" s="30">
        <f>Q3*$C$9*(1-$C$21)</f>
        <v>0.86876999999999982</v>
      </c>
      <c r="V3" s="31">
        <f>Q3+R3-S3-T3-U3</f>
        <v>5.5337300000000003</v>
      </c>
      <c r="W3" s="29">
        <v>0</v>
      </c>
      <c r="X3" s="30">
        <v>0</v>
      </c>
      <c r="Y3" s="165">
        <f>W3+X3</f>
        <v>0</v>
      </c>
      <c r="Z3" s="41">
        <f>P3+V3</f>
        <v>10.704979999999999</v>
      </c>
    </row>
    <row r="4" spans="2:26" ht="18.75" x14ac:dyDescent="0.3">
      <c r="B4" s="163" t="s">
        <v>25</v>
      </c>
      <c r="C4" s="166">
        <f>C14*2</f>
        <v>3.9399999999999998E-4</v>
      </c>
      <c r="D4" s="8"/>
      <c r="E4" s="9" t="s">
        <v>1</v>
      </c>
      <c r="F4" s="10" t="s">
        <v>2</v>
      </c>
      <c r="G4" s="11">
        <v>2</v>
      </c>
      <c r="H4" s="40"/>
      <c r="I4" s="29">
        <f>K3</f>
        <v>99972.421901640992</v>
      </c>
      <c r="J4" s="30">
        <f t="shared" ref="J4:J8" si="0">I4*$C$14*$C$19</f>
        <v>13.786196980236292</v>
      </c>
      <c r="K4" s="31">
        <f t="shared" ref="K4:K24" si="1">I4-J4</f>
        <v>99958.635704660759</v>
      </c>
      <c r="L4" s="29">
        <f>P3</f>
        <v>5.1712499999999997</v>
      </c>
      <c r="M4" s="30">
        <f>J3</f>
        <v>13.788098358999997</v>
      </c>
      <c r="N4" s="30">
        <f t="shared" ref="N4:N24" si="2">L4*$C$6</f>
        <v>1.2928124999999999</v>
      </c>
      <c r="O4" s="32"/>
      <c r="P4" s="31">
        <f>L4+M4-N4-O4</f>
        <v>17.666535858999996</v>
      </c>
      <c r="Q4" s="29">
        <f>V3</f>
        <v>5.5337300000000003</v>
      </c>
      <c r="R4" s="30">
        <f>N3</f>
        <v>1.7237499999999999</v>
      </c>
      <c r="S4" s="30">
        <f t="shared" ref="S4:S24" si="3">Q4*$C$8</f>
        <v>0.39526642857142857</v>
      </c>
      <c r="T4" s="32"/>
      <c r="U4" s="30">
        <f t="shared" ref="U4:U24" si="4">Q4*$C$9*(1-$C$21)</f>
        <v>0.69724998000000005</v>
      </c>
      <c r="V4" s="31">
        <f t="shared" ref="V4:V24" si="5">Q4+R4-S4-T4-U4</f>
        <v>6.1649635914285721</v>
      </c>
      <c r="W4" s="29">
        <f>Y3</f>
        <v>0</v>
      </c>
      <c r="X4" s="30">
        <f>S3</f>
        <v>0.49249999999999994</v>
      </c>
      <c r="Y4" s="165">
        <f t="shared" ref="Y4:Y24" si="6">W4+X4</f>
        <v>0.49249999999999994</v>
      </c>
      <c r="Z4" s="41">
        <f t="shared" ref="Z4:Z24" si="7">P4+V4</f>
        <v>23.831499450428566</v>
      </c>
    </row>
    <row r="5" spans="2:26" ht="18.75" x14ac:dyDescent="0.3">
      <c r="B5" s="163" t="s">
        <v>28</v>
      </c>
      <c r="C5" s="164">
        <f>Table_2_Dashboard!D6</f>
        <v>4</v>
      </c>
      <c r="D5" s="8"/>
      <c r="E5" s="9" t="s">
        <v>3</v>
      </c>
      <c r="F5" s="10" t="s">
        <v>4</v>
      </c>
      <c r="G5" s="11">
        <v>3</v>
      </c>
      <c r="H5" s="40"/>
      <c r="I5" s="29">
        <f>K4</f>
        <v>99958.635704660759</v>
      </c>
      <c r="J5" s="30">
        <f t="shared" si="0"/>
        <v>13.784295863672718</v>
      </c>
      <c r="K5" s="31">
        <f t="shared" si="1"/>
        <v>99944.851408797083</v>
      </c>
      <c r="L5" s="29">
        <f t="shared" ref="L5:L24" si="8">P4</f>
        <v>17.666535858999996</v>
      </c>
      <c r="M5" s="30">
        <f t="shared" ref="M5:M10" si="9">J4</f>
        <v>13.786196980236292</v>
      </c>
      <c r="N5" s="30">
        <f t="shared" si="2"/>
        <v>4.416633964749999</v>
      </c>
      <c r="O5" s="30">
        <f>L5*(1-$C$10)*Table_2_Dashboard!J7</f>
        <v>0</v>
      </c>
      <c r="P5" s="31">
        <f t="shared" ref="P5:P24" si="10">L5+M5-N5-O5</f>
        <v>27.036098874486292</v>
      </c>
      <c r="Q5" s="29">
        <f t="shared" ref="Q5:Q24" si="11">V4</f>
        <v>6.1649635914285721</v>
      </c>
      <c r="R5" s="30">
        <f t="shared" ref="R5:R24" si="12">N4</f>
        <v>1.2928124999999999</v>
      </c>
      <c r="S5" s="30">
        <f t="shared" si="3"/>
        <v>0.44035454224489801</v>
      </c>
      <c r="T5" s="30">
        <f>(1-$C$11)*Q5*Table_2_Dashboard!J7</f>
        <v>0</v>
      </c>
      <c r="U5" s="30">
        <f t="shared" si="4"/>
        <v>0.77678541252</v>
      </c>
      <c r="V5" s="31">
        <f t="shared" si="5"/>
        <v>6.2406361366636744</v>
      </c>
      <c r="W5" s="29">
        <f t="shared" ref="W5:W24" si="13">Y4</f>
        <v>0.49249999999999994</v>
      </c>
      <c r="X5" s="30">
        <f t="shared" ref="X5:X24" si="14">S4</f>
        <v>0.39526642857142857</v>
      </c>
      <c r="Y5" s="165">
        <f>W5+X5</f>
        <v>0.88776642857142851</v>
      </c>
      <c r="Z5" s="41">
        <f t="shared" si="7"/>
        <v>33.276735011149967</v>
      </c>
    </row>
    <row r="6" spans="2:26" ht="18.75" x14ac:dyDescent="0.3">
      <c r="B6" s="163" t="s">
        <v>26</v>
      </c>
      <c r="C6" s="167">
        <f>1/C5</f>
        <v>0.25</v>
      </c>
      <c r="D6" s="8"/>
      <c r="E6" s="9" t="s">
        <v>5</v>
      </c>
      <c r="F6" s="10" t="s">
        <v>6</v>
      </c>
      <c r="G6" s="11">
        <v>4</v>
      </c>
      <c r="H6" s="40"/>
      <c r="I6" s="29">
        <f t="shared" ref="I6:I23" si="15">K5</f>
        <v>99944.851408797083</v>
      </c>
      <c r="J6" s="30">
        <f t="shared" si="0"/>
        <v>13.782395009273117</v>
      </c>
      <c r="K6" s="31">
        <f t="shared" si="1"/>
        <v>99931.069013787812</v>
      </c>
      <c r="L6" s="29">
        <f t="shared" si="8"/>
        <v>27.036098874486292</v>
      </c>
      <c r="M6" s="30">
        <f t="shared" si="9"/>
        <v>13.784295863672718</v>
      </c>
      <c r="N6" s="30">
        <f t="shared" si="2"/>
        <v>6.7590247186215731</v>
      </c>
      <c r="O6" s="30">
        <f>L6*(1-$C$10)*Table_2_Dashboard!J8</f>
        <v>0</v>
      </c>
      <c r="P6" s="31">
        <f t="shared" si="10"/>
        <v>34.061370019537435</v>
      </c>
      <c r="Q6" s="29">
        <f t="shared" si="11"/>
        <v>6.2406361366636744</v>
      </c>
      <c r="R6" s="30">
        <f t="shared" si="12"/>
        <v>4.416633964749999</v>
      </c>
      <c r="S6" s="30">
        <f t="shared" si="3"/>
        <v>0.44575972404740527</v>
      </c>
      <c r="T6" s="30">
        <f>(1-$C$11)*Q6*Table_2_Dashboard!J8</f>
        <v>0</v>
      </c>
      <c r="U6" s="30">
        <f t="shared" si="4"/>
        <v>0.78632015321962279</v>
      </c>
      <c r="V6" s="31">
        <f t="shared" si="5"/>
        <v>9.4251902241466432</v>
      </c>
      <c r="W6" s="29">
        <f t="shared" si="13"/>
        <v>0.88776642857142851</v>
      </c>
      <c r="X6" s="30">
        <f t="shared" si="14"/>
        <v>0.44035454224489801</v>
      </c>
      <c r="Y6" s="165">
        <f t="shared" si="6"/>
        <v>1.3281209708163266</v>
      </c>
      <c r="Z6" s="41">
        <f t="shared" si="7"/>
        <v>43.486560243684082</v>
      </c>
    </row>
    <row r="7" spans="2:26" ht="18.75" x14ac:dyDescent="0.3">
      <c r="B7" s="163" t="s">
        <v>29</v>
      </c>
      <c r="C7" s="164">
        <f>Table_2_Dashboard!D8</f>
        <v>14</v>
      </c>
      <c r="D7" s="8"/>
      <c r="E7" s="9" t="s">
        <v>5</v>
      </c>
      <c r="F7" s="10" t="s">
        <v>7</v>
      </c>
      <c r="G7" s="11">
        <v>5</v>
      </c>
      <c r="H7" s="40"/>
      <c r="I7" s="29">
        <f t="shared" si="15"/>
        <v>99931.069013787812</v>
      </c>
      <c r="J7" s="30">
        <f t="shared" si="0"/>
        <v>13.780494417001337</v>
      </c>
      <c r="K7" s="31">
        <f t="shared" si="1"/>
        <v>99917.288519370806</v>
      </c>
      <c r="L7" s="29">
        <f t="shared" si="8"/>
        <v>34.061370019537435</v>
      </c>
      <c r="M7" s="30">
        <f t="shared" si="9"/>
        <v>13.782395009273117</v>
      </c>
      <c r="N7" s="30">
        <f t="shared" si="2"/>
        <v>8.5153425048843587</v>
      </c>
      <c r="O7" s="30">
        <f>L7*(1-$C$10)*Table_2_Dashboard!J9</f>
        <v>0</v>
      </c>
      <c r="P7" s="31">
        <f t="shared" si="10"/>
        <v>39.328422523926193</v>
      </c>
      <c r="Q7" s="29">
        <f t="shared" si="11"/>
        <v>9.4251902241466432</v>
      </c>
      <c r="R7" s="30">
        <f t="shared" si="12"/>
        <v>6.7590247186215731</v>
      </c>
      <c r="S7" s="30">
        <f t="shared" si="3"/>
        <v>0.67322787315333166</v>
      </c>
      <c r="T7" s="30">
        <f>(1-$C$11)*Q7*Table_2_Dashboard!J9</f>
        <v>0</v>
      </c>
      <c r="U7" s="30">
        <f t="shared" si="4"/>
        <v>1.1875739682424769</v>
      </c>
      <c r="V7" s="31">
        <f t="shared" si="5"/>
        <v>14.323413101372406</v>
      </c>
      <c r="W7" s="29">
        <f t="shared" si="13"/>
        <v>1.3281209708163266</v>
      </c>
      <c r="X7" s="30">
        <f t="shared" si="14"/>
        <v>0.44575972404740527</v>
      </c>
      <c r="Y7" s="165">
        <f t="shared" si="6"/>
        <v>1.773880694863732</v>
      </c>
      <c r="Z7" s="41">
        <f t="shared" si="7"/>
        <v>53.651835625298602</v>
      </c>
    </row>
    <row r="8" spans="2:26" ht="18.75" x14ac:dyDescent="0.3">
      <c r="B8" s="163" t="s">
        <v>27</v>
      </c>
      <c r="C8" s="167">
        <f>1/C7</f>
        <v>7.1428571428571425E-2</v>
      </c>
      <c r="D8" s="8"/>
      <c r="E8" s="9" t="s">
        <v>467</v>
      </c>
      <c r="F8" s="10" t="s">
        <v>8</v>
      </c>
      <c r="G8" s="11">
        <v>6</v>
      </c>
      <c r="H8" s="40"/>
      <c r="I8" s="29">
        <f t="shared" si="15"/>
        <v>99917.288519370806</v>
      </c>
      <c r="J8" s="30">
        <f t="shared" si="0"/>
        <v>13.778594086821233</v>
      </c>
      <c r="K8" s="31">
        <f t="shared" si="1"/>
        <v>99903.509925283986</v>
      </c>
      <c r="L8" s="29">
        <f t="shared" si="8"/>
        <v>39.328422523926193</v>
      </c>
      <c r="M8" s="30">
        <f t="shared" si="9"/>
        <v>13.780494417001337</v>
      </c>
      <c r="N8" s="30">
        <f t="shared" si="2"/>
        <v>9.8321056309815482</v>
      </c>
      <c r="O8" s="30">
        <f>L8*(1-$C$10)*Table_2_Dashboard!J10</f>
        <v>0</v>
      </c>
      <c r="P8" s="31">
        <f t="shared" si="10"/>
        <v>43.276811309945984</v>
      </c>
      <c r="Q8" s="29">
        <f t="shared" si="11"/>
        <v>14.323413101372406</v>
      </c>
      <c r="R8" s="30">
        <f t="shared" si="12"/>
        <v>8.5153425048843587</v>
      </c>
      <c r="S8" s="30">
        <f t="shared" si="3"/>
        <v>1.0231009358123146</v>
      </c>
      <c r="T8" s="30">
        <f>(1-$C$11)*Q8*Table_2_Dashboard!J10</f>
        <v>0</v>
      </c>
      <c r="U8" s="30">
        <f t="shared" si="4"/>
        <v>1.8047500507729228</v>
      </c>
      <c r="V8" s="31">
        <f t="shared" si="5"/>
        <v>20.010904619671525</v>
      </c>
      <c r="W8" s="29">
        <f t="shared" si="13"/>
        <v>1.773880694863732</v>
      </c>
      <c r="X8" s="30">
        <f t="shared" si="14"/>
        <v>0.67322787315333166</v>
      </c>
      <c r="Y8" s="165">
        <f t="shared" si="6"/>
        <v>2.4471085680170637</v>
      </c>
      <c r="Z8" s="41">
        <f t="shared" si="7"/>
        <v>63.287715929617505</v>
      </c>
    </row>
    <row r="9" spans="2:26" ht="18.75" x14ac:dyDescent="0.3">
      <c r="B9" s="163" t="s">
        <v>30</v>
      </c>
      <c r="C9" s="167">
        <f>Table_2_Dashboard!D11</f>
        <v>0.18</v>
      </c>
      <c r="D9" s="8"/>
      <c r="E9" s="9" t="s">
        <v>9</v>
      </c>
      <c r="F9" s="10" t="s">
        <v>10</v>
      </c>
      <c r="G9" s="11">
        <v>7</v>
      </c>
      <c r="H9" s="40"/>
      <c r="I9" s="29">
        <f t="shared" si="15"/>
        <v>99903.509925283986</v>
      </c>
      <c r="J9" s="30">
        <f>I9*$C$4*$C$19</f>
        <v>27.553388037393322</v>
      </c>
      <c r="K9" s="31">
        <f t="shared" si="1"/>
        <v>99875.956537246588</v>
      </c>
      <c r="L9" s="29">
        <f t="shared" si="8"/>
        <v>43.276811309945984</v>
      </c>
      <c r="M9" s="33">
        <f t="shared" si="9"/>
        <v>13.778594086821233</v>
      </c>
      <c r="N9" s="30">
        <f t="shared" si="2"/>
        <v>10.819202827486496</v>
      </c>
      <c r="O9" s="32"/>
      <c r="P9" s="31">
        <f t="shared" si="10"/>
        <v>46.236202569280721</v>
      </c>
      <c r="Q9" s="29">
        <f t="shared" si="11"/>
        <v>20.010904619671525</v>
      </c>
      <c r="R9" s="30">
        <f t="shared" si="12"/>
        <v>9.8321056309815482</v>
      </c>
      <c r="S9" s="30">
        <f t="shared" si="3"/>
        <v>1.4293503299765373</v>
      </c>
      <c r="T9" s="32"/>
      <c r="U9" s="30">
        <f t="shared" si="4"/>
        <v>2.5213739820786119</v>
      </c>
      <c r="V9" s="31">
        <f t="shared" si="5"/>
        <v>25.892285938597926</v>
      </c>
      <c r="W9" s="29">
        <f t="shared" si="13"/>
        <v>2.4471085680170637</v>
      </c>
      <c r="X9" s="30">
        <f t="shared" si="14"/>
        <v>1.0231009358123146</v>
      </c>
      <c r="Y9" s="165">
        <f t="shared" si="6"/>
        <v>3.4702095038293783</v>
      </c>
      <c r="Z9" s="41">
        <f t="shared" si="7"/>
        <v>72.128488507878643</v>
      </c>
    </row>
    <row r="10" spans="2:26" ht="18.75" x14ac:dyDescent="0.3">
      <c r="B10" s="163" t="s">
        <v>31</v>
      </c>
      <c r="C10" s="167">
        <f>Table_2_Dashboard!D14</f>
        <v>0.84</v>
      </c>
      <c r="D10" s="8"/>
      <c r="E10" s="13" t="s">
        <v>382</v>
      </c>
      <c r="F10" s="14" t="s">
        <v>575</v>
      </c>
      <c r="G10" s="15">
        <v>8</v>
      </c>
      <c r="H10" s="40"/>
      <c r="I10" s="29">
        <f t="shared" si="15"/>
        <v>99875.956537246588</v>
      </c>
      <c r="J10" s="32"/>
      <c r="K10" s="31">
        <f t="shared" si="1"/>
        <v>99875.956537246588</v>
      </c>
      <c r="L10" s="29">
        <f t="shared" si="8"/>
        <v>46.236202569280721</v>
      </c>
      <c r="M10" s="33">
        <f t="shared" si="9"/>
        <v>27.553388037393322</v>
      </c>
      <c r="N10" s="30">
        <f t="shared" si="2"/>
        <v>11.55905064232018</v>
      </c>
      <c r="O10" s="30">
        <f>L10*(1-$C$10)*Table_2_Dashboard!J11</f>
        <v>0</v>
      </c>
      <c r="P10" s="31">
        <f>L10+M10-N10-O10</f>
        <v>62.230539964353859</v>
      </c>
      <c r="Q10" s="29">
        <f t="shared" si="11"/>
        <v>25.892285938597926</v>
      </c>
      <c r="R10" s="30">
        <f t="shared" si="12"/>
        <v>10.819202827486496</v>
      </c>
      <c r="S10" s="30">
        <f t="shared" si="3"/>
        <v>1.8494489956141376</v>
      </c>
      <c r="T10" s="30">
        <f>(1-$C$11)*Q10*Table_2_Dashboard!J11</f>
        <v>0</v>
      </c>
      <c r="U10" s="30">
        <f t="shared" si="4"/>
        <v>3.2624280282633387</v>
      </c>
      <c r="V10" s="31">
        <f t="shared" si="5"/>
        <v>31.599611742206942</v>
      </c>
      <c r="W10" s="29">
        <f t="shared" si="13"/>
        <v>3.4702095038293783</v>
      </c>
      <c r="X10" s="30">
        <f t="shared" si="14"/>
        <v>1.4293503299765373</v>
      </c>
      <c r="Y10" s="165">
        <f t="shared" si="6"/>
        <v>4.8995598338059159</v>
      </c>
      <c r="Z10" s="41">
        <f t="shared" si="7"/>
        <v>93.830151706560798</v>
      </c>
    </row>
    <row r="11" spans="2:26" ht="18.75" x14ac:dyDescent="0.3">
      <c r="B11" s="163" t="s">
        <v>32</v>
      </c>
      <c r="C11" s="167">
        <f>Table_2_Dashboard!D15</f>
        <v>0.28999999999999998</v>
      </c>
      <c r="D11" s="8"/>
      <c r="E11" s="9" t="s">
        <v>383</v>
      </c>
      <c r="F11" s="10" t="s">
        <v>11</v>
      </c>
      <c r="G11" s="11">
        <v>9</v>
      </c>
      <c r="H11" s="40"/>
      <c r="I11" s="29">
        <f t="shared" si="15"/>
        <v>99875.956537246588</v>
      </c>
      <c r="J11" s="32"/>
      <c r="K11" s="31">
        <f t="shared" si="1"/>
        <v>99875.956537246588</v>
      </c>
      <c r="L11" s="29">
        <f>P10</f>
        <v>62.230539964353859</v>
      </c>
      <c r="M11" s="34"/>
      <c r="N11" s="30">
        <f t="shared" si="2"/>
        <v>15.557634991088465</v>
      </c>
      <c r="O11" s="30">
        <f>L11*(1-$C$10)*Table_2_Dashboard!J13</f>
        <v>0</v>
      </c>
      <c r="P11" s="31">
        <f t="shared" si="10"/>
        <v>46.672904973265396</v>
      </c>
      <c r="Q11" s="29">
        <f t="shared" si="11"/>
        <v>31.599611742206942</v>
      </c>
      <c r="R11" s="30">
        <f t="shared" si="12"/>
        <v>11.55905064232018</v>
      </c>
      <c r="S11" s="30">
        <f t="shared" si="3"/>
        <v>2.2571151244433527</v>
      </c>
      <c r="T11" s="30">
        <f>Q11*(1-$C$11)*Table_2_Dashboard!J13</f>
        <v>0</v>
      </c>
      <c r="U11" s="30">
        <f t="shared" si="4"/>
        <v>3.9815510795180744</v>
      </c>
      <c r="V11" s="31">
        <f t="shared" si="5"/>
        <v>36.91999618056569</v>
      </c>
      <c r="W11" s="29">
        <f t="shared" si="13"/>
        <v>4.8995598338059159</v>
      </c>
      <c r="X11" s="30">
        <f t="shared" si="14"/>
        <v>1.8494489956141376</v>
      </c>
      <c r="Y11" s="165">
        <f t="shared" si="6"/>
        <v>6.7490088294200534</v>
      </c>
      <c r="Z11" s="41">
        <f t="shared" si="7"/>
        <v>83.592901153831093</v>
      </c>
    </row>
    <row r="12" spans="2:26" ht="16.5" x14ac:dyDescent="0.3">
      <c r="B12" s="168"/>
      <c r="C12" s="169"/>
      <c r="D12" s="8"/>
      <c r="E12" s="9" t="s">
        <v>384</v>
      </c>
      <c r="F12" s="10" t="s">
        <v>12</v>
      </c>
      <c r="G12" s="11">
        <v>10</v>
      </c>
      <c r="H12" s="40"/>
      <c r="I12" s="29">
        <f t="shared" si="15"/>
        <v>99875.956537246588</v>
      </c>
      <c r="J12" s="32"/>
      <c r="K12" s="31">
        <f t="shared" si="1"/>
        <v>99875.956537246588</v>
      </c>
      <c r="L12" s="29">
        <f t="shared" si="8"/>
        <v>46.672904973265396</v>
      </c>
      <c r="M12" s="34"/>
      <c r="N12" s="30">
        <f t="shared" si="2"/>
        <v>11.668226243316349</v>
      </c>
      <c r="O12" s="30">
        <f>L12*(1-$C$10)*Table_2_Dashboard!J14</f>
        <v>0</v>
      </c>
      <c r="P12" s="31">
        <f t="shared" si="10"/>
        <v>35.004678729949049</v>
      </c>
      <c r="Q12" s="29">
        <f t="shared" si="11"/>
        <v>36.91999618056569</v>
      </c>
      <c r="R12" s="30">
        <f t="shared" si="12"/>
        <v>15.557634991088465</v>
      </c>
      <c r="S12" s="30">
        <f t="shared" si="3"/>
        <v>2.6371425843261207</v>
      </c>
      <c r="T12" s="30">
        <f>Q12*(1-$C$11)*Table_2_Dashboard!J14</f>
        <v>0</v>
      </c>
      <c r="U12" s="30">
        <f t="shared" si="4"/>
        <v>4.651919518751277</v>
      </c>
      <c r="V12" s="31">
        <f t="shared" si="5"/>
        <v>45.188569068576754</v>
      </c>
      <c r="W12" s="29">
        <f t="shared" si="13"/>
        <v>6.7490088294200534</v>
      </c>
      <c r="X12" s="30">
        <f t="shared" si="14"/>
        <v>2.2571151244433527</v>
      </c>
      <c r="Y12" s="165">
        <f t="shared" si="6"/>
        <v>9.0061239538634066</v>
      </c>
      <c r="Z12" s="41">
        <f t="shared" si="7"/>
        <v>80.193247798525803</v>
      </c>
    </row>
    <row r="13" spans="2:26" ht="16.5" x14ac:dyDescent="0.3">
      <c r="B13" s="185" t="s">
        <v>40</v>
      </c>
      <c r="C13" s="186" t="s">
        <v>0</v>
      </c>
      <c r="D13" s="8"/>
      <c r="E13" s="9" t="s">
        <v>385</v>
      </c>
      <c r="F13" s="10" t="s">
        <v>13</v>
      </c>
      <c r="G13" s="11">
        <v>11</v>
      </c>
      <c r="H13" s="40"/>
      <c r="I13" s="29">
        <f t="shared" si="15"/>
        <v>99875.956537246588</v>
      </c>
      <c r="J13" s="32"/>
      <c r="K13" s="31">
        <f t="shared" si="1"/>
        <v>99875.956537246588</v>
      </c>
      <c r="L13" s="29">
        <f t="shared" si="8"/>
        <v>35.004678729949049</v>
      </c>
      <c r="M13" s="34"/>
      <c r="N13" s="30">
        <f t="shared" si="2"/>
        <v>8.7511696824872622</v>
      </c>
      <c r="O13" s="30">
        <f>L13*(1-$C$10)*Table_2_Dashboard!J15</f>
        <v>0</v>
      </c>
      <c r="P13" s="31">
        <f t="shared" si="10"/>
        <v>26.253509047461787</v>
      </c>
      <c r="Q13" s="29">
        <f t="shared" si="11"/>
        <v>45.188569068576754</v>
      </c>
      <c r="R13" s="30">
        <f t="shared" si="12"/>
        <v>11.668226243316349</v>
      </c>
      <c r="S13" s="30">
        <f t="shared" si="3"/>
        <v>3.2277549334697682</v>
      </c>
      <c r="T13" s="30">
        <f>Q13*(1-$C$11)*Table_2_Dashboard!J15</f>
        <v>0</v>
      </c>
      <c r="U13" s="30">
        <f t="shared" si="4"/>
        <v>5.6937597026406701</v>
      </c>
      <c r="V13" s="31">
        <f t="shared" si="5"/>
        <v>47.935280675782664</v>
      </c>
      <c r="W13" s="29">
        <f t="shared" si="13"/>
        <v>9.0061239538634066</v>
      </c>
      <c r="X13" s="30">
        <f t="shared" si="14"/>
        <v>2.6371425843261207</v>
      </c>
      <c r="Y13" s="165">
        <f t="shared" si="6"/>
        <v>11.643266538189527</v>
      </c>
      <c r="Z13" s="41">
        <f t="shared" si="7"/>
        <v>74.188789723244454</v>
      </c>
    </row>
    <row r="14" spans="2:26" ht="18.75" x14ac:dyDescent="0.3">
      <c r="B14" s="163" t="s">
        <v>33</v>
      </c>
      <c r="C14" s="169">
        <f>Table_2_Dashboard!D19</f>
        <v>1.9699999999999999E-4</v>
      </c>
      <c r="D14" s="8"/>
      <c r="E14" s="9" t="s">
        <v>386</v>
      </c>
      <c r="F14" s="10" t="s">
        <v>14</v>
      </c>
      <c r="G14" s="11">
        <v>12</v>
      </c>
      <c r="H14" s="40"/>
      <c r="I14" s="29">
        <f t="shared" si="15"/>
        <v>99875.956537246588</v>
      </c>
      <c r="J14" s="32"/>
      <c r="K14" s="31">
        <f t="shared" si="1"/>
        <v>99875.956537246588</v>
      </c>
      <c r="L14" s="29">
        <f t="shared" si="8"/>
        <v>26.253509047461787</v>
      </c>
      <c r="M14" s="34"/>
      <c r="N14" s="30">
        <f t="shared" si="2"/>
        <v>6.5633772618654467</v>
      </c>
      <c r="O14" s="30">
        <f>L14*(1-$C$10)*Table_2_Dashboard!J16</f>
        <v>0</v>
      </c>
      <c r="P14" s="31">
        <f t="shared" si="10"/>
        <v>19.690131785596339</v>
      </c>
      <c r="Q14" s="29">
        <f t="shared" si="11"/>
        <v>47.935280675782664</v>
      </c>
      <c r="R14" s="30">
        <f t="shared" si="12"/>
        <v>8.7511696824872622</v>
      </c>
      <c r="S14" s="30">
        <f t="shared" si="3"/>
        <v>3.4239486196987614</v>
      </c>
      <c r="T14" s="30">
        <f>Q14*(1-$C$11)*Table_2_Dashboard!J16</f>
        <v>0</v>
      </c>
      <c r="U14" s="30">
        <f t="shared" si="4"/>
        <v>6.039845365148615</v>
      </c>
      <c r="V14" s="31">
        <f t="shared" si="5"/>
        <v>47.222656373422545</v>
      </c>
      <c r="W14" s="29">
        <f t="shared" si="13"/>
        <v>11.643266538189527</v>
      </c>
      <c r="X14" s="30">
        <f t="shared" si="14"/>
        <v>3.2277549334697682</v>
      </c>
      <c r="Y14" s="165">
        <f t="shared" si="6"/>
        <v>14.871021471659295</v>
      </c>
      <c r="Z14" s="41">
        <f t="shared" si="7"/>
        <v>66.912788159018888</v>
      </c>
    </row>
    <row r="15" spans="2:26" ht="18.75" x14ac:dyDescent="0.3">
      <c r="B15" s="163" t="s">
        <v>34</v>
      </c>
      <c r="C15" s="170">
        <v>1</v>
      </c>
      <c r="D15" s="8"/>
      <c r="E15" s="9" t="s">
        <v>387</v>
      </c>
      <c r="F15" s="10" t="s">
        <v>15</v>
      </c>
      <c r="G15" s="11">
        <v>13</v>
      </c>
      <c r="H15" s="40"/>
      <c r="I15" s="29">
        <f t="shared" si="15"/>
        <v>99875.956537246588</v>
      </c>
      <c r="J15" s="32"/>
      <c r="K15" s="31">
        <f t="shared" si="1"/>
        <v>99875.956537246588</v>
      </c>
      <c r="L15" s="29">
        <f t="shared" si="8"/>
        <v>19.690131785596339</v>
      </c>
      <c r="M15" s="34"/>
      <c r="N15" s="30">
        <f t="shared" si="2"/>
        <v>4.9225329463990848</v>
      </c>
      <c r="O15" s="30">
        <f>L15*(1-$C$10)*Table_2_Dashboard!J17</f>
        <v>0</v>
      </c>
      <c r="P15" s="31">
        <f t="shared" si="10"/>
        <v>14.767598839197255</v>
      </c>
      <c r="Q15" s="29">
        <f t="shared" si="11"/>
        <v>47.222656373422545</v>
      </c>
      <c r="R15" s="30">
        <f t="shared" si="12"/>
        <v>6.5633772618654467</v>
      </c>
      <c r="S15" s="30">
        <f t="shared" si="3"/>
        <v>3.373046883815896</v>
      </c>
      <c r="T15" s="30">
        <f>Q15*(1-$C$11)*Table_2_Dashboard!J17</f>
        <v>0</v>
      </c>
      <c r="U15" s="30">
        <f t="shared" si="4"/>
        <v>5.9500547030512401</v>
      </c>
      <c r="V15" s="31">
        <f t="shared" si="5"/>
        <v>44.462932048420853</v>
      </c>
      <c r="W15" s="29">
        <f t="shared" si="13"/>
        <v>14.871021471659295</v>
      </c>
      <c r="X15" s="30">
        <f t="shared" si="14"/>
        <v>3.4239486196987614</v>
      </c>
      <c r="Y15" s="165">
        <f t="shared" si="6"/>
        <v>18.294970091358056</v>
      </c>
      <c r="Z15" s="41">
        <f t="shared" si="7"/>
        <v>59.230530887618109</v>
      </c>
    </row>
    <row r="16" spans="2:26" ht="16.5" x14ac:dyDescent="0.3">
      <c r="B16" s="168"/>
      <c r="C16" s="169"/>
      <c r="D16" s="8"/>
      <c r="E16" s="9" t="s">
        <v>388</v>
      </c>
      <c r="F16" s="10" t="s">
        <v>16</v>
      </c>
      <c r="G16" s="11">
        <v>14</v>
      </c>
      <c r="H16" s="40"/>
      <c r="I16" s="29">
        <f t="shared" si="15"/>
        <v>99875.956537246588</v>
      </c>
      <c r="J16" s="32"/>
      <c r="K16" s="31">
        <f t="shared" si="1"/>
        <v>99875.956537246588</v>
      </c>
      <c r="L16" s="29">
        <f t="shared" si="8"/>
        <v>14.767598839197255</v>
      </c>
      <c r="M16" s="34"/>
      <c r="N16" s="30">
        <f t="shared" si="2"/>
        <v>3.6918997097993138</v>
      </c>
      <c r="O16" s="30">
        <f>L16*(1-$C$10)*Table_2_Dashboard!J18</f>
        <v>0</v>
      </c>
      <c r="P16" s="31">
        <f t="shared" si="10"/>
        <v>11.075699129397941</v>
      </c>
      <c r="Q16" s="29">
        <f t="shared" si="11"/>
        <v>44.462932048420853</v>
      </c>
      <c r="R16" s="30">
        <f t="shared" si="12"/>
        <v>4.9225329463990848</v>
      </c>
      <c r="S16" s="30">
        <f t="shared" si="3"/>
        <v>3.1759237177443467</v>
      </c>
      <c r="T16" s="30">
        <f>Q16*(1-$C$11)*Table_2_Dashboard!J18</f>
        <v>0</v>
      </c>
      <c r="U16" s="30">
        <f t="shared" si="4"/>
        <v>5.6023294381010267</v>
      </c>
      <c r="V16" s="31">
        <f t="shared" si="5"/>
        <v>40.607211838974564</v>
      </c>
      <c r="W16" s="29">
        <f t="shared" si="13"/>
        <v>18.294970091358056</v>
      </c>
      <c r="X16" s="30">
        <f t="shared" si="14"/>
        <v>3.373046883815896</v>
      </c>
      <c r="Y16" s="165">
        <f t="shared" si="6"/>
        <v>21.668016975173952</v>
      </c>
      <c r="Z16" s="41">
        <f t="shared" si="7"/>
        <v>51.682910968372504</v>
      </c>
    </row>
    <row r="17" spans="2:26" ht="16.5" x14ac:dyDescent="0.3">
      <c r="B17" s="185" t="s">
        <v>41</v>
      </c>
      <c r="C17" s="186" t="s">
        <v>0</v>
      </c>
      <c r="D17" s="8"/>
      <c r="E17" s="9" t="s">
        <v>389</v>
      </c>
      <c r="F17" s="10" t="s">
        <v>17</v>
      </c>
      <c r="G17" s="11">
        <v>15</v>
      </c>
      <c r="H17" s="40"/>
      <c r="I17" s="29">
        <f t="shared" si="15"/>
        <v>99875.956537246588</v>
      </c>
      <c r="J17" s="32"/>
      <c r="K17" s="31">
        <f t="shared" si="1"/>
        <v>99875.956537246588</v>
      </c>
      <c r="L17" s="29">
        <f t="shared" si="8"/>
        <v>11.075699129397941</v>
      </c>
      <c r="M17" s="34"/>
      <c r="N17" s="30">
        <f t="shared" si="2"/>
        <v>2.7689247823494854</v>
      </c>
      <c r="O17" s="30">
        <f>L17*(1-$C$10)*Table_2_Dashboard!J19</f>
        <v>0</v>
      </c>
      <c r="P17" s="31">
        <f t="shared" si="10"/>
        <v>8.3067743470484565</v>
      </c>
      <c r="Q17" s="29">
        <f t="shared" si="11"/>
        <v>40.607211838974564</v>
      </c>
      <c r="R17" s="30">
        <f t="shared" si="12"/>
        <v>3.6918997097993138</v>
      </c>
      <c r="S17" s="30">
        <f t="shared" si="3"/>
        <v>2.9005151313553257</v>
      </c>
      <c r="T17" s="30">
        <f>Q17*(1-$C$11)*Table_2_Dashboard!J19</f>
        <v>0</v>
      </c>
      <c r="U17" s="30">
        <f t="shared" si="4"/>
        <v>5.116508691710794</v>
      </c>
      <c r="V17" s="31">
        <f t="shared" si="5"/>
        <v>36.282087725707761</v>
      </c>
      <c r="W17" s="29">
        <f t="shared" si="13"/>
        <v>21.668016975173952</v>
      </c>
      <c r="X17" s="30">
        <f t="shared" si="14"/>
        <v>3.1759237177443467</v>
      </c>
      <c r="Y17" s="165">
        <f t="shared" si="6"/>
        <v>24.843940692918299</v>
      </c>
      <c r="Z17" s="41">
        <f t="shared" si="7"/>
        <v>44.588862072756214</v>
      </c>
    </row>
    <row r="18" spans="2:26" ht="18.75" x14ac:dyDescent="0.3">
      <c r="B18" s="163" t="s">
        <v>35</v>
      </c>
      <c r="C18" s="169">
        <f>Table_2_Dashboard!D30</f>
        <v>0.3</v>
      </c>
      <c r="D18" s="8"/>
      <c r="E18" s="9" t="s">
        <v>390</v>
      </c>
      <c r="F18" s="10" t="s">
        <v>18</v>
      </c>
      <c r="G18" s="11">
        <v>16</v>
      </c>
      <c r="H18" s="40"/>
      <c r="I18" s="29">
        <f t="shared" si="15"/>
        <v>99875.956537246588</v>
      </c>
      <c r="J18" s="32"/>
      <c r="K18" s="31">
        <f t="shared" si="1"/>
        <v>99875.956537246588</v>
      </c>
      <c r="L18" s="29">
        <f t="shared" si="8"/>
        <v>8.3067743470484565</v>
      </c>
      <c r="M18" s="34"/>
      <c r="N18" s="30">
        <f t="shared" si="2"/>
        <v>2.0766935867621141</v>
      </c>
      <c r="O18" s="30">
        <f>L18*(1-$C$10)*Table_2_Dashboard!J20</f>
        <v>0</v>
      </c>
      <c r="P18" s="31">
        <f t="shared" si="10"/>
        <v>6.2300807602863424</v>
      </c>
      <c r="Q18" s="29">
        <f t="shared" si="11"/>
        <v>36.282087725707761</v>
      </c>
      <c r="R18" s="30">
        <f t="shared" si="12"/>
        <v>2.7689247823494854</v>
      </c>
      <c r="S18" s="30">
        <f t="shared" si="3"/>
        <v>2.5915776946934113</v>
      </c>
      <c r="T18" s="30">
        <f>Q18*(1-$C$11)*Table_2_Dashboard!J20</f>
        <v>0</v>
      </c>
      <c r="U18" s="30">
        <f t="shared" si="4"/>
        <v>4.5715430534391777</v>
      </c>
      <c r="V18" s="31">
        <f t="shared" si="5"/>
        <v>31.887891759924656</v>
      </c>
      <c r="W18" s="29">
        <f t="shared" si="13"/>
        <v>24.843940692918299</v>
      </c>
      <c r="X18" s="30">
        <f t="shared" si="14"/>
        <v>2.9005151313553257</v>
      </c>
      <c r="Y18" s="165">
        <f t="shared" si="6"/>
        <v>27.744455824273626</v>
      </c>
      <c r="Z18" s="41">
        <f t="shared" si="7"/>
        <v>38.117972520210998</v>
      </c>
    </row>
    <row r="19" spans="2:26" ht="18.75" x14ac:dyDescent="0.3">
      <c r="B19" s="163" t="s">
        <v>36</v>
      </c>
      <c r="C19" s="169">
        <f>(((C15)*(1-C18))+(1-C15))</f>
        <v>0.7</v>
      </c>
      <c r="D19" s="8"/>
      <c r="E19" s="9" t="s">
        <v>391</v>
      </c>
      <c r="F19" s="10" t="s">
        <v>19</v>
      </c>
      <c r="G19" s="11">
        <v>17</v>
      </c>
      <c r="H19" s="40"/>
      <c r="I19" s="29">
        <f t="shared" si="15"/>
        <v>99875.956537246588</v>
      </c>
      <c r="J19" s="32"/>
      <c r="K19" s="31">
        <f t="shared" si="1"/>
        <v>99875.956537246588</v>
      </c>
      <c r="L19" s="29">
        <f t="shared" si="8"/>
        <v>6.2300807602863424</v>
      </c>
      <c r="M19" s="34"/>
      <c r="N19" s="30">
        <f t="shared" si="2"/>
        <v>1.5575201900715856</v>
      </c>
      <c r="O19" s="30">
        <f>L19*(1-$C$10)*Table_2_Dashboard!J21</f>
        <v>0</v>
      </c>
      <c r="P19" s="31">
        <f t="shared" si="10"/>
        <v>4.672560570214757</v>
      </c>
      <c r="Q19" s="29">
        <f t="shared" si="11"/>
        <v>31.887891759924656</v>
      </c>
      <c r="R19" s="30">
        <f t="shared" si="12"/>
        <v>2.0766935867621141</v>
      </c>
      <c r="S19" s="30">
        <f t="shared" si="3"/>
        <v>2.2777065542803325</v>
      </c>
      <c r="T19" s="30">
        <f>Q19*(1-$C$11)*Table_2_Dashboard!J21</f>
        <v>0</v>
      </c>
      <c r="U19" s="30">
        <f t="shared" si="4"/>
        <v>4.0178743617505059</v>
      </c>
      <c r="V19" s="31">
        <f t="shared" si="5"/>
        <v>27.669004430655932</v>
      </c>
      <c r="W19" s="29">
        <f t="shared" si="13"/>
        <v>27.744455824273626</v>
      </c>
      <c r="X19" s="30">
        <f t="shared" si="14"/>
        <v>2.5915776946934113</v>
      </c>
      <c r="Y19" s="165">
        <f t="shared" si="6"/>
        <v>30.336033518967035</v>
      </c>
      <c r="Z19" s="41">
        <f t="shared" si="7"/>
        <v>32.341565000870688</v>
      </c>
    </row>
    <row r="20" spans="2:26" ht="18.75" x14ac:dyDescent="0.3">
      <c r="B20" s="163" t="s">
        <v>37</v>
      </c>
      <c r="C20" s="169">
        <f>Table_2_Dashboard!D31</f>
        <v>0.7</v>
      </c>
      <c r="D20" s="8"/>
      <c r="E20" s="9" t="s">
        <v>392</v>
      </c>
      <c r="F20" s="10" t="s">
        <v>20</v>
      </c>
      <c r="G20" s="11">
        <v>18</v>
      </c>
      <c r="H20" s="40"/>
      <c r="I20" s="29">
        <f t="shared" si="15"/>
        <v>99875.956537246588</v>
      </c>
      <c r="J20" s="32"/>
      <c r="K20" s="31">
        <f t="shared" si="1"/>
        <v>99875.956537246588</v>
      </c>
      <c r="L20" s="29">
        <f t="shared" si="8"/>
        <v>4.672560570214757</v>
      </c>
      <c r="M20" s="34"/>
      <c r="N20" s="30">
        <f t="shared" si="2"/>
        <v>1.1681401425536893</v>
      </c>
      <c r="O20" s="30">
        <f>L20*(1-$C$10)*Table_2_Dashboard!J22</f>
        <v>0</v>
      </c>
      <c r="P20" s="31">
        <f t="shared" si="10"/>
        <v>3.504420427661068</v>
      </c>
      <c r="Q20" s="29">
        <f t="shared" si="11"/>
        <v>27.669004430655932</v>
      </c>
      <c r="R20" s="30">
        <f t="shared" si="12"/>
        <v>1.5575201900715856</v>
      </c>
      <c r="S20" s="30">
        <f t="shared" si="3"/>
        <v>1.9763574593325663</v>
      </c>
      <c r="T20" s="30">
        <f>Q20*(1-$C$11)*Table_2_Dashboard!J22</f>
        <v>0</v>
      </c>
      <c r="U20" s="30">
        <f t="shared" si="4"/>
        <v>3.4862945582626468</v>
      </c>
      <c r="V20" s="31">
        <f t="shared" si="5"/>
        <v>23.763872603132306</v>
      </c>
      <c r="W20" s="29">
        <f t="shared" si="13"/>
        <v>30.336033518967035</v>
      </c>
      <c r="X20" s="30">
        <f t="shared" si="14"/>
        <v>2.2777065542803325</v>
      </c>
      <c r="Y20" s="165">
        <f t="shared" si="6"/>
        <v>32.613740073247371</v>
      </c>
      <c r="Z20" s="41">
        <f t="shared" si="7"/>
        <v>27.268293030793373</v>
      </c>
    </row>
    <row r="21" spans="2:26" ht="18.75" x14ac:dyDescent="0.3">
      <c r="B21" s="163" t="s">
        <v>38</v>
      </c>
      <c r="C21" s="102">
        <f>(((C15)*(1-C20))+(1-C15))</f>
        <v>0.30000000000000004</v>
      </c>
      <c r="D21" s="8"/>
      <c r="E21" s="9" t="s">
        <v>393</v>
      </c>
      <c r="F21" s="10" t="s">
        <v>21</v>
      </c>
      <c r="G21" s="11">
        <v>19</v>
      </c>
      <c r="H21" s="40"/>
      <c r="I21" s="29">
        <f t="shared" si="15"/>
        <v>99875.956537246588</v>
      </c>
      <c r="J21" s="32"/>
      <c r="K21" s="31">
        <f t="shared" si="1"/>
        <v>99875.956537246588</v>
      </c>
      <c r="L21" s="29">
        <f t="shared" si="8"/>
        <v>3.504420427661068</v>
      </c>
      <c r="M21" s="34"/>
      <c r="N21" s="30">
        <f t="shared" si="2"/>
        <v>0.876105106915267</v>
      </c>
      <c r="O21" s="30">
        <f>L21*(1-$C$10)*Table_2_Dashboard!J23</f>
        <v>0</v>
      </c>
      <c r="P21" s="31">
        <f t="shared" si="10"/>
        <v>2.6283153207458012</v>
      </c>
      <c r="Q21" s="29">
        <f t="shared" si="11"/>
        <v>23.763872603132306</v>
      </c>
      <c r="R21" s="30">
        <f t="shared" si="12"/>
        <v>1.1681401425536893</v>
      </c>
      <c r="S21" s="30">
        <f t="shared" si="3"/>
        <v>1.6974194716523074</v>
      </c>
      <c r="T21" s="30">
        <f>Q21*(1-$C$11)*Table_2_Dashboard!J23</f>
        <v>0</v>
      </c>
      <c r="U21" s="30">
        <f t="shared" si="4"/>
        <v>2.99424794799467</v>
      </c>
      <c r="V21" s="31">
        <f t="shared" si="5"/>
        <v>20.240345326039019</v>
      </c>
      <c r="W21" s="29">
        <f t="shared" si="13"/>
        <v>32.613740073247371</v>
      </c>
      <c r="X21" s="30">
        <f t="shared" si="14"/>
        <v>1.9763574593325663</v>
      </c>
      <c r="Y21" s="165">
        <f t="shared" si="6"/>
        <v>34.590097532579939</v>
      </c>
      <c r="Z21" s="41">
        <f t="shared" si="7"/>
        <v>22.868660646784821</v>
      </c>
    </row>
    <row r="22" spans="2:26" ht="16.5" x14ac:dyDescent="0.3">
      <c r="B22" s="168"/>
      <c r="C22" s="171"/>
      <c r="D22" s="8"/>
      <c r="E22" s="9" t="s">
        <v>394</v>
      </c>
      <c r="F22" s="10" t="s">
        <v>22</v>
      </c>
      <c r="G22" s="11">
        <v>20</v>
      </c>
      <c r="H22" s="40"/>
      <c r="I22" s="29">
        <f t="shared" si="15"/>
        <v>99875.956537246588</v>
      </c>
      <c r="J22" s="32"/>
      <c r="K22" s="31">
        <f t="shared" si="1"/>
        <v>99875.956537246588</v>
      </c>
      <c r="L22" s="29">
        <f t="shared" si="8"/>
        <v>2.6283153207458012</v>
      </c>
      <c r="M22" s="34"/>
      <c r="N22" s="30">
        <f t="shared" si="2"/>
        <v>0.6570788301864503</v>
      </c>
      <c r="O22" s="30">
        <f>L22*(1-$C$10)*Table_2_Dashboard!J24</f>
        <v>0</v>
      </c>
      <c r="P22" s="31">
        <f t="shared" si="10"/>
        <v>1.9712364905593509</v>
      </c>
      <c r="Q22" s="29">
        <f t="shared" si="11"/>
        <v>20.240345326039019</v>
      </c>
      <c r="R22" s="30">
        <f t="shared" si="12"/>
        <v>0.876105106915267</v>
      </c>
      <c r="S22" s="30">
        <f t="shared" si="3"/>
        <v>1.44573895185993</v>
      </c>
      <c r="T22" s="30">
        <f>Q22*(1-$C$11)*Table_2_Dashboard!J24</f>
        <v>0</v>
      </c>
      <c r="U22" s="30">
        <f t="shared" si="4"/>
        <v>2.5502835110809161</v>
      </c>
      <c r="V22" s="31">
        <f t="shared" si="5"/>
        <v>17.120427970013441</v>
      </c>
      <c r="W22" s="29">
        <f t="shared" si="13"/>
        <v>34.590097532579939</v>
      </c>
      <c r="X22" s="30">
        <f t="shared" si="14"/>
        <v>1.6974194716523074</v>
      </c>
      <c r="Y22" s="165">
        <f t="shared" si="6"/>
        <v>36.287517004232249</v>
      </c>
      <c r="Z22" s="41">
        <f t="shared" si="7"/>
        <v>19.091664460572794</v>
      </c>
    </row>
    <row r="23" spans="2:26" ht="16.5" x14ac:dyDescent="0.3">
      <c r="B23" s="168"/>
      <c r="C23" s="171"/>
      <c r="D23" s="8"/>
      <c r="E23" s="9" t="s">
        <v>395</v>
      </c>
      <c r="F23" s="10" t="s">
        <v>13</v>
      </c>
      <c r="G23" s="11">
        <v>21</v>
      </c>
      <c r="H23" s="40"/>
      <c r="I23" s="29">
        <f t="shared" si="15"/>
        <v>99875.956537246588</v>
      </c>
      <c r="J23" s="32"/>
      <c r="K23" s="31">
        <f t="shared" si="1"/>
        <v>99875.956537246588</v>
      </c>
      <c r="L23" s="29">
        <f t="shared" si="8"/>
        <v>1.9712364905593509</v>
      </c>
      <c r="M23" s="34"/>
      <c r="N23" s="30">
        <f t="shared" si="2"/>
        <v>0.49280912263983773</v>
      </c>
      <c r="O23" s="30">
        <f>L23*(1-$C$10)*Table_2_Dashboard!J25</f>
        <v>0</v>
      </c>
      <c r="P23" s="31">
        <f t="shared" si="10"/>
        <v>1.4784273679195132</v>
      </c>
      <c r="Q23" s="29">
        <f t="shared" si="11"/>
        <v>17.120427970013441</v>
      </c>
      <c r="R23" s="30">
        <f t="shared" si="12"/>
        <v>0.6570788301864503</v>
      </c>
      <c r="S23" s="30">
        <f t="shared" si="3"/>
        <v>1.2228877121438171</v>
      </c>
      <c r="T23" s="30">
        <f>Q23*(1-$C$11)*Table_2_Dashboard!J25</f>
        <v>0</v>
      </c>
      <c r="U23" s="30">
        <f t="shared" si="4"/>
        <v>2.1571739242216932</v>
      </c>
      <c r="V23" s="31">
        <f t="shared" si="5"/>
        <v>14.397445163834382</v>
      </c>
      <c r="W23" s="29">
        <f t="shared" si="13"/>
        <v>36.287517004232249</v>
      </c>
      <c r="X23" s="30">
        <f t="shared" si="14"/>
        <v>1.44573895185993</v>
      </c>
      <c r="Y23" s="165">
        <f t="shared" si="6"/>
        <v>37.733255956092179</v>
      </c>
      <c r="Z23" s="41">
        <f t="shared" si="7"/>
        <v>15.875872531753895</v>
      </c>
    </row>
    <row r="24" spans="2:26" ht="17.25" thickBot="1" x14ac:dyDescent="0.35">
      <c r="B24" s="172"/>
      <c r="C24" s="173"/>
      <c r="D24" s="8"/>
      <c r="E24" s="20" t="s">
        <v>396</v>
      </c>
      <c r="F24" s="21" t="s">
        <v>23</v>
      </c>
      <c r="G24" s="22">
        <v>22</v>
      </c>
      <c r="H24" s="40"/>
      <c r="I24" s="35">
        <f>K23</f>
        <v>99875.956537246588</v>
      </c>
      <c r="J24" s="36"/>
      <c r="K24" s="37">
        <f t="shared" si="1"/>
        <v>99875.956537246588</v>
      </c>
      <c r="L24" s="35">
        <f t="shared" si="8"/>
        <v>1.4784273679195132</v>
      </c>
      <c r="M24" s="36"/>
      <c r="N24" s="38">
        <f t="shared" si="2"/>
        <v>0.36960684197987831</v>
      </c>
      <c r="O24" s="38">
        <f>L24*(1-$C$10)*Table_2_Dashboard!J26</f>
        <v>0</v>
      </c>
      <c r="P24" s="37">
        <f t="shared" si="10"/>
        <v>1.1088205259396349</v>
      </c>
      <c r="Q24" s="29">
        <f t="shared" si="11"/>
        <v>14.397445163834382</v>
      </c>
      <c r="R24" s="38">
        <f t="shared" si="12"/>
        <v>0.49280912263983773</v>
      </c>
      <c r="S24" s="38">
        <f t="shared" si="3"/>
        <v>1.0283889402738844</v>
      </c>
      <c r="T24" s="38">
        <f>Q24*(1-$C$11)*Table_2_Dashboard!J26</f>
        <v>0</v>
      </c>
      <c r="U24" s="38">
        <f t="shared" si="4"/>
        <v>1.8140780906431317</v>
      </c>
      <c r="V24" s="37">
        <f t="shared" si="5"/>
        <v>12.047787255557202</v>
      </c>
      <c r="W24" s="29">
        <f t="shared" si="13"/>
        <v>37.733255956092179</v>
      </c>
      <c r="X24" s="30">
        <f t="shared" si="14"/>
        <v>1.2228877121438171</v>
      </c>
      <c r="Y24" s="165">
        <f t="shared" si="6"/>
        <v>38.956143668235995</v>
      </c>
      <c r="Z24" s="42">
        <f t="shared" si="7"/>
        <v>13.156607781496836</v>
      </c>
    </row>
    <row r="25" spans="2:26" ht="4.9000000000000004" customHeight="1" thickBot="1" x14ac:dyDescent="0.35">
      <c r="B25" s="23"/>
      <c r="C25" s="24"/>
      <c r="D25" s="8"/>
      <c r="E25" s="12"/>
      <c r="F25" s="12"/>
      <c r="G25" s="12"/>
      <c r="H25" s="12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2:26" ht="16.149999999999999" customHeight="1" thickBot="1" x14ac:dyDescent="0.35">
      <c r="B26" s="189">
        <v>1</v>
      </c>
      <c r="C26" s="191"/>
      <c r="D26" s="6"/>
      <c r="E26" s="189">
        <v>2</v>
      </c>
      <c r="F26" s="190"/>
      <c r="G26" s="191"/>
      <c r="H26" s="6"/>
      <c r="I26" s="189">
        <v>3</v>
      </c>
      <c r="J26" s="190"/>
      <c r="K26" s="191"/>
      <c r="L26" s="189">
        <v>4</v>
      </c>
      <c r="M26" s="190"/>
      <c r="N26" s="190"/>
      <c r="O26" s="190"/>
      <c r="P26" s="191"/>
      <c r="Q26" s="189">
        <v>5</v>
      </c>
      <c r="R26" s="190"/>
      <c r="S26" s="190"/>
      <c r="T26" s="190"/>
      <c r="U26" s="190"/>
      <c r="V26" s="191"/>
      <c r="W26" s="189">
        <v>6</v>
      </c>
      <c r="X26" s="190"/>
      <c r="Y26" s="191"/>
      <c r="Z26" s="26">
        <v>7</v>
      </c>
    </row>
    <row r="27" spans="2:26" ht="34.9" customHeight="1" x14ac:dyDescent="0.25"/>
  </sheetData>
  <mergeCells count="6">
    <mergeCell ref="W26:Y26"/>
    <mergeCell ref="B26:C26"/>
    <mergeCell ref="E26:G26"/>
    <mergeCell ref="I26:K26"/>
    <mergeCell ref="L26:P26"/>
    <mergeCell ref="Q26:V2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DA27-96E8-4401-B2C5-618FAC48582B}">
  <dimension ref="B1:Z27"/>
  <sheetViews>
    <sheetView workbookViewId="0">
      <selection sqref="A1:XFD1048576"/>
    </sheetView>
  </sheetViews>
  <sheetFormatPr defaultRowHeight="15.75" x14ac:dyDescent="0.25"/>
  <cols>
    <col min="1" max="1" width="1.85546875" style="1" customWidth="1"/>
    <col min="2" max="2" width="4.85546875" style="3" customWidth="1"/>
    <col min="3" max="3" width="11.28515625" style="2" customWidth="1"/>
    <col min="4" max="4" width="2.7109375" style="1" customWidth="1"/>
    <col min="5" max="5" width="6" style="2" bestFit="1" customWidth="1"/>
    <col min="6" max="6" width="10.85546875" style="2" bestFit="1" customWidth="1"/>
    <col min="7" max="7" width="3" style="2" bestFit="1" customWidth="1"/>
    <col min="8" max="8" width="1.42578125" style="2" customWidth="1"/>
    <col min="9" max="9" width="9" style="2" bestFit="1" customWidth="1"/>
    <col min="10" max="10" width="12.140625" style="2" bestFit="1" customWidth="1"/>
    <col min="11" max="11" width="8.85546875" style="1" bestFit="1" customWidth="1"/>
    <col min="12" max="12" width="9.140625" style="1" bestFit="1" customWidth="1"/>
    <col min="13" max="13" width="12.140625" style="1" bestFit="1" customWidth="1"/>
    <col min="14" max="14" width="10.7109375" style="1" bestFit="1" customWidth="1"/>
    <col min="15" max="15" width="14.140625" style="1" bestFit="1" customWidth="1"/>
    <col min="16" max="16" width="6" style="1" bestFit="1" customWidth="1"/>
    <col min="17" max="17" width="8.140625" style="1" bestFit="1" customWidth="1"/>
    <col min="18" max="18" width="10.7109375" style="1" bestFit="1" customWidth="1"/>
    <col min="19" max="19" width="9.85546875" style="1" bestFit="1" customWidth="1"/>
    <col min="20" max="20" width="13.42578125" style="1" bestFit="1" customWidth="1"/>
    <col min="21" max="21" width="15.140625" style="1" bestFit="1" customWidth="1"/>
    <col min="22" max="22" width="5.42578125" style="1" bestFit="1" customWidth="1"/>
    <col min="23" max="23" width="9.28515625" style="1" bestFit="1" customWidth="1"/>
    <col min="24" max="24" width="9.85546875" style="1" bestFit="1" customWidth="1"/>
    <col min="25" max="25" width="6.140625" style="1" bestFit="1" customWidth="1"/>
    <col min="26" max="26" width="8.42578125" style="1" bestFit="1" customWidth="1"/>
    <col min="27" max="16384" width="9.140625" style="1"/>
  </cols>
  <sheetData>
    <row r="1" spans="2:26" ht="6.6" customHeight="1" thickBot="1" x14ac:dyDescent="0.3"/>
    <row r="2" spans="2:26" ht="21.75" x14ac:dyDescent="0.4">
      <c r="B2" s="180" t="s">
        <v>39</v>
      </c>
      <c r="C2" s="181" t="s">
        <v>0</v>
      </c>
      <c r="D2" s="5"/>
      <c r="E2" s="182" t="s">
        <v>469</v>
      </c>
      <c r="F2" s="183" t="s">
        <v>470</v>
      </c>
      <c r="G2" s="184" t="s">
        <v>468</v>
      </c>
      <c r="H2" s="6"/>
      <c r="I2" s="174" t="s">
        <v>586</v>
      </c>
      <c r="J2" s="175" t="s">
        <v>587</v>
      </c>
      <c r="K2" s="176" t="s">
        <v>588</v>
      </c>
      <c r="L2" s="174" t="s">
        <v>589</v>
      </c>
      <c r="M2" s="177" t="s">
        <v>587</v>
      </c>
      <c r="N2" s="177" t="s">
        <v>590</v>
      </c>
      <c r="O2" s="177" t="s">
        <v>591</v>
      </c>
      <c r="P2" s="176" t="s">
        <v>592</v>
      </c>
      <c r="Q2" s="178" t="s">
        <v>593</v>
      </c>
      <c r="R2" s="177" t="s">
        <v>590</v>
      </c>
      <c r="S2" s="177" t="s">
        <v>577</v>
      </c>
      <c r="T2" s="177" t="s">
        <v>594</v>
      </c>
      <c r="U2" s="177" t="s">
        <v>595</v>
      </c>
      <c r="V2" s="176" t="s">
        <v>596</v>
      </c>
      <c r="W2" s="174" t="s">
        <v>597</v>
      </c>
      <c r="X2" s="177" t="s">
        <v>577</v>
      </c>
      <c r="Y2" s="176" t="s">
        <v>598</v>
      </c>
      <c r="Z2" s="179" t="s">
        <v>574</v>
      </c>
    </row>
    <row r="3" spans="2:26" ht="18.75" x14ac:dyDescent="0.3">
      <c r="B3" s="163" t="s">
        <v>24</v>
      </c>
      <c r="C3" s="164">
        <f>Table_2_Dashboard!D5</f>
        <v>100000</v>
      </c>
      <c r="D3" s="8"/>
      <c r="E3" s="9" t="s">
        <v>1</v>
      </c>
      <c r="F3" s="10" t="s">
        <v>2</v>
      </c>
      <c r="G3" s="11">
        <v>1</v>
      </c>
      <c r="H3" s="40"/>
      <c r="I3" s="29">
        <f>C3-L3-Q3-W3</f>
        <v>99990.06</v>
      </c>
      <c r="J3" s="30">
        <f>I3*$C$14*$C$19</f>
        <v>9.9390119640000005</v>
      </c>
      <c r="K3" s="31">
        <f>I3-J3</f>
        <v>99980.120988035997</v>
      </c>
      <c r="L3" s="29">
        <f>C3*$C$14*$C$19*0.5</f>
        <v>4.97</v>
      </c>
      <c r="M3" s="30">
        <v>0</v>
      </c>
      <c r="N3" s="30">
        <f>L3*$C$6</f>
        <v>1.2424999999999999</v>
      </c>
      <c r="O3" s="32"/>
      <c r="P3" s="31">
        <f>L3+M3-N3-O3</f>
        <v>3.7275</v>
      </c>
      <c r="Q3" s="29">
        <f>C3*$C$14*$C$19*0.5</f>
        <v>4.97</v>
      </c>
      <c r="R3" s="30">
        <v>0</v>
      </c>
      <c r="S3" s="30">
        <f>Q3*$C$8</f>
        <v>0.35499999999999998</v>
      </c>
      <c r="T3" s="32"/>
      <c r="U3" s="30">
        <f>Q3*$C$9*(1-$C$21)</f>
        <v>0.62621999999999989</v>
      </c>
      <c r="V3" s="31">
        <f>Q3+R3-S3-T3-U3</f>
        <v>3.9887800000000002</v>
      </c>
      <c r="W3" s="29">
        <v>0</v>
      </c>
      <c r="X3" s="30">
        <v>0</v>
      </c>
      <c r="Y3" s="165">
        <f>W3+X3</f>
        <v>0</v>
      </c>
      <c r="Z3" s="41">
        <f>P3+V3</f>
        <v>7.7162800000000002</v>
      </c>
    </row>
    <row r="4" spans="2:26" ht="18.75" x14ac:dyDescent="0.3">
      <c r="B4" s="163" t="s">
        <v>25</v>
      </c>
      <c r="C4" s="166">
        <f>C14*2</f>
        <v>2.8400000000000002E-4</v>
      </c>
      <c r="D4" s="8"/>
      <c r="E4" s="9" t="s">
        <v>1</v>
      </c>
      <c r="F4" s="10" t="s">
        <v>2</v>
      </c>
      <c r="G4" s="11">
        <v>2</v>
      </c>
      <c r="H4" s="40"/>
      <c r="I4" s="29">
        <f>K3</f>
        <v>99980.120988035997</v>
      </c>
      <c r="J4" s="30">
        <f t="shared" ref="J4:J8" si="0">I4*$C$14*$C$19</f>
        <v>9.938024026210778</v>
      </c>
      <c r="K4" s="31">
        <f t="shared" ref="K4:K24" si="1">I4-J4</f>
        <v>99970.182964009786</v>
      </c>
      <c r="L4" s="29">
        <f>P3</f>
        <v>3.7275</v>
      </c>
      <c r="M4" s="30">
        <f>J3</f>
        <v>9.9390119640000005</v>
      </c>
      <c r="N4" s="30">
        <f t="shared" ref="N4:N24" si="2">L4*$C$6</f>
        <v>0.93187500000000001</v>
      </c>
      <c r="O4" s="32"/>
      <c r="P4" s="31">
        <f>L4+M4-N4-O4</f>
        <v>12.734636964000002</v>
      </c>
      <c r="Q4" s="29">
        <f>V3</f>
        <v>3.9887800000000002</v>
      </c>
      <c r="R4" s="30">
        <f>N3</f>
        <v>1.2424999999999999</v>
      </c>
      <c r="S4" s="30">
        <f t="shared" ref="S4:S24" si="3">Q4*$C$8</f>
        <v>0.28491285714285713</v>
      </c>
      <c r="T4" s="32"/>
      <c r="U4" s="30">
        <f t="shared" ref="U4:U24" si="4">Q4*$C$9*(1-$C$21)</f>
        <v>0.50258627999999994</v>
      </c>
      <c r="V4" s="31">
        <f t="shared" ref="V4:V24" si="5">Q4+R4-S4-T4-U4</f>
        <v>4.4437808628571425</v>
      </c>
      <c r="W4" s="29">
        <f>Y3</f>
        <v>0</v>
      </c>
      <c r="X4" s="30">
        <f>S3</f>
        <v>0.35499999999999998</v>
      </c>
      <c r="Y4" s="165">
        <f t="shared" ref="Y4:Y24" si="6">W4+X4</f>
        <v>0.35499999999999998</v>
      </c>
      <c r="Z4" s="41">
        <f t="shared" ref="Z4:Z24" si="7">P4+V4</f>
        <v>17.178417826857142</v>
      </c>
    </row>
    <row r="5" spans="2:26" ht="18.75" x14ac:dyDescent="0.3">
      <c r="B5" s="163" t="s">
        <v>28</v>
      </c>
      <c r="C5" s="164">
        <f>Table_2_Dashboard!D6</f>
        <v>4</v>
      </c>
      <c r="D5" s="8"/>
      <c r="E5" s="9" t="s">
        <v>3</v>
      </c>
      <c r="F5" s="10" t="s">
        <v>4</v>
      </c>
      <c r="G5" s="11">
        <v>3</v>
      </c>
      <c r="H5" s="40"/>
      <c r="I5" s="29">
        <f>K4</f>
        <v>99970.182964009786</v>
      </c>
      <c r="J5" s="30">
        <f t="shared" si="0"/>
        <v>9.9370361866225725</v>
      </c>
      <c r="K5" s="31">
        <f t="shared" si="1"/>
        <v>99960.245927823169</v>
      </c>
      <c r="L5" s="29">
        <f t="shared" ref="L5:L24" si="8">P4</f>
        <v>12.734636964000002</v>
      </c>
      <c r="M5" s="30">
        <f t="shared" ref="M5:M10" si="9">J4</f>
        <v>9.938024026210778</v>
      </c>
      <c r="N5" s="30">
        <f t="shared" si="2"/>
        <v>3.1836592410000004</v>
      </c>
      <c r="O5" s="30">
        <f>L5*(1-$C$10)*Table_2_Dashboard!J7</f>
        <v>0</v>
      </c>
      <c r="P5" s="31">
        <f t="shared" ref="P5:P24" si="10">L5+M5-N5-O5</f>
        <v>19.489001749210779</v>
      </c>
      <c r="Q5" s="29">
        <f t="shared" ref="Q5:Q24" si="11">V4</f>
        <v>4.4437808628571425</v>
      </c>
      <c r="R5" s="30">
        <f t="shared" ref="R5:R24" si="12">N4</f>
        <v>0.93187500000000001</v>
      </c>
      <c r="S5" s="30">
        <f t="shared" si="3"/>
        <v>0.31741291877551014</v>
      </c>
      <c r="T5" s="30">
        <f>(1-$C$11)*Q5*Table_2_Dashboard!J7</f>
        <v>0</v>
      </c>
      <c r="U5" s="30">
        <f t="shared" si="4"/>
        <v>0.55991638871999982</v>
      </c>
      <c r="V5" s="31">
        <f t="shared" si="5"/>
        <v>4.4983265553616327</v>
      </c>
      <c r="W5" s="29">
        <f t="shared" ref="W5:W24" si="13">Y4</f>
        <v>0.35499999999999998</v>
      </c>
      <c r="X5" s="30">
        <f t="shared" ref="X5:X24" si="14">S4</f>
        <v>0.28491285714285713</v>
      </c>
      <c r="Y5" s="165">
        <f>W5+X5</f>
        <v>0.63991285714285717</v>
      </c>
      <c r="Z5" s="41">
        <f t="shared" si="7"/>
        <v>23.987328304572411</v>
      </c>
    </row>
    <row r="6" spans="2:26" ht="18.75" x14ac:dyDescent="0.3">
      <c r="B6" s="163" t="s">
        <v>26</v>
      </c>
      <c r="C6" s="167">
        <f>1/C5</f>
        <v>0.25</v>
      </c>
      <c r="D6" s="8"/>
      <c r="E6" s="9" t="s">
        <v>5</v>
      </c>
      <c r="F6" s="10" t="s">
        <v>6</v>
      </c>
      <c r="G6" s="11">
        <v>4</v>
      </c>
      <c r="H6" s="40"/>
      <c r="I6" s="29">
        <f t="shared" ref="I6:I23" si="15">K5</f>
        <v>99960.245927823169</v>
      </c>
      <c r="J6" s="30">
        <f t="shared" si="0"/>
        <v>9.936048445225623</v>
      </c>
      <c r="K6" s="31">
        <f t="shared" si="1"/>
        <v>99950.30987937795</v>
      </c>
      <c r="L6" s="29">
        <f t="shared" si="8"/>
        <v>19.489001749210779</v>
      </c>
      <c r="M6" s="30">
        <f t="shared" si="9"/>
        <v>9.9370361866225725</v>
      </c>
      <c r="N6" s="30">
        <f t="shared" si="2"/>
        <v>4.8722504373026947</v>
      </c>
      <c r="O6" s="30">
        <f>L6*(1-$C$10)*Table_2_Dashboard!J8</f>
        <v>0</v>
      </c>
      <c r="P6" s="31">
        <f t="shared" si="10"/>
        <v>24.553787498530653</v>
      </c>
      <c r="Q6" s="29">
        <f t="shared" si="11"/>
        <v>4.4983265553616327</v>
      </c>
      <c r="R6" s="30">
        <f t="shared" si="12"/>
        <v>3.1836592410000004</v>
      </c>
      <c r="S6" s="30">
        <f t="shared" si="3"/>
        <v>0.32130903966868801</v>
      </c>
      <c r="T6" s="30">
        <f>(1-$C$11)*Q6*Table_2_Dashboard!J8</f>
        <v>0</v>
      </c>
      <c r="U6" s="30">
        <f t="shared" si="4"/>
        <v>0.56678914597556562</v>
      </c>
      <c r="V6" s="31">
        <f t="shared" si="5"/>
        <v>6.7938876107173796</v>
      </c>
      <c r="W6" s="29">
        <f t="shared" si="13"/>
        <v>0.63991285714285717</v>
      </c>
      <c r="X6" s="30">
        <f t="shared" si="14"/>
        <v>0.31741291877551014</v>
      </c>
      <c r="Y6" s="165">
        <f t="shared" si="6"/>
        <v>0.95732577591836732</v>
      </c>
      <c r="Z6" s="41">
        <f t="shared" si="7"/>
        <v>31.347675109248033</v>
      </c>
    </row>
    <row r="7" spans="2:26" ht="18.75" x14ac:dyDescent="0.3">
      <c r="B7" s="163" t="s">
        <v>29</v>
      </c>
      <c r="C7" s="164">
        <f>Table_2_Dashboard!D8</f>
        <v>14</v>
      </c>
      <c r="D7" s="8"/>
      <c r="E7" s="9" t="s">
        <v>5</v>
      </c>
      <c r="F7" s="10" t="s">
        <v>7</v>
      </c>
      <c r="G7" s="11">
        <v>5</v>
      </c>
      <c r="H7" s="40"/>
      <c r="I7" s="29">
        <f t="shared" si="15"/>
        <v>99950.30987937795</v>
      </c>
      <c r="J7" s="30">
        <f t="shared" si="0"/>
        <v>9.9350608020101685</v>
      </c>
      <c r="K7" s="31">
        <f t="shared" si="1"/>
        <v>99940.374818575947</v>
      </c>
      <c r="L7" s="29">
        <f t="shared" si="8"/>
        <v>24.553787498530653</v>
      </c>
      <c r="M7" s="30">
        <f t="shared" si="9"/>
        <v>9.936048445225623</v>
      </c>
      <c r="N7" s="30">
        <f t="shared" si="2"/>
        <v>6.1384468746326633</v>
      </c>
      <c r="O7" s="30">
        <f>L7*(1-$C$10)*Table_2_Dashboard!J9</f>
        <v>0</v>
      </c>
      <c r="P7" s="31">
        <f t="shared" si="10"/>
        <v>28.351389069123613</v>
      </c>
      <c r="Q7" s="29">
        <f t="shared" si="11"/>
        <v>6.7938876107173796</v>
      </c>
      <c r="R7" s="30">
        <f t="shared" si="12"/>
        <v>4.8722504373026947</v>
      </c>
      <c r="S7" s="30">
        <f t="shared" si="3"/>
        <v>0.48527768647981279</v>
      </c>
      <c r="T7" s="30">
        <f>(1-$C$11)*Q7*Table_2_Dashboard!J9</f>
        <v>0</v>
      </c>
      <c r="U7" s="30">
        <f t="shared" si="4"/>
        <v>0.85602983895038964</v>
      </c>
      <c r="V7" s="31">
        <f t="shared" si="5"/>
        <v>10.32483052258987</v>
      </c>
      <c r="W7" s="29">
        <f t="shared" si="13"/>
        <v>0.95732577591836732</v>
      </c>
      <c r="X7" s="30">
        <f t="shared" si="14"/>
        <v>0.32130903966868801</v>
      </c>
      <c r="Y7" s="165">
        <f t="shared" si="6"/>
        <v>1.2786348155870553</v>
      </c>
      <c r="Z7" s="41">
        <f t="shared" si="7"/>
        <v>38.676219591713483</v>
      </c>
    </row>
    <row r="8" spans="2:26" ht="18.75" x14ac:dyDescent="0.3">
      <c r="B8" s="163" t="s">
        <v>27</v>
      </c>
      <c r="C8" s="167">
        <f>1/C7</f>
        <v>7.1428571428571425E-2</v>
      </c>
      <c r="D8" s="8"/>
      <c r="E8" s="9" t="s">
        <v>467</v>
      </c>
      <c r="F8" s="10" t="s">
        <v>8</v>
      </c>
      <c r="G8" s="11">
        <v>6</v>
      </c>
      <c r="H8" s="40"/>
      <c r="I8" s="29">
        <f t="shared" si="15"/>
        <v>99940.374818575947</v>
      </c>
      <c r="J8" s="30">
        <f t="shared" si="0"/>
        <v>9.9340732569664496</v>
      </c>
      <c r="K8" s="31">
        <f t="shared" si="1"/>
        <v>99930.440745318978</v>
      </c>
      <c r="L8" s="29">
        <f t="shared" si="8"/>
        <v>28.351389069123613</v>
      </c>
      <c r="M8" s="30">
        <f t="shared" si="9"/>
        <v>9.9350608020101685</v>
      </c>
      <c r="N8" s="30">
        <f t="shared" si="2"/>
        <v>7.0878472672809032</v>
      </c>
      <c r="O8" s="30">
        <f>L8*(1-$C$10)*Table_2_Dashboard!J10</f>
        <v>0</v>
      </c>
      <c r="P8" s="31">
        <f t="shared" si="10"/>
        <v>31.19860260385288</v>
      </c>
      <c r="Q8" s="29">
        <f t="shared" si="11"/>
        <v>10.32483052258987</v>
      </c>
      <c r="R8" s="30">
        <f t="shared" si="12"/>
        <v>6.1384468746326633</v>
      </c>
      <c r="S8" s="30">
        <f t="shared" si="3"/>
        <v>0.73748789447070495</v>
      </c>
      <c r="T8" s="30">
        <f>(1-$C$11)*Q8*Table_2_Dashboard!J10</f>
        <v>0</v>
      </c>
      <c r="U8" s="30">
        <f t="shared" si="4"/>
        <v>1.3009286458463236</v>
      </c>
      <c r="V8" s="31">
        <f t="shared" si="5"/>
        <v>14.424860856905505</v>
      </c>
      <c r="W8" s="29">
        <f t="shared" si="13"/>
        <v>1.2786348155870553</v>
      </c>
      <c r="X8" s="30">
        <f t="shared" si="14"/>
        <v>0.48527768647981279</v>
      </c>
      <c r="Y8" s="165">
        <f t="shared" si="6"/>
        <v>1.763912502066868</v>
      </c>
      <c r="Z8" s="41">
        <f t="shared" si="7"/>
        <v>45.623463460758387</v>
      </c>
    </row>
    <row r="9" spans="2:26" ht="18.75" x14ac:dyDescent="0.3">
      <c r="B9" s="163" t="s">
        <v>30</v>
      </c>
      <c r="C9" s="167">
        <f>Table_2_Dashboard!D11</f>
        <v>0.18</v>
      </c>
      <c r="D9" s="8"/>
      <c r="E9" s="9" t="s">
        <v>9</v>
      </c>
      <c r="F9" s="10" t="s">
        <v>10</v>
      </c>
      <c r="G9" s="11">
        <v>7</v>
      </c>
      <c r="H9" s="40"/>
      <c r="I9" s="29">
        <f t="shared" si="15"/>
        <v>99930.440745318978</v>
      </c>
      <c r="J9" s="30">
        <f>I9*$C$4*$C$19</f>
        <v>19.866171620169414</v>
      </c>
      <c r="K9" s="31">
        <f t="shared" si="1"/>
        <v>99910.574573698803</v>
      </c>
      <c r="L9" s="29">
        <f t="shared" si="8"/>
        <v>31.19860260385288</v>
      </c>
      <c r="M9" s="33">
        <f t="shared" si="9"/>
        <v>9.9340732569664496</v>
      </c>
      <c r="N9" s="30">
        <f t="shared" si="2"/>
        <v>7.79965065096322</v>
      </c>
      <c r="O9" s="32"/>
      <c r="P9" s="31">
        <f t="shared" si="10"/>
        <v>33.33302520985611</v>
      </c>
      <c r="Q9" s="29">
        <f t="shared" si="11"/>
        <v>14.424860856905505</v>
      </c>
      <c r="R9" s="30">
        <f t="shared" si="12"/>
        <v>7.0878472672809032</v>
      </c>
      <c r="S9" s="30">
        <f t="shared" si="3"/>
        <v>1.0303472040646788</v>
      </c>
      <c r="T9" s="32"/>
      <c r="U9" s="30">
        <f t="shared" si="4"/>
        <v>1.8175324679700935</v>
      </c>
      <c r="V9" s="31">
        <f t="shared" si="5"/>
        <v>18.664828452151639</v>
      </c>
      <c r="W9" s="29">
        <f t="shared" si="13"/>
        <v>1.763912502066868</v>
      </c>
      <c r="X9" s="30">
        <f t="shared" si="14"/>
        <v>0.73748789447070495</v>
      </c>
      <c r="Y9" s="165">
        <f t="shared" si="6"/>
        <v>2.5014003965375728</v>
      </c>
      <c r="Z9" s="41">
        <f t="shared" si="7"/>
        <v>51.997853662007749</v>
      </c>
    </row>
    <row r="10" spans="2:26" ht="18.75" x14ac:dyDescent="0.3">
      <c r="B10" s="163" t="s">
        <v>31</v>
      </c>
      <c r="C10" s="167">
        <f>Table_2_Dashboard!D14</f>
        <v>0.84</v>
      </c>
      <c r="D10" s="8"/>
      <c r="E10" s="13" t="s">
        <v>382</v>
      </c>
      <c r="F10" s="14" t="s">
        <v>575</v>
      </c>
      <c r="G10" s="15">
        <v>8</v>
      </c>
      <c r="H10" s="40"/>
      <c r="I10" s="29">
        <f t="shared" si="15"/>
        <v>99910.574573698803</v>
      </c>
      <c r="J10" s="32"/>
      <c r="K10" s="31">
        <f t="shared" si="1"/>
        <v>99910.574573698803</v>
      </c>
      <c r="L10" s="29">
        <f t="shared" si="8"/>
        <v>33.33302520985611</v>
      </c>
      <c r="M10" s="33">
        <f t="shared" si="9"/>
        <v>19.866171620169414</v>
      </c>
      <c r="N10" s="30">
        <f t="shared" si="2"/>
        <v>8.3332563024640276</v>
      </c>
      <c r="O10" s="30">
        <f>L10*(1-$C$10)*Table_2_Dashboard!J11</f>
        <v>0</v>
      </c>
      <c r="P10" s="31">
        <f>L10+M10-N10-O10</f>
        <v>44.865940527561499</v>
      </c>
      <c r="Q10" s="29">
        <f t="shared" si="11"/>
        <v>18.664828452151639</v>
      </c>
      <c r="R10" s="30">
        <f t="shared" si="12"/>
        <v>7.79965065096322</v>
      </c>
      <c r="S10" s="30">
        <f t="shared" si="3"/>
        <v>1.3332020322965457</v>
      </c>
      <c r="T10" s="30">
        <f>(1-$C$11)*Q10*Table_2_Dashboard!J11</f>
        <v>0</v>
      </c>
      <c r="U10" s="30">
        <f t="shared" si="4"/>
        <v>2.351768384971106</v>
      </c>
      <c r="V10" s="31">
        <f t="shared" si="5"/>
        <v>22.779508685847208</v>
      </c>
      <c r="W10" s="29">
        <f t="shared" si="13"/>
        <v>2.5014003965375728</v>
      </c>
      <c r="X10" s="30">
        <f t="shared" si="14"/>
        <v>1.0303472040646788</v>
      </c>
      <c r="Y10" s="165">
        <f t="shared" si="6"/>
        <v>3.5317476006022517</v>
      </c>
      <c r="Z10" s="41">
        <f t="shared" si="7"/>
        <v>67.64544921340871</v>
      </c>
    </row>
    <row r="11" spans="2:26" ht="18.75" x14ac:dyDescent="0.3">
      <c r="B11" s="163" t="s">
        <v>32</v>
      </c>
      <c r="C11" s="167">
        <f>Table_2_Dashboard!D15</f>
        <v>0.28999999999999998</v>
      </c>
      <c r="D11" s="8"/>
      <c r="E11" s="9" t="s">
        <v>383</v>
      </c>
      <c r="F11" s="10" t="s">
        <v>11</v>
      </c>
      <c r="G11" s="11">
        <v>9</v>
      </c>
      <c r="H11" s="40"/>
      <c r="I11" s="29">
        <f t="shared" si="15"/>
        <v>99910.574573698803</v>
      </c>
      <c r="J11" s="32"/>
      <c r="K11" s="31">
        <f t="shared" si="1"/>
        <v>99910.574573698803</v>
      </c>
      <c r="L11" s="29">
        <f>P10</f>
        <v>44.865940527561499</v>
      </c>
      <c r="M11" s="34"/>
      <c r="N11" s="30">
        <f t="shared" si="2"/>
        <v>11.216485131890375</v>
      </c>
      <c r="O11" s="30">
        <f>L11*(1-$C$10)*Table_2_Dashboard!J13</f>
        <v>0</v>
      </c>
      <c r="P11" s="31">
        <f t="shared" si="10"/>
        <v>33.649455395671126</v>
      </c>
      <c r="Q11" s="29">
        <f t="shared" si="11"/>
        <v>22.779508685847208</v>
      </c>
      <c r="R11" s="30">
        <f t="shared" si="12"/>
        <v>8.3332563024640276</v>
      </c>
      <c r="S11" s="30">
        <f t="shared" si="3"/>
        <v>1.6271077632748006</v>
      </c>
      <c r="T11" s="30">
        <f>Q11*(1-$C$11)*Table_2_Dashboard!J13</f>
        <v>0</v>
      </c>
      <c r="U11" s="30">
        <f t="shared" si="4"/>
        <v>2.8702180944167481</v>
      </c>
      <c r="V11" s="31">
        <f t="shared" si="5"/>
        <v>26.615439130619684</v>
      </c>
      <c r="W11" s="29">
        <f t="shared" si="13"/>
        <v>3.5317476006022517</v>
      </c>
      <c r="X11" s="30">
        <f t="shared" si="14"/>
        <v>1.3332020322965457</v>
      </c>
      <c r="Y11" s="165">
        <f t="shared" si="6"/>
        <v>4.8649496328987976</v>
      </c>
      <c r="Z11" s="41">
        <f t="shared" si="7"/>
        <v>60.26489452629081</v>
      </c>
    </row>
    <row r="12" spans="2:26" ht="16.5" x14ac:dyDescent="0.3">
      <c r="B12" s="168"/>
      <c r="C12" s="169"/>
      <c r="D12" s="8"/>
      <c r="E12" s="9" t="s">
        <v>384</v>
      </c>
      <c r="F12" s="10" t="s">
        <v>12</v>
      </c>
      <c r="G12" s="11">
        <v>10</v>
      </c>
      <c r="H12" s="40"/>
      <c r="I12" s="29">
        <f t="shared" si="15"/>
        <v>99910.574573698803</v>
      </c>
      <c r="J12" s="32"/>
      <c r="K12" s="31">
        <f t="shared" si="1"/>
        <v>99910.574573698803</v>
      </c>
      <c r="L12" s="29">
        <f t="shared" si="8"/>
        <v>33.649455395671126</v>
      </c>
      <c r="M12" s="34"/>
      <c r="N12" s="30">
        <f t="shared" si="2"/>
        <v>8.4123638489177814</v>
      </c>
      <c r="O12" s="30">
        <f>L12*(1-$C$10)*Table_2_Dashboard!J14</f>
        <v>0</v>
      </c>
      <c r="P12" s="31">
        <f t="shared" si="10"/>
        <v>25.237091546753344</v>
      </c>
      <c r="Q12" s="29">
        <f t="shared" si="11"/>
        <v>26.615439130619684</v>
      </c>
      <c r="R12" s="30">
        <f t="shared" si="12"/>
        <v>11.216485131890375</v>
      </c>
      <c r="S12" s="30">
        <f t="shared" si="3"/>
        <v>1.9011027950442632</v>
      </c>
      <c r="T12" s="30">
        <f>Q12*(1-$C$11)*Table_2_Dashboard!J14</f>
        <v>0</v>
      </c>
      <c r="U12" s="30">
        <f t="shared" si="4"/>
        <v>3.35354533045808</v>
      </c>
      <c r="V12" s="31">
        <f t="shared" si="5"/>
        <v>32.577276137007708</v>
      </c>
      <c r="W12" s="29">
        <f t="shared" si="13"/>
        <v>4.8649496328987976</v>
      </c>
      <c r="X12" s="30">
        <f t="shared" si="14"/>
        <v>1.6271077632748006</v>
      </c>
      <c r="Y12" s="165">
        <f t="shared" si="6"/>
        <v>6.4920573961735979</v>
      </c>
      <c r="Z12" s="41">
        <f t="shared" si="7"/>
        <v>57.814367683761049</v>
      </c>
    </row>
    <row r="13" spans="2:26" ht="16.5" x14ac:dyDescent="0.3">
      <c r="B13" s="185" t="s">
        <v>40</v>
      </c>
      <c r="C13" s="186" t="s">
        <v>0</v>
      </c>
      <c r="D13" s="8"/>
      <c r="E13" s="9" t="s">
        <v>385</v>
      </c>
      <c r="F13" s="10" t="s">
        <v>13</v>
      </c>
      <c r="G13" s="11">
        <v>11</v>
      </c>
      <c r="H13" s="40"/>
      <c r="I13" s="29">
        <f t="shared" si="15"/>
        <v>99910.574573698803</v>
      </c>
      <c r="J13" s="32"/>
      <c r="K13" s="31">
        <f t="shared" si="1"/>
        <v>99910.574573698803</v>
      </c>
      <c r="L13" s="29">
        <f t="shared" si="8"/>
        <v>25.237091546753344</v>
      </c>
      <c r="M13" s="34"/>
      <c r="N13" s="30">
        <f t="shared" si="2"/>
        <v>6.3092728866883361</v>
      </c>
      <c r="O13" s="30">
        <f>L13*(1-$C$10)*Table_2_Dashboard!J15</f>
        <v>0</v>
      </c>
      <c r="P13" s="31">
        <f t="shared" si="10"/>
        <v>18.927818660065007</v>
      </c>
      <c r="Q13" s="29">
        <f t="shared" si="11"/>
        <v>32.577276137007708</v>
      </c>
      <c r="R13" s="30">
        <f t="shared" si="12"/>
        <v>8.4123638489177814</v>
      </c>
      <c r="S13" s="30">
        <f t="shared" si="3"/>
        <v>2.3269482955005505</v>
      </c>
      <c r="T13" s="30">
        <f>Q13*(1-$C$11)*Table_2_Dashboard!J15</f>
        <v>0</v>
      </c>
      <c r="U13" s="30">
        <f t="shared" si="4"/>
        <v>4.1047367932629708</v>
      </c>
      <c r="V13" s="31">
        <f t="shared" si="5"/>
        <v>34.55795489716197</v>
      </c>
      <c r="W13" s="29">
        <f t="shared" si="13"/>
        <v>6.4920573961735979</v>
      </c>
      <c r="X13" s="30">
        <f t="shared" si="14"/>
        <v>1.9011027950442632</v>
      </c>
      <c r="Y13" s="165">
        <f t="shared" si="6"/>
        <v>8.3931601912178611</v>
      </c>
      <c r="Z13" s="41">
        <f t="shared" si="7"/>
        <v>53.485773557226977</v>
      </c>
    </row>
    <row r="14" spans="2:26" ht="18.75" x14ac:dyDescent="0.3">
      <c r="B14" s="163" t="s">
        <v>33</v>
      </c>
      <c r="C14" s="169">
        <f>Table_2_Dashboard!D20</f>
        <v>1.4200000000000001E-4</v>
      </c>
      <c r="D14" s="8"/>
      <c r="E14" s="9" t="s">
        <v>386</v>
      </c>
      <c r="F14" s="10" t="s">
        <v>14</v>
      </c>
      <c r="G14" s="11">
        <v>12</v>
      </c>
      <c r="H14" s="40"/>
      <c r="I14" s="29">
        <f t="shared" si="15"/>
        <v>99910.574573698803</v>
      </c>
      <c r="J14" s="32"/>
      <c r="K14" s="31">
        <f t="shared" si="1"/>
        <v>99910.574573698803</v>
      </c>
      <c r="L14" s="29">
        <f t="shared" si="8"/>
        <v>18.927818660065007</v>
      </c>
      <c r="M14" s="34"/>
      <c r="N14" s="30">
        <f t="shared" si="2"/>
        <v>4.7319546650162518</v>
      </c>
      <c r="O14" s="30">
        <f>L14*(1-$C$10)*Table_2_Dashboard!J16</f>
        <v>0</v>
      </c>
      <c r="P14" s="31">
        <f t="shared" si="10"/>
        <v>14.195863995048756</v>
      </c>
      <c r="Q14" s="29">
        <f t="shared" si="11"/>
        <v>34.55795489716197</v>
      </c>
      <c r="R14" s="30">
        <f t="shared" si="12"/>
        <v>6.3092728866883361</v>
      </c>
      <c r="S14" s="30">
        <f t="shared" si="3"/>
        <v>2.4684253497972835</v>
      </c>
      <c r="T14" s="30">
        <f>Q14*(1-$C$11)*Table_2_Dashboard!J16</f>
        <v>0</v>
      </c>
      <c r="U14" s="30">
        <f t="shared" si="4"/>
        <v>4.354302317042408</v>
      </c>
      <c r="V14" s="31">
        <f t="shared" si="5"/>
        <v>34.044500117010607</v>
      </c>
      <c r="W14" s="29">
        <f t="shared" si="13"/>
        <v>8.3931601912178611</v>
      </c>
      <c r="X14" s="30">
        <f t="shared" si="14"/>
        <v>2.3269482955005505</v>
      </c>
      <c r="Y14" s="165">
        <f t="shared" si="6"/>
        <v>10.720108486718411</v>
      </c>
      <c r="Z14" s="41">
        <f t="shared" si="7"/>
        <v>48.24036411205936</v>
      </c>
    </row>
    <row r="15" spans="2:26" ht="18.75" x14ac:dyDescent="0.3">
      <c r="B15" s="163" t="s">
        <v>34</v>
      </c>
      <c r="C15" s="170">
        <v>1</v>
      </c>
      <c r="D15" s="8"/>
      <c r="E15" s="9" t="s">
        <v>387</v>
      </c>
      <c r="F15" s="10" t="s">
        <v>15</v>
      </c>
      <c r="G15" s="11">
        <v>13</v>
      </c>
      <c r="H15" s="40"/>
      <c r="I15" s="29">
        <f t="shared" si="15"/>
        <v>99910.574573698803</v>
      </c>
      <c r="J15" s="32"/>
      <c r="K15" s="31">
        <f t="shared" si="1"/>
        <v>99910.574573698803</v>
      </c>
      <c r="L15" s="29">
        <f t="shared" si="8"/>
        <v>14.195863995048756</v>
      </c>
      <c r="M15" s="34"/>
      <c r="N15" s="30">
        <f t="shared" si="2"/>
        <v>3.5489659987621889</v>
      </c>
      <c r="O15" s="30">
        <f>L15*(1-$C$10)*Table_2_Dashboard!J17</f>
        <v>0</v>
      </c>
      <c r="P15" s="31">
        <f t="shared" si="10"/>
        <v>10.646897996286567</v>
      </c>
      <c r="Q15" s="29">
        <f t="shared" si="11"/>
        <v>34.044500117010607</v>
      </c>
      <c r="R15" s="30">
        <f t="shared" si="12"/>
        <v>4.7319546650162518</v>
      </c>
      <c r="S15" s="30">
        <f t="shared" si="3"/>
        <v>2.4317500083579002</v>
      </c>
      <c r="T15" s="30">
        <f>Q15*(1-$C$11)*Table_2_Dashboard!J17</f>
        <v>0</v>
      </c>
      <c r="U15" s="30">
        <f t="shared" si="4"/>
        <v>4.2896070147433365</v>
      </c>
      <c r="V15" s="31">
        <f t="shared" si="5"/>
        <v>32.055097758925619</v>
      </c>
      <c r="W15" s="29">
        <f t="shared" si="13"/>
        <v>10.720108486718411</v>
      </c>
      <c r="X15" s="30">
        <f t="shared" si="14"/>
        <v>2.4684253497972835</v>
      </c>
      <c r="Y15" s="165">
        <f t="shared" si="6"/>
        <v>13.188533836515695</v>
      </c>
      <c r="Z15" s="41">
        <f t="shared" si="7"/>
        <v>42.701995755212188</v>
      </c>
    </row>
    <row r="16" spans="2:26" ht="16.5" x14ac:dyDescent="0.3">
      <c r="B16" s="168"/>
      <c r="C16" s="169"/>
      <c r="D16" s="8"/>
      <c r="E16" s="9" t="s">
        <v>388</v>
      </c>
      <c r="F16" s="10" t="s">
        <v>16</v>
      </c>
      <c r="G16" s="11">
        <v>14</v>
      </c>
      <c r="H16" s="40"/>
      <c r="I16" s="29">
        <f t="shared" si="15"/>
        <v>99910.574573698803</v>
      </c>
      <c r="J16" s="32"/>
      <c r="K16" s="31">
        <f t="shared" si="1"/>
        <v>99910.574573698803</v>
      </c>
      <c r="L16" s="29">
        <f t="shared" si="8"/>
        <v>10.646897996286567</v>
      </c>
      <c r="M16" s="34"/>
      <c r="N16" s="30">
        <f t="shared" si="2"/>
        <v>2.6617244990716418</v>
      </c>
      <c r="O16" s="30">
        <f>L16*(1-$C$10)*Table_2_Dashboard!J18</f>
        <v>0</v>
      </c>
      <c r="P16" s="31">
        <f t="shared" si="10"/>
        <v>7.9851734972149249</v>
      </c>
      <c r="Q16" s="29">
        <f t="shared" si="11"/>
        <v>32.055097758925619</v>
      </c>
      <c r="R16" s="30">
        <f t="shared" si="12"/>
        <v>3.5489659987621889</v>
      </c>
      <c r="S16" s="30">
        <f t="shared" si="3"/>
        <v>2.2896498399232583</v>
      </c>
      <c r="T16" s="30">
        <f>Q16*(1-$C$11)*Table_2_Dashboard!J18</f>
        <v>0</v>
      </c>
      <c r="U16" s="30">
        <f t="shared" si="4"/>
        <v>4.0389423176246275</v>
      </c>
      <c r="V16" s="31">
        <f t="shared" si="5"/>
        <v>29.275471600139927</v>
      </c>
      <c r="W16" s="29">
        <f t="shared" si="13"/>
        <v>13.188533836515695</v>
      </c>
      <c r="X16" s="30">
        <f t="shared" si="14"/>
        <v>2.4317500083579002</v>
      </c>
      <c r="Y16" s="165">
        <f t="shared" si="6"/>
        <v>15.620283844873596</v>
      </c>
      <c r="Z16" s="41">
        <f t="shared" si="7"/>
        <v>37.260645097354853</v>
      </c>
    </row>
    <row r="17" spans="2:26" ht="16.5" x14ac:dyDescent="0.3">
      <c r="B17" s="185" t="s">
        <v>41</v>
      </c>
      <c r="C17" s="186" t="s">
        <v>0</v>
      </c>
      <c r="D17" s="8"/>
      <c r="E17" s="9" t="s">
        <v>389</v>
      </c>
      <c r="F17" s="10" t="s">
        <v>17</v>
      </c>
      <c r="G17" s="11">
        <v>15</v>
      </c>
      <c r="H17" s="40"/>
      <c r="I17" s="29">
        <f t="shared" si="15"/>
        <v>99910.574573698803</v>
      </c>
      <c r="J17" s="32"/>
      <c r="K17" s="31">
        <f t="shared" si="1"/>
        <v>99910.574573698803</v>
      </c>
      <c r="L17" s="29">
        <f t="shared" si="8"/>
        <v>7.9851734972149249</v>
      </c>
      <c r="M17" s="34"/>
      <c r="N17" s="30">
        <f t="shared" si="2"/>
        <v>1.9962933743037312</v>
      </c>
      <c r="O17" s="30">
        <f>L17*(1-$C$10)*Table_2_Dashboard!J19</f>
        <v>0</v>
      </c>
      <c r="P17" s="31">
        <f t="shared" si="10"/>
        <v>5.9888801229111941</v>
      </c>
      <c r="Q17" s="29">
        <f t="shared" si="11"/>
        <v>29.275471600139927</v>
      </c>
      <c r="R17" s="30">
        <f t="shared" si="12"/>
        <v>2.6617244990716418</v>
      </c>
      <c r="S17" s="30">
        <f t="shared" si="3"/>
        <v>2.0911051142957091</v>
      </c>
      <c r="T17" s="30">
        <f>Q17*(1-$C$11)*Table_2_Dashboard!J19</f>
        <v>0</v>
      </c>
      <c r="U17" s="30">
        <f t="shared" si="4"/>
        <v>3.6887094216176304</v>
      </c>
      <c r="V17" s="31">
        <f t="shared" si="5"/>
        <v>26.15738156329823</v>
      </c>
      <c r="W17" s="29">
        <f t="shared" si="13"/>
        <v>15.620283844873596</v>
      </c>
      <c r="X17" s="30">
        <f t="shared" si="14"/>
        <v>2.2896498399232583</v>
      </c>
      <c r="Y17" s="165">
        <f t="shared" si="6"/>
        <v>17.909933684796854</v>
      </c>
      <c r="Z17" s="41">
        <f t="shared" si="7"/>
        <v>32.146261686209428</v>
      </c>
    </row>
    <row r="18" spans="2:26" ht="18.75" x14ac:dyDescent="0.3">
      <c r="B18" s="163" t="s">
        <v>35</v>
      </c>
      <c r="C18" s="169">
        <f>Table_2_Dashboard!D30</f>
        <v>0.3</v>
      </c>
      <c r="D18" s="8"/>
      <c r="E18" s="9" t="s">
        <v>390</v>
      </c>
      <c r="F18" s="10" t="s">
        <v>18</v>
      </c>
      <c r="G18" s="11">
        <v>16</v>
      </c>
      <c r="H18" s="40"/>
      <c r="I18" s="29">
        <f t="shared" si="15"/>
        <v>99910.574573698803</v>
      </c>
      <c r="J18" s="32"/>
      <c r="K18" s="31">
        <f t="shared" si="1"/>
        <v>99910.574573698803</v>
      </c>
      <c r="L18" s="29">
        <f t="shared" si="8"/>
        <v>5.9888801229111941</v>
      </c>
      <c r="M18" s="34"/>
      <c r="N18" s="30">
        <f t="shared" si="2"/>
        <v>1.4972200307277985</v>
      </c>
      <c r="O18" s="30">
        <f>L18*(1-$C$10)*Table_2_Dashboard!J20</f>
        <v>0</v>
      </c>
      <c r="P18" s="31">
        <f t="shared" si="10"/>
        <v>4.4916600921833956</v>
      </c>
      <c r="Q18" s="29">
        <f t="shared" si="11"/>
        <v>26.15738156329823</v>
      </c>
      <c r="R18" s="30">
        <f t="shared" si="12"/>
        <v>1.9962933743037312</v>
      </c>
      <c r="S18" s="30">
        <f t="shared" si="3"/>
        <v>1.8683843973784449</v>
      </c>
      <c r="T18" s="30">
        <f>Q18*(1-$C$11)*Table_2_Dashboard!J20</f>
        <v>0</v>
      </c>
      <c r="U18" s="30">
        <f t="shared" si="4"/>
        <v>3.2958300769755766</v>
      </c>
      <c r="V18" s="31">
        <f t="shared" si="5"/>
        <v>22.989460463247941</v>
      </c>
      <c r="W18" s="29">
        <f t="shared" si="13"/>
        <v>17.909933684796854</v>
      </c>
      <c r="X18" s="30">
        <f t="shared" si="14"/>
        <v>2.0911051142957091</v>
      </c>
      <c r="Y18" s="165">
        <f t="shared" si="6"/>
        <v>20.001038799092562</v>
      </c>
      <c r="Z18" s="41">
        <f t="shared" si="7"/>
        <v>27.481120555431335</v>
      </c>
    </row>
    <row r="19" spans="2:26" ht="18.75" x14ac:dyDescent="0.3">
      <c r="B19" s="163" t="s">
        <v>36</v>
      </c>
      <c r="C19" s="169">
        <f>(((C15)*(1-C18))+(1-C15))</f>
        <v>0.7</v>
      </c>
      <c r="D19" s="8"/>
      <c r="E19" s="9" t="s">
        <v>391</v>
      </c>
      <c r="F19" s="10" t="s">
        <v>19</v>
      </c>
      <c r="G19" s="11">
        <v>17</v>
      </c>
      <c r="H19" s="40"/>
      <c r="I19" s="29">
        <f t="shared" si="15"/>
        <v>99910.574573698803</v>
      </c>
      <c r="J19" s="32"/>
      <c r="K19" s="31">
        <f t="shared" si="1"/>
        <v>99910.574573698803</v>
      </c>
      <c r="L19" s="29">
        <f t="shared" si="8"/>
        <v>4.4916600921833956</v>
      </c>
      <c r="M19" s="34"/>
      <c r="N19" s="30">
        <f t="shared" si="2"/>
        <v>1.1229150230458489</v>
      </c>
      <c r="O19" s="30">
        <f>L19*(1-$C$10)*Table_2_Dashboard!J21</f>
        <v>0</v>
      </c>
      <c r="P19" s="31">
        <f t="shared" si="10"/>
        <v>3.3687450691375469</v>
      </c>
      <c r="Q19" s="29">
        <f t="shared" si="11"/>
        <v>22.989460463247941</v>
      </c>
      <c r="R19" s="30">
        <f t="shared" si="12"/>
        <v>1.4972200307277985</v>
      </c>
      <c r="S19" s="30">
        <f t="shared" si="3"/>
        <v>1.6421043188034243</v>
      </c>
      <c r="T19" s="30">
        <f>Q19*(1-$C$11)*Table_2_Dashboard!J21</f>
        <v>0</v>
      </c>
      <c r="U19" s="30">
        <f t="shared" si="4"/>
        <v>2.8966720183692405</v>
      </c>
      <c r="V19" s="31">
        <f t="shared" si="5"/>
        <v>19.947904156803073</v>
      </c>
      <c r="W19" s="29">
        <f t="shared" si="13"/>
        <v>20.001038799092562</v>
      </c>
      <c r="X19" s="30">
        <f t="shared" si="14"/>
        <v>1.8683843973784449</v>
      </c>
      <c r="Y19" s="165">
        <f t="shared" si="6"/>
        <v>21.869423196471008</v>
      </c>
      <c r="Z19" s="41">
        <f t="shared" si="7"/>
        <v>23.316649225940619</v>
      </c>
    </row>
    <row r="20" spans="2:26" ht="18.75" x14ac:dyDescent="0.3">
      <c r="B20" s="163" t="s">
        <v>37</v>
      </c>
      <c r="C20" s="169">
        <f>Table_2_Dashboard!D31</f>
        <v>0.7</v>
      </c>
      <c r="D20" s="8"/>
      <c r="E20" s="9" t="s">
        <v>392</v>
      </c>
      <c r="F20" s="10" t="s">
        <v>20</v>
      </c>
      <c r="G20" s="11">
        <v>18</v>
      </c>
      <c r="H20" s="40"/>
      <c r="I20" s="29">
        <f t="shared" si="15"/>
        <v>99910.574573698803</v>
      </c>
      <c r="J20" s="32"/>
      <c r="K20" s="31">
        <f t="shared" si="1"/>
        <v>99910.574573698803</v>
      </c>
      <c r="L20" s="29">
        <f t="shared" si="8"/>
        <v>3.3687450691375469</v>
      </c>
      <c r="M20" s="34"/>
      <c r="N20" s="30">
        <f t="shared" si="2"/>
        <v>0.84218626728438672</v>
      </c>
      <c r="O20" s="30">
        <f>L20*(1-$C$10)*Table_2_Dashboard!J22</f>
        <v>0</v>
      </c>
      <c r="P20" s="31">
        <f t="shared" si="10"/>
        <v>2.5265588018531604</v>
      </c>
      <c r="Q20" s="29">
        <f t="shared" si="11"/>
        <v>19.947904156803073</v>
      </c>
      <c r="R20" s="30">
        <f t="shared" si="12"/>
        <v>1.1229150230458489</v>
      </c>
      <c r="S20" s="30">
        <f t="shared" si="3"/>
        <v>1.4248502969145052</v>
      </c>
      <c r="T20" s="30">
        <f>Q20*(1-$C$11)*Table_2_Dashboard!J22</f>
        <v>0</v>
      </c>
      <c r="U20" s="30">
        <f t="shared" si="4"/>
        <v>2.5134359237571871</v>
      </c>
      <c r="V20" s="31">
        <f t="shared" si="5"/>
        <v>17.13253295917723</v>
      </c>
      <c r="W20" s="29">
        <f t="shared" si="13"/>
        <v>21.869423196471008</v>
      </c>
      <c r="X20" s="30">
        <f t="shared" si="14"/>
        <v>1.6421043188034243</v>
      </c>
      <c r="Y20" s="165">
        <f t="shared" si="6"/>
        <v>23.51152751527443</v>
      </c>
      <c r="Z20" s="41">
        <f t="shared" si="7"/>
        <v>19.659091761030389</v>
      </c>
    </row>
    <row r="21" spans="2:26" ht="18.75" x14ac:dyDescent="0.3">
      <c r="B21" s="163" t="s">
        <v>38</v>
      </c>
      <c r="C21" s="102">
        <f>(((C15)*(1-C20))+(1-C15))</f>
        <v>0.30000000000000004</v>
      </c>
      <c r="D21" s="8"/>
      <c r="E21" s="9" t="s">
        <v>393</v>
      </c>
      <c r="F21" s="10" t="s">
        <v>21</v>
      </c>
      <c r="G21" s="11">
        <v>19</v>
      </c>
      <c r="H21" s="40"/>
      <c r="I21" s="29">
        <f t="shared" si="15"/>
        <v>99910.574573698803</v>
      </c>
      <c r="J21" s="32"/>
      <c r="K21" s="31">
        <f t="shared" si="1"/>
        <v>99910.574573698803</v>
      </c>
      <c r="L21" s="29">
        <f t="shared" si="8"/>
        <v>2.5265588018531604</v>
      </c>
      <c r="M21" s="34"/>
      <c r="N21" s="30">
        <f t="shared" si="2"/>
        <v>0.6316397004632901</v>
      </c>
      <c r="O21" s="30">
        <f>L21*(1-$C$10)*Table_2_Dashboard!J23</f>
        <v>0</v>
      </c>
      <c r="P21" s="31">
        <f t="shared" si="10"/>
        <v>1.8949191013898703</v>
      </c>
      <c r="Q21" s="29">
        <f t="shared" si="11"/>
        <v>17.13253295917723</v>
      </c>
      <c r="R21" s="30">
        <f t="shared" si="12"/>
        <v>0.84218626728438672</v>
      </c>
      <c r="S21" s="30">
        <f t="shared" si="3"/>
        <v>1.2237523542269448</v>
      </c>
      <c r="T21" s="30">
        <f>Q21*(1-$C$11)*Table_2_Dashboard!J23</f>
        <v>0</v>
      </c>
      <c r="U21" s="30">
        <f t="shared" si="4"/>
        <v>2.1586991528563306</v>
      </c>
      <c r="V21" s="31">
        <f t="shared" si="5"/>
        <v>14.59226771937834</v>
      </c>
      <c r="W21" s="29">
        <f t="shared" si="13"/>
        <v>23.51152751527443</v>
      </c>
      <c r="X21" s="30">
        <f t="shared" si="14"/>
        <v>1.4248502969145052</v>
      </c>
      <c r="Y21" s="165">
        <f t="shared" si="6"/>
        <v>24.936377812188937</v>
      </c>
      <c r="Z21" s="41">
        <f t="shared" si="7"/>
        <v>16.487186820768208</v>
      </c>
    </row>
    <row r="22" spans="2:26" ht="16.5" x14ac:dyDescent="0.3">
      <c r="B22" s="168"/>
      <c r="C22" s="171"/>
      <c r="D22" s="8"/>
      <c r="E22" s="9" t="s">
        <v>394</v>
      </c>
      <c r="F22" s="10" t="s">
        <v>22</v>
      </c>
      <c r="G22" s="11">
        <v>20</v>
      </c>
      <c r="H22" s="40"/>
      <c r="I22" s="29">
        <f t="shared" si="15"/>
        <v>99910.574573698803</v>
      </c>
      <c r="J22" s="32"/>
      <c r="K22" s="31">
        <f t="shared" si="1"/>
        <v>99910.574573698803</v>
      </c>
      <c r="L22" s="29">
        <f t="shared" si="8"/>
        <v>1.8949191013898703</v>
      </c>
      <c r="M22" s="34"/>
      <c r="N22" s="30">
        <f t="shared" si="2"/>
        <v>0.47372977534746757</v>
      </c>
      <c r="O22" s="30">
        <f>L22*(1-$C$10)*Table_2_Dashboard!J24</f>
        <v>0</v>
      </c>
      <c r="P22" s="31">
        <f t="shared" si="10"/>
        <v>1.4211893260424027</v>
      </c>
      <c r="Q22" s="29">
        <f t="shared" si="11"/>
        <v>14.59226771937834</v>
      </c>
      <c r="R22" s="30">
        <f t="shared" si="12"/>
        <v>0.6316397004632901</v>
      </c>
      <c r="S22" s="30">
        <f t="shared" si="3"/>
        <v>1.0423048370984527</v>
      </c>
      <c r="T22" s="30">
        <f>Q22*(1-$C$11)*Table_2_Dashboard!J24</f>
        <v>0</v>
      </c>
      <c r="U22" s="30">
        <f t="shared" si="4"/>
        <v>1.8386257326416708</v>
      </c>
      <c r="V22" s="31">
        <f t="shared" si="5"/>
        <v>12.342976850101508</v>
      </c>
      <c r="W22" s="29">
        <f t="shared" si="13"/>
        <v>24.936377812188937</v>
      </c>
      <c r="X22" s="30">
        <f t="shared" si="14"/>
        <v>1.2237523542269448</v>
      </c>
      <c r="Y22" s="165">
        <f t="shared" si="6"/>
        <v>26.160130166415883</v>
      </c>
      <c r="Z22" s="41">
        <f t="shared" si="7"/>
        <v>13.76416617614391</v>
      </c>
    </row>
    <row r="23" spans="2:26" ht="16.5" x14ac:dyDescent="0.3">
      <c r="B23" s="168"/>
      <c r="C23" s="171"/>
      <c r="D23" s="8"/>
      <c r="E23" s="9" t="s">
        <v>395</v>
      </c>
      <c r="F23" s="10" t="s">
        <v>13</v>
      </c>
      <c r="G23" s="11">
        <v>21</v>
      </c>
      <c r="H23" s="40"/>
      <c r="I23" s="29">
        <f t="shared" si="15"/>
        <v>99910.574573698803</v>
      </c>
      <c r="J23" s="32"/>
      <c r="K23" s="31">
        <f t="shared" si="1"/>
        <v>99910.574573698803</v>
      </c>
      <c r="L23" s="29">
        <f t="shared" si="8"/>
        <v>1.4211893260424027</v>
      </c>
      <c r="M23" s="34"/>
      <c r="N23" s="30">
        <f t="shared" si="2"/>
        <v>0.35529733151060067</v>
      </c>
      <c r="O23" s="30">
        <f>L23*(1-$C$10)*Table_2_Dashboard!J25</f>
        <v>0</v>
      </c>
      <c r="P23" s="31">
        <f t="shared" si="10"/>
        <v>1.0658919945318019</v>
      </c>
      <c r="Q23" s="29">
        <f t="shared" si="11"/>
        <v>12.342976850101508</v>
      </c>
      <c r="R23" s="30">
        <f t="shared" si="12"/>
        <v>0.47372977534746757</v>
      </c>
      <c r="S23" s="30">
        <f t="shared" si="3"/>
        <v>0.88164120357867903</v>
      </c>
      <c r="T23" s="30">
        <f>Q23*(1-$C$11)*Table_2_Dashboard!J25</f>
        <v>0</v>
      </c>
      <c r="U23" s="30">
        <f t="shared" si="4"/>
        <v>1.55521508311279</v>
      </c>
      <c r="V23" s="31">
        <f t="shared" si="5"/>
        <v>10.379850338757505</v>
      </c>
      <c r="W23" s="29">
        <f t="shared" si="13"/>
        <v>26.160130166415883</v>
      </c>
      <c r="X23" s="30">
        <f t="shared" si="14"/>
        <v>1.0423048370984527</v>
      </c>
      <c r="Y23" s="165">
        <f t="shared" si="6"/>
        <v>27.202435003514335</v>
      </c>
      <c r="Z23" s="41">
        <f t="shared" si="7"/>
        <v>11.445742333289306</v>
      </c>
    </row>
    <row r="24" spans="2:26" ht="17.25" thickBot="1" x14ac:dyDescent="0.35">
      <c r="B24" s="172"/>
      <c r="C24" s="173"/>
      <c r="D24" s="8"/>
      <c r="E24" s="20" t="s">
        <v>396</v>
      </c>
      <c r="F24" s="21" t="s">
        <v>23</v>
      </c>
      <c r="G24" s="22">
        <v>22</v>
      </c>
      <c r="H24" s="40"/>
      <c r="I24" s="35">
        <f>K23</f>
        <v>99910.574573698803</v>
      </c>
      <c r="J24" s="36"/>
      <c r="K24" s="37">
        <f t="shared" si="1"/>
        <v>99910.574573698803</v>
      </c>
      <c r="L24" s="35">
        <f t="shared" si="8"/>
        <v>1.0658919945318019</v>
      </c>
      <c r="M24" s="36"/>
      <c r="N24" s="38">
        <f t="shared" si="2"/>
        <v>0.26647299863295049</v>
      </c>
      <c r="O24" s="38">
        <f>L24*(1-$C$10)*Table_2_Dashboard!J26</f>
        <v>0</v>
      </c>
      <c r="P24" s="37">
        <f t="shared" si="10"/>
        <v>0.79941899589885146</v>
      </c>
      <c r="Q24" s="29">
        <f t="shared" si="11"/>
        <v>10.379850338757505</v>
      </c>
      <c r="R24" s="38">
        <f t="shared" si="12"/>
        <v>0.35529733151060067</v>
      </c>
      <c r="S24" s="38">
        <f t="shared" si="3"/>
        <v>0.74141788133982178</v>
      </c>
      <c r="T24" s="38">
        <f>Q24*(1-$C$11)*Table_2_Dashboard!J26</f>
        <v>0</v>
      </c>
      <c r="U24" s="38">
        <f t="shared" si="4"/>
        <v>1.3078611426834457</v>
      </c>
      <c r="V24" s="37">
        <f t="shared" si="5"/>
        <v>8.6858686462448382</v>
      </c>
      <c r="W24" s="29">
        <f t="shared" si="13"/>
        <v>27.202435003514335</v>
      </c>
      <c r="X24" s="30">
        <f t="shared" si="14"/>
        <v>0.88164120357867903</v>
      </c>
      <c r="Y24" s="165">
        <f t="shared" si="6"/>
        <v>28.084076207093013</v>
      </c>
      <c r="Z24" s="42">
        <f t="shared" si="7"/>
        <v>9.4852876421436889</v>
      </c>
    </row>
    <row r="25" spans="2:26" ht="4.9000000000000004" customHeight="1" thickBot="1" x14ac:dyDescent="0.35">
      <c r="B25" s="23"/>
      <c r="C25" s="24"/>
      <c r="D25" s="8"/>
      <c r="E25" s="12"/>
      <c r="F25" s="12"/>
      <c r="G25" s="12"/>
      <c r="H25" s="12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2:26" ht="16.149999999999999" customHeight="1" thickBot="1" x14ac:dyDescent="0.35">
      <c r="B26" s="189">
        <v>1</v>
      </c>
      <c r="C26" s="191"/>
      <c r="D26" s="6"/>
      <c r="E26" s="189">
        <v>2</v>
      </c>
      <c r="F26" s="190"/>
      <c r="G26" s="191"/>
      <c r="H26" s="6"/>
      <c r="I26" s="189">
        <v>3</v>
      </c>
      <c r="J26" s="190"/>
      <c r="K26" s="191"/>
      <c r="L26" s="189">
        <v>4</v>
      </c>
      <c r="M26" s="190"/>
      <c r="N26" s="190"/>
      <c r="O26" s="190"/>
      <c r="P26" s="191"/>
      <c r="Q26" s="189">
        <v>5</v>
      </c>
      <c r="R26" s="190"/>
      <c r="S26" s="190"/>
      <c r="T26" s="190"/>
      <c r="U26" s="190"/>
      <c r="V26" s="191"/>
      <c r="W26" s="189">
        <v>6</v>
      </c>
      <c r="X26" s="190"/>
      <c r="Y26" s="191"/>
      <c r="Z26" s="26">
        <v>7</v>
      </c>
    </row>
    <row r="27" spans="2:26" ht="34.9" customHeight="1" x14ac:dyDescent="0.25"/>
  </sheetData>
  <mergeCells count="6">
    <mergeCell ref="W26:Y26"/>
    <mergeCell ref="B26:C26"/>
    <mergeCell ref="E26:G26"/>
    <mergeCell ref="I26:K26"/>
    <mergeCell ref="L26:P26"/>
    <mergeCell ref="Q26:V26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Table_1_Description</vt:lpstr>
      <vt:lpstr>Table_2_Dashboard</vt:lpstr>
      <vt:lpstr>dont delete</vt:lpstr>
      <vt:lpstr>Table_3_NVNC</vt:lpstr>
      <vt:lpstr>Table_4_NVC 1</vt:lpstr>
      <vt:lpstr>Table_5_NVC 2</vt:lpstr>
      <vt:lpstr>Table_6_NVC 3</vt:lpstr>
      <vt:lpstr>Table_7_VNC</vt:lpstr>
      <vt:lpstr>Table_8_VC 1</vt:lpstr>
      <vt:lpstr>Table_9_VC 2</vt:lpstr>
      <vt:lpstr>Table_10_VC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Vidhyagorn Mahd-Adam</dc:creator>
  <cp:lastModifiedBy>Vidhyagorn Mahd-Adam</cp:lastModifiedBy>
  <dcterms:created xsi:type="dcterms:W3CDTF">2022-12-23T10:58:02Z</dcterms:created>
  <dcterms:modified xsi:type="dcterms:W3CDTF">2025-08-12T05:00:36Z</dcterms:modified>
</cp:coreProperties>
</file>